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trlProps/ctrlProp4.xml" ContentType="application/vnd.ms-excel.control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2024\2024 WA Elec and Gas GRC\Direct Testimony\19) Anderson\Exhibits\Suplemental Exhibits\"/>
    </mc:Choice>
  </mc:AlternateContent>
  <xr:revisionPtr revIDLastSave="0" documentId="13_ncr:1_{E87451D3-706E-4EF4-A812-D59753B69750}" xr6:coauthVersionLast="47" xr6:coauthVersionMax="47" xr10:uidLastSave="{00000000-0000-0000-0000-000000000000}"/>
  <bookViews>
    <workbookView xWindow="-120" yWindow="-120" windowWidth="28215" windowHeight="15840" tabRatio="783" activeTab="8" xr2:uid="{00000000-000D-0000-FFFF-FFFF00000000}"/>
  </bookViews>
  <sheets>
    <sheet name="A-RR Cross Reference" sheetId="33" r:id="rId1"/>
    <sheet name="B-COS Results" sheetId="31" r:id="rId2"/>
    <sheet name="C-COS Allocation Factors" sheetId="32" r:id="rId3"/>
    <sheet name="D-Summary of Adjustments" sheetId="30" r:id="rId4"/>
    <sheet name="E-Summary of Results" sheetId="35" r:id="rId5"/>
    <sheet name="Detail" sheetId="1" r:id="rId6"/>
    <sheet name="Summary" sheetId="4" r:id="rId7"/>
    <sheet name="Factors" sheetId="3" r:id="rId8"/>
    <sheet name="PROFORMA" sheetId="7" r:id="rId9"/>
    <sheet name="Avg Cust Unit Costs" sheetId="6" r:id="rId10"/>
    <sheet name="Acerno_Cache_XXXXX" sheetId="29" state="veryHidden" r:id="rId11"/>
    <sheet name="Demand Sch 146 adj" sheetId="20" r:id="rId12"/>
    <sheet name="Demand - Firm Peak" sheetId="21" r:id="rId13"/>
    <sheet name="Demand - Firm Peak by Sch" sheetId="22" r:id="rId14"/>
    <sheet name="Demand - Pk-Avg" sheetId="23" r:id="rId15"/>
    <sheet name="AMI Data" sheetId="39" r:id="rId16"/>
    <sheet name="5 Day Peak" sheetId="40" r:id="rId17"/>
    <sheet name="Winter Therm - Summary" sheetId="37" r:id="rId18"/>
    <sheet name="Winter Therm - Usage" sheetId="36" r:id="rId19"/>
    <sheet name="Meters 121_131_146" sheetId="12" r:id="rId20"/>
    <sheet name="Typical Service Cost" sheetId="11" r:id="rId21"/>
    <sheet name="Average Meter Type" sheetId="13" r:id="rId22"/>
    <sheet name="Meter Install Costs" sheetId="42" r:id="rId23"/>
    <sheet name="Industrial Meter Installations" sheetId="14" r:id="rId24"/>
    <sheet name="Acct 928" sheetId="16" r:id="rId25"/>
    <sheet name="Acct 813" sheetId="17" r:id="rId26"/>
    <sheet name="Acct 813 Analysis" sheetId="41" r:id="rId27"/>
    <sheet name="GTI" sheetId="18" r:id="rId28"/>
    <sheet name="Intangible Plant" sheetId="38" r:id="rId29"/>
  </sheets>
  <externalReferences>
    <externalReference r:id="rId30"/>
  </externalReferences>
  <definedNames>
    <definedName name="_RB1">#REF!</definedName>
    <definedName name="_RB2">#REF!</definedName>
    <definedName name="_RB3">#REF!</definedName>
    <definedName name="_RB4">#REF!</definedName>
    <definedName name="_RR1">#REF!</definedName>
    <definedName name="_RR2">#REF!</definedName>
    <definedName name="_RR3">#REF!</definedName>
    <definedName name="_RR4">#REF!</definedName>
    <definedName name="_RR5">#REF!</definedName>
    <definedName name="_RR6">#REF!</definedName>
    <definedName name="_SUM1">#REF!</definedName>
    <definedName name="_SUM2">#REF!</definedName>
    <definedName name="_WA132">'Demand - Firm Peak'!$C$75:$I$75</definedName>
    <definedName name="_WA146">'Demand - Firm Peak'!$C$76:$I$76</definedName>
    <definedName name="_WA148">'Demand - Firm Peak'!$C$77:$I$77</definedName>
    <definedName name="Alloc" localSheetId="20">#REF!</definedName>
    <definedName name="Alloc">#REF!</definedName>
    <definedName name="AllocFactors">Factors!$D$58:$T$64</definedName>
    <definedName name="AllocFactors_C">Factors!$N$58:$S$64</definedName>
    <definedName name="AllocFactors_D">Factors!$I$58:$M$64</definedName>
    <definedName name="AllocFactors_E">Factors!$D$58:$H$64</definedName>
    <definedName name="check">PROFORMA!$AX$1:$AX$420</definedName>
    <definedName name="checktrans">PROFORMA!#REF!</definedName>
    <definedName name="Checktrans1">PROFORMA!#REF!</definedName>
    <definedName name="ColHdr" localSheetId="8">"("&amp;LOWER(SUBSTITUTE(ADDRESS(1,COLUMN(),4),1,""))&amp;")"</definedName>
    <definedName name="ColHdr">SUBSTITUTE(ADDRESS(1,COLUMN(),4),1,"")</definedName>
    <definedName name="Cost" localSheetId="23">'Industrial Meter Installations'!$A$52:$D$56</definedName>
    <definedName name="Cost">'Average Meter Type'!$A$52:$D$56</definedName>
    <definedName name="Expense_Page1">PROFORMA!$E$1:$AW$56</definedName>
    <definedName name="Expense_Page2">PROFORMA!$E$60:$AW$118</definedName>
    <definedName name="Expense_Page3">PROFORMA!$E$119:$AW$177</definedName>
    <definedName name="Expense_Page4">PROFORMA!$E$178:$AW$237</definedName>
    <definedName name="FtHist">#REF!</definedName>
    <definedName name="ID_132">'Demand - Firm Peak'!#REF!</definedName>
    <definedName name="ID_146">'Demand - Firm Peak'!#REF!</definedName>
    <definedName name="ID_147">'Demand - Firm Peak'!#REF!</definedName>
    <definedName name="ID_159">'Demand - Firm Peak'!#REF!</definedName>
    <definedName name="IDBase">'Demand - Firm Peak by Sch'!#REF!</definedName>
    <definedName name="IDCoeff">'Demand - Firm Peak by Sch'!#REF!</definedName>
    <definedName name="IDFirm">'Demand - Firm Peak'!#REF!</definedName>
    <definedName name="IDMonthData">'Demand - Firm Peak by Sch'!#REF!</definedName>
    <definedName name="Pg1Row">MAX(Detail!$A:$A)</definedName>
    <definedName name="Pg2Row">MAX(Summary!$A:$A)</definedName>
    <definedName name="PkAvg_D">Detail!$E$161</definedName>
    <definedName name="PkAvg_E">Detail!$E$160</definedName>
    <definedName name="PkDys">'Demand - Firm Peak'!$C$2:$I$2</definedName>
    <definedName name="_xlnm.Print_Area" localSheetId="9">'Avg Cust Unit Costs'!$A$1:$H$36</definedName>
    <definedName name="_xlnm.Print_Area" localSheetId="12">'Demand - Firm Peak'!$A$1:$I$78</definedName>
    <definedName name="_xlnm.Print_Area" localSheetId="13">'Demand - Firm Peak by Sch'!$D$1:$J$42,'Demand - Firm Peak by Sch'!#REF!</definedName>
    <definedName name="_xlnm.Print_Area" localSheetId="14">'Demand - Pk-Avg'!$A$1:$H$33</definedName>
    <definedName name="_xlnm.Print_Area" localSheetId="11">'Demand Sch 146 adj'!#REF!</definedName>
    <definedName name="_xlnm.Print_Area" localSheetId="5">Detail!$CK$169:$CR$337</definedName>
    <definedName name="_xlnm.Print_Area" localSheetId="4">'E-Summary of Results'!$A$1:$H$28</definedName>
    <definedName name="_xlnm.Print_Area" localSheetId="7">Factors!$A$4:$Q$51,Factors!$A$67:$J$107</definedName>
    <definedName name="_xlnm.Print_Area" localSheetId="27">GTI!$A$1:$E$14</definedName>
    <definedName name="_xlnm.Print_Area" localSheetId="19">'Meters 121_131_146'!#REF!</definedName>
    <definedName name="_xlnm.Print_Area" localSheetId="8">PROFORMA!$A$1:$AY$413</definedName>
    <definedName name="_xlnm.Print_Area" localSheetId="6">Summary!$A$5:$K$52,Summary!$A$105:$K$179,Summary!$A$183:$K$257</definedName>
    <definedName name="_xlnm.Print_Area" localSheetId="20">'Typical Service Cost'!$A$1:$M$27</definedName>
    <definedName name="Print_Complete">PROFORMA!$E$1:$AW$420</definedName>
    <definedName name="_xlnm.Print_Titles" localSheetId="12">'Demand - Firm Peak'!$1:$2</definedName>
    <definedName name="_xlnm.Print_Titles" localSheetId="13">'Demand - Firm Peak by Sch'!$A:$B</definedName>
    <definedName name="_xlnm.Print_Titles" localSheetId="11">'Demand Sch 146 adj'!$1:$54</definedName>
    <definedName name="_xlnm.Print_Titles" localSheetId="5">Detail!$BQ:$BR,Detail!$163:$168</definedName>
    <definedName name="_xlnm.Print_Titles" localSheetId="7">Factors!$1:$3</definedName>
    <definedName name="_xlnm.Print_Titles" localSheetId="8">PROFORMA!$A:$D</definedName>
    <definedName name="_xlnm.Print_Titles" localSheetId="6">Summary!$1:$4</definedName>
    <definedName name="RateBase_Page1">PROFORMA!$E$238:$AW$297</definedName>
    <definedName name="RateBase_Page2">PROFORMA!$E$298:$AW$357</definedName>
    <definedName name="RateBase_Page3">PROFORMA!$E$358:$AW$420</definedName>
    <definedName name="RowHdr">ROW(Detail!A1)</definedName>
    <definedName name="Scen">#REF!</definedName>
    <definedName name="table">#REF!</definedName>
    <definedName name="TransferL">PROFORMA!$A$5:$D$420</definedName>
    <definedName name="TransferL1">PROFORMA!$A$1:$D$420</definedName>
    <definedName name="TransferN">PROFORMA!#REF!</definedName>
    <definedName name="TransferN1">PROFORMA!#REF!</definedName>
    <definedName name="WABase">'Demand - Firm Peak by Sch'!#REF!</definedName>
    <definedName name="WACoeff">'Demand - Firm Peak by Sch'!#REF!</definedName>
    <definedName name="WAFirm">'Demand - Firm Peak'!$C$23:$I$23</definedName>
    <definedName name="WAMonthData">'Demand - Firm Peak by Sch'!#REF!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3" l="1"/>
  <c r="P424" i="38" l="1"/>
  <c r="L420" i="38" l="1"/>
  <c r="K420" i="38"/>
  <c r="J420" i="38"/>
  <c r="G420" i="38"/>
  <c r="H420" i="38"/>
  <c r="F420" i="38"/>
  <c r="J348" i="38"/>
  <c r="G348" i="38"/>
  <c r="F348" i="38"/>
  <c r="F43" i="38"/>
  <c r="J43" i="38"/>
  <c r="L273" i="38"/>
  <c r="K273" i="38"/>
  <c r="J273" i="38"/>
  <c r="G273" i="38"/>
  <c r="H273" i="38"/>
  <c r="F273" i="38"/>
  <c r="J407" i="38" l="1"/>
  <c r="K407" i="38"/>
  <c r="L407" i="38"/>
  <c r="M407" i="38"/>
  <c r="O407" i="38"/>
  <c r="P407" i="38"/>
  <c r="Q407" i="38"/>
  <c r="R407" i="38"/>
  <c r="J408" i="38"/>
  <c r="K408" i="38"/>
  <c r="L408" i="38"/>
  <c r="M408" i="38"/>
  <c r="O408" i="38"/>
  <c r="P408" i="38"/>
  <c r="Q408" i="38"/>
  <c r="R408" i="38"/>
  <c r="J409" i="38"/>
  <c r="K409" i="38"/>
  <c r="L409" i="38"/>
  <c r="M409" i="38"/>
  <c r="O409" i="38"/>
  <c r="P409" i="38"/>
  <c r="Q409" i="38"/>
  <c r="R409" i="38"/>
  <c r="J410" i="38"/>
  <c r="K410" i="38"/>
  <c r="L410" i="38"/>
  <c r="M410" i="38"/>
  <c r="O410" i="38"/>
  <c r="P410" i="38"/>
  <c r="Q410" i="38"/>
  <c r="R410" i="38"/>
  <c r="J411" i="38"/>
  <c r="K411" i="38"/>
  <c r="L411" i="38"/>
  <c r="M411" i="38"/>
  <c r="O411" i="38"/>
  <c r="P411" i="38"/>
  <c r="Q411" i="38"/>
  <c r="R411" i="38"/>
  <c r="J412" i="38"/>
  <c r="K412" i="38"/>
  <c r="L412" i="38"/>
  <c r="M412" i="38"/>
  <c r="O412" i="38"/>
  <c r="P412" i="38"/>
  <c r="Q412" i="38"/>
  <c r="R412" i="38"/>
  <c r="J413" i="38"/>
  <c r="K413" i="38"/>
  <c r="L413" i="38"/>
  <c r="M413" i="38"/>
  <c r="O413" i="38"/>
  <c r="P413" i="38"/>
  <c r="Q413" i="38"/>
  <c r="R413" i="38"/>
  <c r="J414" i="38"/>
  <c r="K414" i="38"/>
  <c r="L414" i="38"/>
  <c r="M414" i="38"/>
  <c r="O414" i="38"/>
  <c r="P414" i="38"/>
  <c r="Q414" i="38"/>
  <c r="R414" i="38"/>
  <c r="J415" i="38"/>
  <c r="K415" i="38"/>
  <c r="L415" i="38"/>
  <c r="M415" i="38"/>
  <c r="O415" i="38"/>
  <c r="P415" i="38"/>
  <c r="Q415" i="38"/>
  <c r="R415" i="38"/>
  <c r="J416" i="38"/>
  <c r="K416" i="38"/>
  <c r="L416" i="38"/>
  <c r="M416" i="38"/>
  <c r="O416" i="38"/>
  <c r="P416" i="38"/>
  <c r="Q416" i="38"/>
  <c r="R416" i="38"/>
  <c r="J417" i="38"/>
  <c r="K417" i="38"/>
  <c r="L417" i="38"/>
  <c r="M417" i="38"/>
  <c r="O417" i="38"/>
  <c r="P417" i="38"/>
  <c r="Q417" i="38"/>
  <c r="R417" i="38"/>
  <c r="J418" i="38"/>
  <c r="K418" i="38"/>
  <c r="L418" i="38"/>
  <c r="M418" i="38"/>
  <c r="O418" i="38"/>
  <c r="P418" i="38"/>
  <c r="Q418" i="38"/>
  <c r="R418" i="38"/>
  <c r="J419" i="38"/>
  <c r="K419" i="38"/>
  <c r="L419" i="38"/>
  <c r="M419" i="38"/>
  <c r="O419" i="38"/>
  <c r="P419" i="38"/>
  <c r="Q419" i="38"/>
  <c r="R419" i="38"/>
  <c r="J406" i="38"/>
  <c r="R406" i="38"/>
  <c r="Q406" i="38"/>
  <c r="P406" i="38"/>
  <c r="O406" i="38"/>
  <c r="M406" i="38"/>
  <c r="L406" i="38"/>
  <c r="K406" i="38"/>
  <c r="J392" i="38"/>
  <c r="K392" i="38"/>
  <c r="L392" i="38"/>
  <c r="M392" i="38"/>
  <c r="O392" i="38"/>
  <c r="P392" i="38"/>
  <c r="Q392" i="38"/>
  <c r="R392" i="38"/>
  <c r="J393" i="38"/>
  <c r="K393" i="38"/>
  <c r="L393" i="38"/>
  <c r="M393" i="38"/>
  <c r="O393" i="38"/>
  <c r="P393" i="38"/>
  <c r="Q393" i="38"/>
  <c r="R393" i="38"/>
  <c r="J394" i="38"/>
  <c r="K394" i="38"/>
  <c r="L394" i="38"/>
  <c r="M394" i="38"/>
  <c r="O394" i="38"/>
  <c r="P394" i="38"/>
  <c r="Q394" i="38"/>
  <c r="R394" i="38"/>
  <c r="J395" i="38"/>
  <c r="K395" i="38"/>
  <c r="L395" i="38"/>
  <c r="M395" i="38"/>
  <c r="O395" i="38"/>
  <c r="P395" i="38"/>
  <c r="Q395" i="38"/>
  <c r="R395" i="38"/>
  <c r="J396" i="38"/>
  <c r="K396" i="38"/>
  <c r="L396" i="38"/>
  <c r="M396" i="38"/>
  <c r="O396" i="38"/>
  <c r="P396" i="38"/>
  <c r="Q396" i="38"/>
  <c r="R396" i="38"/>
  <c r="J397" i="38"/>
  <c r="K397" i="38"/>
  <c r="L397" i="38"/>
  <c r="M397" i="38"/>
  <c r="O397" i="38"/>
  <c r="P397" i="38"/>
  <c r="Q397" i="38"/>
  <c r="R397" i="38"/>
  <c r="J398" i="38"/>
  <c r="K398" i="38"/>
  <c r="L398" i="38"/>
  <c r="M398" i="38"/>
  <c r="O398" i="38"/>
  <c r="P398" i="38"/>
  <c r="Q398" i="38"/>
  <c r="R398" i="38"/>
  <c r="J399" i="38"/>
  <c r="K399" i="38"/>
  <c r="L399" i="38"/>
  <c r="M399" i="38"/>
  <c r="O399" i="38"/>
  <c r="P399" i="38"/>
  <c r="Q399" i="38"/>
  <c r="R399" i="38"/>
  <c r="J400" i="38"/>
  <c r="K400" i="38"/>
  <c r="L400" i="38"/>
  <c r="M400" i="38"/>
  <c r="O400" i="38"/>
  <c r="P400" i="38"/>
  <c r="Q400" i="38"/>
  <c r="R400" i="38"/>
  <c r="J401" i="38"/>
  <c r="K401" i="38"/>
  <c r="L401" i="38"/>
  <c r="M401" i="38"/>
  <c r="O401" i="38"/>
  <c r="P401" i="38"/>
  <c r="Q401" i="38"/>
  <c r="R401" i="38"/>
  <c r="J402" i="38"/>
  <c r="K402" i="38"/>
  <c r="L402" i="38"/>
  <c r="M402" i="38"/>
  <c r="O402" i="38"/>
  <c r="P402" i="38"/>
  <c r="Q402" i="38"/>
  <c r="R402" i="38"/>
  <c r="J403" i="38"/>
  <c r="K403" i="38"/>
  <c r="L403" i="38"/>
  <c r="M403" i="38"/>
  <c r="O403" i="38"/>
  <c r="P403" i="38"/>
  <c r="Q403" i="38"/>
  <c r="R403" i="38"/>
  <c r="R391" i="38"/>
  <c r="Q391" i="38"/>
  <c r="P391" i="38"/>
  <c r="O391" i="38"/>
  <c r="M391" i="38"/>
  <c r="L391" i="38"/>
  <c r="K391" i="38"/>
  <c r="J391" i="38"/>
  <c r="J388" i="38"/>
  <c r="J386" i="38"/>
  <c r="K386" i="38"/>
  <c r="L386" i="38"/>
  <c r="M386" i="38"/>
  <c r="O386" i="38"/>
  <c r="P386" i="38"/>
  <c r="Q386" i="38"/>
  <c r="R386" i="38"/>
  <c r="J387" i="38"/>
  <c r="K387" i="38"/>
  <c r="L387" i="38"/>
  <c r="M387" i="38"/>
  <c r="O387" i="38"/>
  <c r="P387" i="38"/>
  <c r="Q387" i="38"/>
  <c r="R387" i="38"/>
  <c r="K388" i="38"/>
  <c r="L388" i="38"/>
  <c r="M388" i="38"/>
  <c r="O388" i="38"/>
  <c r="P388" i="38"/>
  <c r="Q388" i="38"/>
  <c r="R388" i="38"/>
  <c r="J389" i="38"/>
  <c r="K389" i="38"/>
  <c r="L389" i="38"/>
  <c r="M389" i="38"/>
  <c r="O389" i="38"/>
  <c r="P389" i="38"/>
  <c r="Q389" i="38"/>
  <c r="R389" i="38"/>
  <c r="R385" i="38"/>
  <c r="Q385" i="38"/>
  <c r="P385" i="38"/>
  <c r="O385" i="38"/>
  <c r="O420" i="38" s="1"/>
  <c r="M385" i="38"/>
  <c r="L385" i="38"/>
  <c r="K385" i="38"/>
  <c r="J385" i="38"/>
  <c r="P380" i="38"/>
  <c r="Q380" i="38"/>
  <c r="R380" i="38"/>
  <c r="P381" i="38"/>
  <c r="Q381" i="38"/>
  <c r="R381" i="38"/>
  <c r="P382" i="38"/>
  <c r="Q382" i="38"/>
  <c r="R382" i="38"/>
  <c r="P383" i="38"/>
  <c r="Q383" i="38"/>
  <c r="R383" i="38"/>
  <c r="P384" i="38"/>
  <c r="Q384" i="38"/>
  <c r="R384" i="38"/>
  <c r="R379" i="38"/>
  <c r="J367" i="38"/>
  <c r="K367" i="38" s="1"/>
  <c r="L367" i="38"/>
  <c r="O367" i="38"/>
  <c r="P367" i="38" s="1"/>
  <c r="Q367" i="38"/>
  <c r="J368" i="38"/>
  <c r="K368" i="38" s="1"/>
  <c r="L368" i="38"/>
  <c r="O368" i="38"/>
  <c r="P368" i="38" s="1"/>
  <c r="Q368" i="38"/>
  <c r="J369" i="38"/>
  <c r="K369" i="38" s="1"/>
  <c r="L369" i="38"/>
  <c r="O369" i="38"/>
  <c r="P369" i="38" s="1"/>
  <c r="Q369" i="38"/>
  <c r="K366" i="38"/>
  <c r="J366" i="38"/>
  <c r="R365" i="38"/>
  <c r="Q365" i="38"/>
  <c r="P365" i="38"/>
  <c r="O365" i="38"/>
  <c r="M365" i="38"/>
  <c r="L365" i="38"/>
  <c r="K365" i="38"/>
  <c r="J365" i="38"/>
  <c r="O360" i="38"/>
  <c r="J360" i="38"/>
  <c r="J361" i="38" s="1"/>
  <c r="J353" i="38"/>
  <c r="M353" i="38"/>
  <c r="K353" i="38"/>
  <c r="L353" i="38"/>
  <c r="O353" i="38"/>
  <c r="P353" i="38"/>
  <c r="Q353" i="38"/>
  <c r="R353" i="38"/>
  <c r="J354" i="38"/>
  <c r="K354" i="38"/>
  <c r="L354" i="38"/>
  <c r="M354" i="38"/>
  <c r="O354" i="38"/>
  <c r="P354" i="38"/>
  <c r="Q354" i="38"/>
  <c r="R354" i="38"/>
  <c r="J355" i="38"/>
  <c r="K355" i="38"/>
  <c r="L355" i="38"/>
  <c r="M355" i="38"/>
  <c r="O355" i="38"/>
  <c r="P355" i="38"/>
  <c r="Q355" i="38"/>
  <c r="R355" i="38"/>
  <c r="O352" i="38"/>
  <c r="J352" i="38"/>
  <c r="J356" i="38" s="1"/>
  <c r="R352" i="38"/>
  <c r="Q352" i="38"/>
  <c r="P352" i="38"/>
  <c r="M352" i="38"/>
  <c r="L352" i="38"/>
  <c r="K352" i="38"/>
  <c r="J339" i="38"/>
  <c r="J340" i="38"/>
  <c r="K340" i="38"/>
  <c r="L340" i="38"/>
  <c r="M340" i="38"/>
  <c r="O340" i="38"/>
  <c r="P340" i="38"/>
  <c r="Q340" i="38"/>
  <c r="R340" i="38"/>
  <c r="J341" i="38"/>
  <c r="K341" i="38"/>
  <c r="L341" i="38"/>
  <c r="M341" i="38"/>
  <c r="O341" i="38"/>
  <c r="P341" i="38"/>
  <c r="Q341" i="38"/>
  <c r="R341" i="38"/>
  <c r="R339" i="38"/>
  <c r="Q339" i="38"/>
  <c r="P339" i="38"/>
  <c r="O339" i="38"/>
  <c r="M339" i="38"/>
  <c r="L339" i="38"/>
  <c r="K339" i="38"/>
  <c r="J289" i="38"/>
  <c r="K289" i="38"/>
  <c r="L289" i="38"/>
  <c r="M289" i="38"/>
  <c r="O289" i="38"/>
  <c r="P289" i="38"/>
  <c r="Q289" i="38"/>
  <c r="R289" i="38"/>
  <c r="J290" i="38"/>
  <c r="K290" i="38"/>
  <c r="L290" i="38"/>
  <c r="M290" i="38"/>
  <c r="O290" i="38"/>
  <c r="P290" i="38"/>
  <c r="Q290" i="38"/>
  <c r="R290" i="38"/>
  <c r="J291" i="38"/>
  <c r="K291" i="38"/>
  <c r="L291" i="38"/>
  <c r="M291" i="38"/>
  <c r="O291" i="38"/>
  <c r="P291" i="38"/>
  <c r="Q291" i="38"/>
  <c r="R291" i="38"/>
  <c r="J292" i="38"/>
  <c r="K292" i="38"/>
  <c r="L292" i="38"/>
  <c r="M292" i="38"/>
  <c r="O292" i="38"/>
  <c r="P292" i="38"/>
  <c r="Q292" i="38"/>
  <c r="R292" i="38"/>
  <c r="J293" i="38"/>
  <c r="K293" i="38"/>
  <c r="L293" i="38"/>
  <c r="M293" i="38"/>
  <c r="O293" i="38"/>
  <c r="P293" i="38"/>
  <c r="Q293" i="38"/>
  <c r="R293" i="38"/>
  <c r="J294" i="38"/>
  <c r="K294" i="38"/>
  <c r="L294" i="38"/>
  <c r="M294" i="38"/>
  <c r="O294" i="38"/>
  <c r="P294" i="38"/>
  <c r="Q294" i="38"/>
  <c r="R294" i="38"/>
  <c r="J295" i="38"/>
  <c r="K295" i="38"/>
  <c r="L295" i="38"/>
  <c r="M295" i="38"/>
  <c r="O295" i="38"/>
  <c r="P295" i="38"/>
  <c r="Q295" i="38"/>
  <c r="R295" i="38"/>
  <c r="J296" i="38"/>
  <c r="K296" i="38"/>
  <c r="L296" i="38"/>
  <c r="M296" i="38"/>
  <c r="O296" i="38"/>
  <c r="P296" i="38"/>
  <c r="Q296" i="38"/>
  <c r="R296" i="38"/>
  <c r="J297" i="38"/>
  <c r="K297" i="38"/>
  <c r="L297" i="38"/>
  <c r="M297" i="38"/>
  <c r="O297" i="38"/>
  <c r="P297" i="38"/>
  <c r="Q297" i="38"/>
  <c r="R297" i="38"/>
  <c r="J298" i="38"/>
  <c r="K298" i="38"/>
  <c r="L298" i="38"/>
  <c r="M298" i="38"/>
  <c r="O298" i="38"/>
  <c r="P298" i="38"/>
  <c r="Q298" i="38"/>
  <c r="R298" i="38"/>
  <c r="J299" i="38"/>
  <c r="K299" i="38"/>
  <c r="L299" i="38"/>
  <c r="M299" i="38"/>
  <c r="O299" i="38"/>
  <c r="P299" i="38"/>
  <c r="Q299" i="38"/>
  <c r="R299" i="38"/>
  <c r="J300" i="38"/>
  <c r="K300" i="38"/>
  <c r="L300" i="38"/>
  <c r="M300" i="38"/>
  <c r="O300" i="38"/>
  <c r="P300" i="38"/>
  <c r="Q300" i="38"/>
  <c r="R300" i="38"/>
  <c r="J301" i="38"/>
  <c r="K301" i="38"/>
  <c r="L301" i="38"/>
  <c r="M301" i="38"/>
  <c r="O301" i="38"/>
  <c r="P301" i="38"/>
  <c r="Q301" i="38"/>
  <c r="R301" i="38"/>
  <c r="J302" i="38"/>
  <c r="K302" i="38"/>
  <c r="L302" i="38"/>
  <c r="M302" i="38"/>
  <c r="O302" i="38"/>
  <c r="P302" i="38"/>
  <c r="Q302" i="38"/>
  <c r="R302" i="38"/>
  <c r="J303" i="38"/>
  <c r="K303" i="38"/>
  <c r="L303" i="38"/>
  <c r="M303" i="38"/>
  <c r="O303" i="38"/>
  <c r="P303" i="38"/>
  <c r="Q303" i="38"/>
  <c r="R303" i="38"/>
  <c r="J304" i="38"/>
  <c r="K304" i="38"/>
  <c r="L304" i="38"/>
  <c r="M304" i="38"/>
  <c r="O304" i="38"/>
  <c r="P304" i="38"/>
  <c r="Q304" i="38"/>
  <c r="R304" i="38"/>
  <c r="J305" i="38"/>
  <c r="K305" i="38"/>
  <c r="L305" i="38"/>
  <c r="M305" i="38"/>
  <c r="O305" i="38"/>
  <c r="P305" i="38"/>
  <c r="Q305" i="38"/>
  <c r="R305" i="38"/>
  <c r="J306" i="38"/>
  <c r="K306" i="38"/>
  <c r="L306" i="38"/>
  <c r="M306" i="38"/>
  <c r="O306" i="38"/>
  <c r="P306" i="38"/>
  <c r="Q306" i="38"/>
  <c r="R306" i="38"/>
  <c r="J307" i="38"/>
  <c r="K307" i="38"/>
  <c r="L307" i="38"/>
  <c r="M307" i="38"/>
  <c r="O307" i="38"/>
  <c r="P307" i="38"/>
  <c r="Q307" i="38"/>
  <c r="R307" i="38"/>
  <c r="J308" i="38"/>
  <c r="K308" i="38"/>
  <c r="L308" i="38"/>
  <c r="M308" i="38"/>
  <c r="O308" i="38"/>
  <c r="P308" i="38"/>
  <c r="Q308" i="38"/>
  <c r="R308" i="38"/>
  <c r="J309" i="38"/>
  <c r="K309" i="38"/>
  <c r="L309" i="38"/>
  <c r="M309" i="38"/>
  <c r="O309" i="38"/>
  <c r="P309" i="38"/>
  <c r="Q309" i="38"/>
  <c r="R309" i="38"/>
  <c r="J310" i="38"/>
  <c r="K310" i="38"/>
  <c r="L310" i="38"/>
  <c r="M310" i="38"/>
  <c r="O310" i="38"/>
  <c r="P310" i="38"/>
  <c r="Q310" i="38"/>
  <c r="R310" i="38"/>
  <c r="J311" i="38"/>
  <c r="K311" i="38"/>
  <c r="L311" i="38"/>
  <c r="M311" i="38"/>
  <c r="O311" i="38"/>
  <c r="P311" i="38"/>
  <c r="Q311" i="38"/>
  <c r="R311" i="38"/>
  <c r="J312" i="38"/>
  <c r="K312" i="38"/>
  <c r="L312" i="38"/>
  <c r="M312" i="38"/>
  <c r="O312" i="38"/>
  <c r="P312" i="38"/>
  <c r="Q312" i="38"/>
  <c r="R312" i="38"/>
  <c r="J313" i="38"/>
  <c r="K313" i="38"/>
  <c r="L313" i="38"/>
  <c r="M313" i="38"/>
  <c r="O313" i="38"/>
  <c r="P313" i="38"/>
  <c r="Q313" i="38"/>
  <c r="R313" i="38"/>
  <c r="J314" i="38"/>
  <c r="K314" i="38"/>
  <c r="L314" i="38"/>
  <c r="M314" i="38"/>
  <c r="O314" i="38"/>
  <c r="P314" i="38"/>
  <c r="Q314" i="38"/>
  <c r="R314" i="38"/>
  <c r="J315" i="38"/>
  <c r="K315" i="38"/>
  <c r="L315" i="38"/>
  <c r="M315" i="38"/>
  <c r="O315" i="38"/>
  <c r="P315" i="38"/>
  <c r="Q315" i="38"/>
  <c r="R315" i="38"/>
  <c r="J316" i="38"/>
  <c r="K316" i="38"/>
  <c r="L316" i="38"/>
  <c r="M316" i="38"/>
  <c r="O316" i="38"/>
  <c r="P316" i="38"/>
  <c r="Q316" i="38"/>
  <c r="R316" i="38"/>
  <c r="J317" i="38"/>
  <c r="K317" i="38"/>
  <c r="L317" i="38"/>
  <c r="M317" i="38"/>
  <c r="O317" i="38"/>
  <c r="P317" i="38"/>
  <c r="Q317" i="38"/>
  <c r="R317" i="38"/>
  <c r="J318" i="38"/>
  <c r="K318" i="38"/>
  <c r="L318" i="38"/>
  <c r="M318" i="38"/>
  <c r="O318" i="38"/>
  <c r="P318" i="38"/>
  <c r="Q318" i="38"/>
  <c r="R318" i="38"/>
  <c r="J319" i="38"/>
  <c r="K319" i="38"/>
  <c r="L319" i="38"/>
  <c r="M319" i="38"/>
  <c r="O319" i="38"/>
  <c r="P319" i="38"/>
  <c r="Q319" i="38"/>
  <c r="R319" i="38"/>
  <c r="J320" i="38"/>
  <c r="K320" i="38"/>
  <c r="L320" i="38"/>
  <c r="M320" i="38"/>
  <c r="O320" i="38"/>
  <c r="P320" i="38"/>
  <c r="Q320" i="38"/>
  <c r="R320" i="38"/>
  <c r="J321" i="38"/>
  <c r="K321" i="38"/>
  <c r="L321" i="38"/>
  <c r="M321" i="38"/>
  <c r="O321" i="38"/>
  <c r="P321" i="38"/>
  <c r="Q321" i="38"/>
  <c r="R321" i="38"/>
  <c r="J322" i="38"/>
  <c r="K322" i="38"/>
  <c r="L322" i="38"/>
  <c r="M322" i="38"/>
  <c r="O322" i="38"/>
  <c r="P322" i="38"/>
  <c r="Q322" i="38"/>
  <c r="R322" i="38"/>
  <c r="J323" i="38"/>
  <c r="K323" i="38"/>
  <c r="L323" i="38"/>
  <c r="M323" i="38"/>
  <c r="O323" i="38"/>
  <c r="P323" i="38"/>
  <c r="Q323" i="38"/>
  <c r="R323" i="38"/>
  <c r="J324" i="38"/>
  <c r="K324" i="38"/>
  <c r="L324" i="38"/>
  <c r="M324" i="38"/>
  <c r="O324" i="38"/>
  <c r="P324" i="38"/>
  <c r="Q324" i="38"/>
  <c r="R324" i="38"/>
  <c r="J325" i="38"/>
  <c r="K325" i="38"/>
  <c r="L325" i="38"/>
  <c r="M325" i="38"/>
  <c r="O325" i="38"/>
  <c r="P325" i="38"/>
  <c r="Q325" i="38"/>
  <c r="R325" i="38"/>
  <c r="J326" i="38"/>
  <c r="K326" i="38"/>
  <c r="L326" i="38"/>
  <c r="M326" i="38"/>
  <c r="O326" i="38"/>
  <c r="P326" i="38"/>
  <c r="Q326" i="38"/>
  <c r="R326" i="38"/>
  <c r="J327" i="38"/>
  <c r="K327" i="38"/>
  <c r="L327" i="38"/>
  <c r="M327" i="38"/>
  <c r="O327" i="38"/>
  <c r="P327" i="38"/>
  <c r="Q327" i="38"/>
  <c r="R327" i="38"/>
  <c r="J328" i="38"/>
  <c r="K328" i="38"/>
  <c r="L328" i="38"/>
  <c r="M328" i="38"/>
  <c r="O328" i="38"/>
  <c r="P328" i="38"/>
  <c r="Q328" i="38"/>
  <c r="R328" i="38"/>
  <c r="J329" i="38"/>
  <c r="K329" i="38"/>
  <c r="L329" i="38"/>
  <c r="M329" i="38"/>
  <c r="O329" i="38"/>
  <c r="P329" i="38"/>
  <c r="Q329" i="38"/>
  <c r="R329" i="38"/>
  <c r="J330" i="38"/>
  <c r="K330" i="38"/>
  <c r="L330" i="38"/>
  <c r="M330" i="38"/>
  <c r="O330" i="38"/>
  <c r="P330" i="38"/>
  <c r="Q330" i="38"/>
  <c r="R330" i="38"/>
  <c r="J331" i="38"/>
  <c r="K331" i="38"/>
  <c r="L331" i="38"/>
  <c r="M331" i="38"/>
  <c r="O331" i="38"/>
  <c r="P331" i="38"/>
  <c r="Q331" i="38"/>
  <c r="R331" i="38"/>
  <c r="J332" i="38"/>
  <c r="K332" i="38"/>
  <c r="L332" i="38"/>
  <c r="M332" i="38"/>
  <c r="O332" i="38"/>
  <c r="P332" i="38"/>
  <c r="Q332" i="38"/>
  <c r="R332" i="38"/>
  <c r="J333" i="38"/>
  <c r="K333" i="38"/>
  <c r="L333" i="38"/>
  <c r="M333" i="38"/>
  <c r="O333" i="38"/>
  <c r="P333" i="38"/>
  <c r="Q333" i="38"/>
  <c r="R333" i="38"/>
  <c r="J334" i="38"/>
  <c r="K334" i="38"/>
  <c r="L334" i="38"/>
  <c r="M334" i="38"/>
  <c r="O334" i="38"/>
  <c r="P334" i="38"/>
  <c r="Q334" i="38"/>
  <c r="R334" i="38"/>
  <c r="J335" i="38"/>
  <c r="K335" i="38"/>
  <c r="L335" i="38"/>
  <c r="M335" i="38"/>
  <c r="O335" i="38"/>
  <c r="P335" i="38"/>
  <c r="Q335" i="38"/>
  <c r="R335" i="38"/>
  <c r="J336" i="38"/>
  <c r="K336" i="38"/>
  <c r="L336" i="38"/>
  <c r="M336" i="38"/>
  <c r="O336" i="38"/>
  <c r="P336" i="38"/>
  <c r="Q336" i="38"/>
  <c r="R336" i="38"/>
  <c r="R288" i="38"/>
  <c r="Q288" i="38"/>
  <c r="P288" i="38"/>
  <c r="O288" i="38"/>
  <c r="M288" i="38"/>
  <c r="L288" i="38"/>
  <c r="K288" i="38"/>
  <c r="J288" i="38"/>
  <c r="J278" i="38"/>
  <c r="K278" i="38"/>
  <c r="L278" i="38"/>
  <c r="M278" i="38"/>
  <c r="O278" i="38"/>
  <c r="P278" i="38"/>
  <c r="Q278" i="38"/>
  <c r="R278" i="38"/>
  <c r="J279" i="38"/>
  <c r="K279" i="38"/>
  <c r="L279" i="38"/>
  <c r="M279" i="38"/>
  <c r="O279" i="38"/>
  <c r="P279" i="38"/>
  <c r="Q279" i="38"/>
  <c r="R279" i="38"/>
  <c r="J280" i="38"/>
  <c r="K280" i="38"/>
  <c r="L280" i="38"/>
  <c r="M280" i="38"/>
  <c r="O280" i="38"/>
  <c r="P280" i="38"/>
  <c r="Q280" i="38"/>
  <c r="R280" i="38"/>
  <c r="J281" i="38"/>
  <c r="K281" i="38"/>
  <c r="L281" i="38"/>
  <c r="M281" i="38"/>
  <c r="O281" i="38"/>
  <c r="P281" i="38"/>
  <c r="Q281" i="38"/>
  <c r="R281" i="38"/>
  <c r="J282" i="38"/>
  <c r="K282" i="38"/>
  <c r="L282" i="38"/>
  <c r="M282" i="38"/>
  <c r="O282" i="38"/>
  <c r="P282" i="38"/>
  <c r="Q282" i="38"/>
  <c r="R282" i="38"/>
  <c r="J283" i="38"/>
  <c r="K283" i="38"/>
  <c r="L283" i="38"/>
  <c r="M283" i="38"/>
  <c r="O283" i="38"/>
  <c r="P283" i="38"/>
  <c r="Q283" i="38"/>
  <c r="R283" i="38"/>
  <c r="J284" i="38"/>
  <c r="K284" i="38"/>
  <c r="L284" i="38"/>
  <c r="M284" i="38"/>
  <c r="O284" i="38"/>
  <c r="P284" i="38"/>
  <c r="Q284" i="38"/>
  <c r="R284" i="38"/>
  <c r="J285" i="38"/>
  <c r="K285" i="38"/>
  <c r="L285" i="38"/>
  <c r="M285" i="38"/>
  <c r="O285" i="38"/>
  <c r="P285" i="38"/>
  <c r="Q285" i="38"/>
  <c r="R285" i="38"/>
  <c r="J286" i="38"/>
  <c r="K286" i="38"/>
  <c r="L286" i="38"/>
  <c r="M286" i="38"/>
  <c r="O286" i="38"/>
  <c r="P286" i="38"/>
  <c r="Q286" i="38"/>
  <c r="R286" i="38"/>
  <c r="K277" i="38"/>
  <c r="J277" i="38"/>
  <c r="R277" i="38"/>
  <c r="Q277" i="38"/>
  <c r="P277" i="38"/>
  <c r="O277" i="38"/>
  <c r="M277" i="38"/>
  <c r="L277" i="38"/>
  <c r="R268" i="38"/>
  <c r="R269" i="38"/>
  <c r="R270" i="38"/>
  <c r="R267" i="38"/>
  <c r="M268" i="38"/>
  <c r="M269" i="38"/>
  <c r="M270" i="38"/>
  <c r="M267" i="38"/>
  <c r="K267" i="38"/>
  <c r="P268" i="38"/>
  <c r="Q268" i="38"/>
  <c r="P269" i="38"/>
  <c r="Q269" i="38"/>
  <c r="P270" i="38"/>
  <c r="Q270" i="38"/>
  <c r="Q267" i="38"/>
  <c r="P267" i="38"/>
  <c r="R272" i="38"/>
  <c r="R271" i="38"/>
  <c r="O268" i="38"/>
  <c r="O269" i="38"/>
  <c r="O270" i="38"/>
  <c r="O271" i="38"/>
  <c r="O272" i="38"/>
  <c r="O267" i="38"/>
  <c r="M272" i="38"/>
  <c r="M271" i="38"/>
  <c r="J271" i="38"/>
  <c r="J267" i="38"/>
  <c r="O187" i="38"/>
  <c r="P187" i="38"/>
  <c r="O188" i="38"/>
  <c r="P188" i="38"/>
  <c r="P186" i="38"/>
  <c r="O186" i="38"/>
  <c r="K187" i="38"/>
  <c r="K188" i="38"/>
  <c r="K186" i="38"/>
  <c r="J186" i="38"/>
  <c r="J187" i="38"/>
  <c r="J188" i="38"/>
  <c r="J185" i="38"/>
  <c r="K185" i="38" s="1"/>
  <c r="L185" i="38"/>
  <c r="O185" i="38"/>
  <c r="P185" i="38"/>
  <c r="Q185" i="38"/>
  <c r="J184" i="38"/>
  <c r="K184" i="38" s="1"/>
  <c r="Q184" i="38"/>
  <c r="P184" i="38"/>
  <c r="O184" i="38"/>
  <c r="L184" i="38"/>
  <c r="J12" i="38"/>
  <c r="J183" i="38"/>
  <c r="K183" i="38"/>
  <c r="L183" i="38"/>
  <c r="M183" i="38"/>
  <c r="O183" i="38"/>
  <c r="P183" i="38"/>
  <c r="Q183" i="38"/>
  <c r="R183" i="38"/>
  <c r="J48" i="38"/>
  <c r="K48" i="38"/>
  <c r="L48" i="38"/>
  <c r="M48" i="38"/>
  <c r="O48" i="38"/>
  <c r="P48" i="38"/>
  <c r="Q48" i="38"/>
  <c r="R48" i="38"/>
  <c r="J49" i="38"/>
  <c r="K49" i="38"/>
  <c r="L49" i="38"/>
  <c r="M49" i="38"/>
  <c r="O49" i="38"/>
  <c r="P49" i="38"/>
  <c r="Q49" i="38"/>
  <c r="R49" i="38"/>
  <c r="J50" i="38"/>
  <c r="K50" i="38"/>
  <c r="L50" i="38"/>
  <c r="M50" i="38"/>
  <c r="O50" i="38"/>
  <c r="P50" i="38"/>
  <c r="Q50" i="38"/>
  <c r="R50" i="38"/>
  <c r="J51" i="38"/>
  <c r="K51" i="38"/>
  <c r="L51" i="38"/>
  <c r="M51" i="38"/>
  <c r="O51" i="38"/>
  <c r="P51" i="38"/>
  <c r="Q51" i="38"/>
  <c r="R51" i="38"/>
  <c r="J52" i="38"/>
  <c r="K52" i="38"/>
  <c r="L52" i="38"/>
  <c r="M52" i="38"/>
  <c r="O52" i="38"/>
  <c r="P52" i="38"/>
  <c r="Q52" i="38"/>
  <c r="R52" i="38"/>
  <c r="J53" i="38"/>
  <c r="K53" i="38"/>
  <c r="L53" i="38"/>
  <c r="M53" i="38"/>
  <c r="O53" i="38"/>
  <c r="P53" i="38"/>
  <c r="Q53" i="38"/>
  <c r="R53" i="38"/>
  <c r="J54" i="38"/>
  <c r="K54" i="38"/>
  <c r="L54" i="38"/>
  <c r="M54" i="38"/>
  <c r="O54" i="38"/>
  <c r="P54" i="38"/>
  <c r="Q54" i="38"/>
  <c r="R54" i="38"/>
  <c r="J55" i="38"/>
  <c r="K55" i="38"/>
  <c r="L55" i="38"/>
  <c r="M55" i="38"/>
  <c r="O55" i="38"/>
  <c r="P55" i="38"/>
  <c r="Q55" i="38"/>
  <c r="R55" i="38"/>
  <c r="J56" i="38"/>
  <c r="K56" i="38"/>
  <c r="L56" i="38"/>
  <c r="M56" i="38"/>
  <c r="O56" i="38"/>
  <c r="P56" i="38"/>
  <c r="Q56" i="38"/>
  <c r="R56" i="38"/>
  <c r="J57" i="38"/>
  <c r="K57" i="38"/>
  <c r="L57" i="38"/>
  <c r="M57" i="38"/>
  <c r="O57" i="38"/>
  <c r="P57" i="38"/>
  <c r="Q57" i="38"/>
  <c r="R57" i="38"/>
  <c r="J58" i="38"/>
  <c r="K58" i="38"/>
  <c r="L58" i="38"/>
  <c r="M58" i="38"/>
  <c r="O58" i="38"/>
  <c r="P58" i="38"/>
  <c r="Q58" i="38"/>
  <c r="R58" i="38"/>
  <c r="J59" i="38"/>
  <c r="K59" i="38"/>
  <c r="L59" i="38"/>
  <c r="M59" i="38"/>
  <c r="O59" i="38"/>
  <c r="P59" i="38"/>
  <c r="Q59" i="38"/>
  <c r="R59" i="38"/>
  <c r="J60" i="38"/>
  <c r="K60" i="38"/>
  <c r="L60" i="38"/>
  <c r="M60" i="38"/>
  <c r="O60" i="38"/>
  <c r="P60" i="38"/>
  <c r="Q60" i="38"/>
  <c r="R60" i="38"/>
  <c r="J61" i="38"/>
  <c r="K61" i="38"/>
  <c r="L61" i="38"/>
  <c r="M61" i="38"/>
  <c r="O61" i="38"/>
  <c r="P61" i="38"/>
  <c r="Q61" i="38"/>
  <c r="R61" i="38"/>
  <c r="J62" i="38"/>
  <c r="K62" i="38"/>
  <c r="L62" i="38"/>
  <c r="M62" i="38"/>
  <c r="O62" i="38"/>
  <c r="P62" i="38"/>
  <c r="Q62" i="38"/>
  <c r="R62" i="38"/>
  <c r="J63" i="38"/>
  <c r="K63" i="38"/>
  <c r="L63" i="38"/>
  <c r="M63" i="38"/>
  <c r="O63" i="38"/>
  <c r="P63" i="38"/>
  <c r="Q63" i="38"/>
  <c r="R63" i="38"/>
  <c r="J64" i="38"/>
  <c r="K64" i="38"/>
  <c r="L64" i="38"/>
  <c r="M64" i="38"/>
  <c r="O64" i="38"/>
  <c r="P64" i="38"/>
  <c r="Q64" i="38"/>
  <c r="R64" i="38"/>
  <c r="J65" i="38"/>
  <c r="K65" i="38"/>
  <c r="L65" i="38"/>
  <c r="M65" i="38"/>
  <c r="O65" i="38"/>
  <c r="P65" i="38"/>
  <c r="Q65" i="38"/>
  <c r="R65" i="38"/>
  <c r="J66" i="38"/>
  <c r="K66" i="38"/>
  <c r="L66" i="38"/>
  <c r="M66" i="38"/>
  <c r="O66" i="38"/>
  <c r="P66" i="38"/>
  <c r="Q66" i="38"/>
  <c r="R66" i="38"/>
  <c r="J67" i="38"/>
  <c r="K67" i="38"/>
  <c r="L67" i="38"/>
  <c r="M67" i="38"/>
  <c r="O67" i="38"/>
  <c r="P67" i="38"/>
  <c r="Q67" i="38"/>
  <c r="R67" i="38"/>
  <c r="J68" i="38"/>
  <c r="K68" i="38"/>
  <c r="L68" i="38"/>
  <c r="M68" i="38"/>
  <c r="O68" i="38"/>
  <c r="P68" i="38"/>
  <c r="Q68" i="38"/>
  <c r="R68" i="38"/>
  <c r="J69" i="38"/>
  <c r="K69" i="38"/>
  <c r="L69" i="38"/>
  <c r="M69" i="38"/>
  <c r="O69" i="38"/>
  <c r="P69" i="38"/>
  <c r="Q69" i="38"/>
  <c r="R69" i="38"/>
  <c r="J70" i="38"/>
  <c r="K70" i="38"/>
  <c r="L70" i="38"/>
  <c r="M70" i="38"/>
  <c r="O70" i="38"/>
  <c r="P70" i="38"/>
  <c r="Q70" i="38"/>
  <c r="R70" i="38"/>
  <c r="J71" i="38"/>
  <c r="K71" i="38"/>
  <c r="L71" i="38"/>
  <c r="M71" i="38"/>
  <c r="O71" i="38"/>
  <c r="P71" i="38"/>
  <c r="Q71" i="38"/>
  <c r="R71" i="38"/>
  <c r="J72" i="38"/>
  <c r="K72" i="38"/>
  <c r="L72" i="38"/>
  <c r="M72" i="38"/>
  <c r="O72" i="38"/>
  <c r="P72" i="38"/>
  <c r="Q72" i="38"/>
  <c r="R72" i="38"/>
  <c r="J73" i="38"/>
  <c r="K73" i="38"/>
  <c r="L73" i="38"/>
  <c r="M73" i="38"/>
  <c r="O73" i="38"/>
  <c r="P73" i="38"/>
  <c r="Q73" i="38"/>
  <c r="R73" i="38"/>
  <c r="J74" i="38"/>
  <c r="K74" i="38"/>
  <c r="L74" i="38"/>
  <c r="M74" i="38"/>
  <c r="O74" i="38"/>
  <c r="P74" i="38"/>
  <c r="Q74" i="38"/>
  <c r="R74" i="38"/>
  <c r="J75" i="38"/>
  <c r="K75" i="38"/>
  <c r="L75" i="38"/>
  <c r="M75" i="38"/>
  <c r="O75" i="38"/>
  <c r="P75" i="38"/>
  <c r="Q75" i="38"/>
  <c r="R75" i="38"/>
  <c r="J76" i="38"/>
  <c r="K76" i="38"/>
  <c r="L76" i="38"/>
  <c r="M76" i="38"/>
  <c r="O76" i="38"/>
  <c r="P76" i="38"/>
  <c r="Q76" i="38"/>
  <c r="R76" i="38"/>
  <c r="J77" i="38"/>
  <c r="K77" i="38"/>
  <c r="L77" i="38"/>
  <c r="M77" i="38"/>
  <c r="O77" i="38"/>
  <c r="P77" i="38"/>
  <c r="Q77" i="38"/>
  <c r="R77" i="38"/>
  <c r="J78" i="38"/>
  <c r="K78" i="38"/>
  <c r="L78" i="38"/>
  <c r="M78" i="38"/>
  <c r="O78" i="38"/>
  <c r="P78" i="38"/>
  <c r="Q78" i="38"/>
  <c r="R78" i="38"/>
  <c r="J79" i="38"/>
  <c r="K79" i="38"/>
  <c r="L79" i="38"/>
  <c r="M79" i="38"/>
  <c r="O79" i="38"/>
  <c r="P79" i="38"/>
  <c r="Q79" i="38"/>
  <c r="R79" i="38"/>
  <c r="J80" i="38"/>
  <c r="K80" i="38"/>
  <c r="L80" i="38"/>
  <c r="M80" i="38"/>
  <c r="O80" i="38"/>
  <c r="P80" i="38"/>
  <c r="Q80" i="38"/>
  <c r="R80" i="38"/>
  <c r="J81" i="38"/>
  <c r="K81" i="38"/>
  <c r="L81" i="38"/>
  <c r="M81" i="38"/>
  <c r="O81" i="38"/>
  <c r="P81" i="38"/>
  <c r="Q81" i="38"/>
  <c r="R81" i="38"/>
  <c r="J82" i="38"/>
  <c r="K82" i="38"/>
  <c r="L82" i="38"/>
  <c r="M82" i="38"/>
  <c r="O82" i="38"/>
  <c r="P82" i="38"/>
  <c r="Q82" i="38"/>
  <c r="R82" i="38"/>
  <c r="J83" i="38"/>
  <c r="K83" i="38"/>
  <c r="L83" i="38"/>
  <c r="M83" i="38"/>
  <c r="O83" i="38"/>
  <c r="P83" i="38"/>
  <c r="Q83" i="38"/>
  <c r="R83" i="38"/>
  <c r="J84" i="38"/>
  <c r="K84" i="38"/>
  <c r="L84" i="38"/>
  <c r="M84" i="38"/>
  <c r="O84" i="38"/>
  <c r="P84" i="38"/>
  <c r="Q84" i="38"/>
  <c r="R84" i="38"/>
  <c r="J85" i="38"/>
  <c r="K85" i="38"/>
  <c r="L85" i="38"/>
  <c r="M85" i="38"/>
  <c r="O85" i="38"/>
  <c r="P85" i="38"/>
  <c r="Q85" i="38"/>
  <c r="R85" i="38"/>
  <c r="J86" i="38"/>
  <c r="K86" i="38"/>
  <c r="L86" i="38"/>
  <c r="M86" i="38"/>
  <c r="O86" i="38"/>
  <c r="P86" i="38"/>
  <c r="Q86" i="38"/>
  <c r="R86" i="38"/>
  <c r="J87" i="38"/>
  <c r="K87" i="38"/>
  <c r="L87" i="38"/>
  <c r="M87" i="38"/>
  <c r="O87" i="38"/>
  <c r="P87" i="38"/>
  <c r="Q87" i="38"/>
  <c r="R87" i="38"/>
  <c r="J88" i="38"/>
  <c r="K88" i="38"/>
  <c r="L88" i="38"/>
  <c r="M88" i="38"/>
  <c r="O88" i="38"/>
  <c r="P88" i="38"/>
  <c r="Q88" i="38"/>
  <c r="R88" i="38"/>
  <c r="J89" i="38"/>
  <c r="K89" i="38"/>
  <c r="L89" i="38"/>
  <c r="M89" i="38"/>
  <c r="O89" i="38"/>
  <c r="P89" i="38"/>
  <c r="Q89" i="38"/>
  <c r="R89" i="38"/>
  <c r="J90" i="38"/>
  <c r="K90" i="38"/>
  <c r="L90" i="38"/>
  <c r="M90" i="38"/>
  <c r="O90" i="38"/>
  <c r="P90" i="38"/>
  <c r="Q90" i="38"/>
  <c r="R90" i="38"/>
  <c r="J91" i="38"/>
  <c r="K91" i="38"/>
  <c r="L91" i="38"/>
  <c r="M91" i="38"/>
  <c r="O91" i="38"/>
  <c r="P91" i="38"/>
  <c r="Q91" i="38"/>
  <c r="R91" i="38"/>
  <c r="J92" i="38"/>
  <c r="K92" i="38"/>
  <c r="L92" i="38"/>
  <c r="M92" i="38"/>
  <c r="O92" i="38"/>
  <c r="P92" i="38"/>
  <c r="Q92" i="38"/>
  <c r="R92" i="38"/>
  <c r="J93" i="38"/>
  <c r="K93" i="38"/>
  <c r="L93" i="38"/>
  <c r="M93" i="38"/>
  <c r="O93" i="38"/>
  <c r="P93" i="38"/>
  <c r="Q93" i="38"/>
  <c r="R93" i="38"/>
  <c r="J94" i="38"/>
  <c r="K94" i="38"/>
  <c r="L94" i="38"/>
  <c r="M94" i="38"/>
  <c r="O94" i="38"/>
  <c r="P94" i="38"/>
  <c r="Q94" i="38"/>
  <c r="R94" i="38"/>
  <c r="J95" i="38"/>
  <c r="K95" i="38"/>
  <c r="L95" i="38"/>
  <c r="M95" i="38"/>
  <c r="O95" i="38"/>
  <c r="P95" i="38"/>
  <c r="Q95" i="38"/>
  <c r="R95" i="38"/>
  <c r="J96" i="38"/>
  <c r="K96" i="38"/>
  <c r="L96" i="38"/>
  <c r="M96" i="38"/>
  <c r="O96" i="38"/>
  <c r="P96" i="38"/>
  <c r="Q96" i="38"/>
  <c r="R96" i="38"/>
  <c r="J97" i="38"/>
  <c r="K97" i="38"/>
  <c r="L97" i="38"/>
  <c r="M97" i="38"/>
  <c r="O97" i="38"/>
  <c r="P97" i="38"/>
  <c r="Q97" i="38"/>
  <c r="R97" i="38"/>
  <c r="J98" i="38"/>
  <c r="K98" i="38"/>
  <c r="L98" i="38"/>
  <c r="M98" i="38"/>
  <c r="O98" i="38"/>
  <c r="P98" i="38"/>
  <c r="Q98" i="38"/>
  <c r="R98" i="38"/>
  <c r="J99" i="38"/>
  <c r="K99" i="38"/>
  <c r="L99" i="38"/>
  <c r="M99" i="38"/>
  <c r="O99" i="38"/>
  <c r="P99" i="38"/>
  <c r="Q99" i="38"/>
  <c r="R99" i="38"/>
  <c r="J100" i="38"/>
  <c r="K100" i="38"/>
  <c r="L100" i="38"/>
  <c r="M100" i="38"/>
  <c r="O100" i="38"/>
  <c r="P100" i="38"/>
  <c r="Q100" i="38"/>
  <c r="R100" i="38"/>
  <c r="J101" i="38"/>
  <c r="K101" i="38"/>
  <c r="L101" i="38"/>
  <c r="M101" i="38"/>
  <c r="O101" i="38"/>
  <c r="P101" i="38"/>
  <c r="Q101" i="38"/>
  <c r="R101" i="38"/>
  <c r="J102" i="38"/>
  <c r="K102" i="38"/>
  <c r="L102" i="38"/>
  <c r="M102" i="38"/>
  <c r="O102" i="38"/>
  <c r="P102" i="38"/>
  <c r="Q102" i="38"/>
  <c r="R102" i="38"/>
  <c r="J103" i="38"/>
  <c r="K103" i="38"/>
  <c r="L103" i="38"/>
  <c r="M103" i="38"/>
  <c r="O103" i="38"/>
  <c r="P103" i="38"/>
  <c r="Q103" i="38"/>
  <c r="R103" i="38"/>
  <c r="J104" i="38"/>
  <c r="K104" i="38"/>
  <c r="L104" i="38"/>
  <c r="M104" i="38"/>
  <c r="O104" i="38"/>
  <c r="P104" i="38"/>
  <c r="Q104" i="38"/>
  <c r="R104" i="38"/>
  <c r="J105" i="38"/>
  <c r="K105" i="38"/>
  <c r="L105" i="38"/>
  <c r="M105" i="38"/>
  <c r="O105" i="38"/>
  <c r="P105" i="38"/>
  <c r="Q105" i="38"/>
  <c r="R105" i="38"/>
  <c r="J106" i="38"/>
  <c r="K106" i="38"/>
  <c r="L106" i="38"/>
  <c r="M106" i="38"/>
  <c r="O106" i="38"/>
  <c r="P106" i="38"/>
  <c r="Q106" i="38"/>
  <c r="R106" i="38"/>
  <c r="J107" i="38"/>
  <c r="K107" i="38"/>
  <c r="L107" i="38"/>
  <c r="M107" i="38"/>
  <c r="O107" i="38"/>
  <c r="P107" i="38"/>
  <c r="Q107" i="38"/>
  <c r="R107" i="38"/>
  <c r="J108" i="38"/>
  <c r="K108" i="38"/>
  <c r="L108" i="38"/>
  <c r="M108" i="38"/>
  <c r="O108" i="38"/>
  <c r="P108" i="38"/>
  <c r="Q108" i="38"/>
  <c r="R108" i="38"/>
  <c r="J109" i="38"/>
  <c r="K109" i="38"/>
  <c r="L109" i="38"/>
  <c r="M109" i="38"/>
  <c r="O109" i="38"/>
  <c r="P109" i="38"/>
  <c r="Q109" i="38"/>
  <c r="R109" i="38"/>
  <c r="J110" i="38"/>
  <c r="K110" i="38"/>
  <c r="L110" i="38"/>
  <c r="M110" i="38"/>
  <c r="O110" i="38"/>
  <c r="P110" i="38"/>
  <c r="Q110" i="38"/>
  <c r="R110" i="38"/>
  <c r="J111" i="38"/>
  <c r="K111" i="38"/>
  <c r="L111" i="38"/>
  <c r="M111" i="38"/>
  <c r="O111" i="38"/>
  <c r="P111" i="38"/>
  <c r="Q111" i="38"/>
  <c r="R111" i="38"/>
  <c r="J112" i="38"/>
  <c r="K112" i="38"/>
  <c r="L112" i="38"/>
  <c r="M112" i="38"/>
  <c r="O112" i="38"/>
  <c r="P112" i="38"/>
  <c r="Q112" i="38"/>
  <c r="R112" i="38"/>
  <c r="J113" i="38"/>
  <c r="K113" i="38"/>
  <c r="L113" i="38"/>
  <c r="M113" i="38"/>
  <c r="O113" i="38"/>
  <c r="P113" i="38"/>
  <c r="Q113" i="38"/>
  <c r="R113" i="38"/>
  <c r="J114" i="38"/>
  <c r="K114" i="38"/>
  <c r="L114" i="38"/>
  <c r="M114" i="38"/>
  <c r="O114" i="38"/>
  <c r="P114" i="38"/>
  <c r="Q114" i="38"/>
  <c r="R114" i="38"/>
  <c r="J115" i="38"/>
  <c r="K115" i="38"/>
  <c r="L115" i="38"/>
  <c r="M115" i="38"/>
  <c r="O115" i="38"/>
  <c r="P115" i="38"/>
  <c r="Q115" i="38"/>
  <c r="R115" i="38"/>
  <c r="J116" i="38"/>
  <c r="K116" i="38"/>
  <c r="L116" i="38"/>
  <c r="M116" i="38"/>
  <c r="O116" i="38"/>
  <c r="P116" i="38"/>
  <c r="Q116" i="38"/>
  <c r="R116" i="38"/>
  <c r="J117" i="38"/>
  <c r="K117" i="38"/>
  <c r="L117" i="38"/>
  <c r="M117" i="38"/>
  <c r="O117" i="38"/>
  <c r="P117" i="38"/>
  <c r="Q117" i="38"/>
  <c r="R117" i="38"/>
  <c r="J118" i="38"/>
  <c r="K118" i="38"/>
  <c r="L118" i="38"/>
  <c r="M118" i="38"/>
  <c r="O118" i="38"/>
  <c r="P118" i="38"/>
  <c r="Q118" i="38"/>
  <c r="R118" i="38"/>
  <c r="J119" i="38"/>
  <c r="K119" i="38"/>
  <c r="L119" i="38"/>
  <c r="M119" i="38"/>
  <c r="O119" i="38"/>
  <c r="P119" i="38"/>
  <c r="Q119" i="38"/>
  <c r="R119" i="38"/>
  <c r="J120" i="38"/>
  <c r="K120" i="38"/>
  <c r="L120" i="38"/>
  <c r="M120" i="38"/>
  <c r="O120" i="38"/>
  <c r="P120" i="38"/>
  <c r="Q120" i="38"/>
  <c r="R120" i="38"/>
  <c r="J121" i="38"/>
  <c r="K121" i="38"/>
  <c r="L121" i="38"/>
  <c r="M121" i="38"/>
  <c r="O121" i="38"/>
  <c r="P121" i="38"/>
  <c r="Q121" i="38"/>
  <c r="R121" i="38"/>
  <c r="J122" i="38"/>
  <c r="K122" i="38"/>
  <c r="L122" i="38"/>
  <c r="M122" i="38"/>
  <c r="O122" i="38"/>
  <c r="P122" i="38"/>
  <c r="Q122" i="38"/>
  <c r="R122" i="38"/>
  <c r="J123" i="38"/>
  <c r="K123" i="38"/>
  <c r="L123" i="38"/>
  <c r="M123" i="38"/>
  <c r="O123" i="38"/>
  <c r="P123" i="38"/>
  <c r="Q123" i="38"/>
  <c r="R123" i="38"/>
  <c r="J124" i="38"/>
  <c r="K124" i="38"/>
  <c r="L124" i="38"/>
  <c r="M124" i="38"/>
  <c r="O124" i="38"/>
  <c r="P124" i="38"/>
  <c r="Q124" i="38"/>
  <c r="R124" i="38"/>
  <c r="J125" i="38"/>
  <c r="K125" i="38"/>
  <c r="L125" i="38"/>
  <c r="M125" i="38"/>
  <c r="O125" i="38"/>
  <c r="P125" i="38"/>
  <c r="Q125" i="38"/>
  <c r="R125" i="38"/>
  <c r="J126" i="38"/>
  <c r="K126" i="38"/>
  <c r="L126" i="38"/>
  <c r="M126" i="38"/>
  <c r="O126" i="38"/>
  <c r="P126" i="38"/>
  <c r="Q126" i="38"/>
  <c r="R126" i="38"/>
  <c r="J127" i="38"/>
  <c r="K127" i="38"/>
  <c r="L127" i="38"/>
  <c r="M127" i="38"/>
  <c r="O127" i="38"/>
  <c r="P127" i="38"/>
  <c r="Q127" i="38"/>
  <c r="R127" i="38"/>
  <c r="J128" i="38"/>
  <c r="K128" i="38"/>
  <c r="L128" i="38"/>
  <c r="M128" i="38"/>
  <c r="O128" i="38"/>
  <c r="P128" i="38"/>
  <c r="Q128" i="38"/>
  <c r="R128" i="38"/>
  <c r="J129" i="38"/>
  <c r="K129" i="38"/>
  <c r="L129" i="38"/>
  <c r="M129" i="38"/>
  <c r="O129" i="38"/>
  <c r="P129" i="38"/>
  <c r="Q129" i="38"/>
  <c r="R129" i="38"/>
  <c r="J130" i="38"/>
  <c r="K130" i="38"/>
  <c r="L130" i="38"/>
  <c r="M130" i="38"/>
  <c r="O130" i="38"/>
  <c r="P130" i="38"/>
  <c r="Q130" i="38"/>
  <c r="R130" i="38"/>
  <c r="J131" i="38"/>
  <c r="K131" i="38"/>
  <c r="L131" i="38"/>
  <c r="M131" i="38"/>
  <c r="O131" i="38"/>
  <c r="P131" i="38"/>
  <c r="Q131" i="38"/>
  <c r="R131" i="38"/>
  <c r="J132" i="38"/>
  <c r="K132" i="38"/>
  <c r="L132" i="38"/>
  <c r="M132" i="38"/>
  <c r="O132" i="38"/>
  <c r="P132" i="38"/>
  <c r="Q132" i="38"/>
  <c r="R132" i="38"/>
  <c r="J133" i="38"/>
  <c r="K133" i="38"/>
  <c r="L133" i="38"/>
  <c r="M133" i="38"/>
  <c r="O133" i="38"/>
  <c r="P133" i="38"/>
  <c r="Q133" i="38"/>
  <c r="R133" i="38"/>
  <c r="J134" i="38"/>
  <c r="K134" i="38"/>
  <c r="L134" i="38"/>
  <c r="M134" i="38"/>
  <c r="O134" i="38"/>
  <c r="P134" i="38"/>
  <c r="Q134" i="38"/>
  <c r="R134" i="38"/>
  <c r="J135" i="38"/>
  <c r="K135" i="38"/>
  <c r="L135" i="38"/>
  <c r="M135" i="38"/>
  <c r="O135" i="38"/>
  <c r="P135" i="38"/>
  <c r="Q135" i="38"/>
  <c r="R135" i="38"/>
  <c r="J136" i="38"/>
  <c r="K136" i="38"/>
  <c r="L136" i="38"/>
  <c r="M136" i="38"/>
  <c r="O136" i="38"/>
  <c r="P136" i="38"/>
  <c r="Q136" i="38"/>
  <c r="R136" i="38"/>
  <c r="J137" i="38"/>
  <c r="K137" i="38"/>
  <c r="L137" i="38"/>
  <c r="M137" i="38"/>
  <c r="O137" i="38"/>
  <c r="P137" i="38"/>
  <c r="Q137" i="38"/>
  <c r="R137" i="38"/>
  <c r="J138" i="38"/>
  <c r="K138" i="38"/>
  <c r="L138" i="38"/>
  <c r="M138" i="38"/>
  <c r="O138" i="38"/>
  <c r="P138" i="38"/>
  <c r="Q138" i="38"/>
  <c r="R138" i="38"/>
  <c r="J139" i="38"/>
  <c r="K139" i="38"/>
  <c r="L139" i="38"/>
  <c r="M139" i="38"/>
  <c r="O139" i="38"/>
  <c r="P139" i="38"/>
  <c r="Q139" i="38"/>
  <c r="R139" i="38"/>
  <c r="J140" i="38"/>
  <c r="K140" i="38"/>
  <c r="L140" i="38"/>
  <c r="M140" i="38"/>
  <c r="O140" i="38"/>
  <c r="P140" i="38"/>
  <c r="Q140" i="38"/>
  <c r="R140" i="38"/>
  <c r="J141" i="38"/>
  <c r="K141" i="38"/>
  <c r="L141" i="38"/>
  <c r="M141" i="38"/>
  <c r="O141" i="38"/>
  <c r="P141" i="38"/>
  <c r="Q141" i="38"/>
  <c r="R141" i="38"/>
  <c r="J142" i="38"/>
  <c r="K142" i="38"/>
  <c r="L142" i="38"/>
  <c r="M142" i="38"/>
  <c r="O142" i="38"/>
  <c r="P142" i="38"/>
  <c r="Q142" i="38"/>
  <c r="R142" i="38"/>
  <c r="J143" i="38"/>
  <c r="K143" i="38"/>
  <c r="L143" i="38"/>
  <c r="M143" i="38"/>
  <c r="O143" i="38"/>
  <c r="P143" i="38"/>
  <c r="Q143" i="38"/>
  <c r="R143" i="38"/>
  <c r="J144" i="38"/>
  <c r="K144" i="38"/>
  <c r="L144" i="38"/>
  <c r="M144" i="38"/>
  <c r="O144" i="38"/>
  <c r="P144" i="38"/>
  <c r="Q144" i="38"/>
  <c r="R144" i="38"/>
  <c r="J145" i="38"/>
  <c r="K145" i="38"/>
  <c r="L145" i="38"/>
  <c r="M145" i="38"/>
  <c r="O145" i="38"/>
  <c r="P145" i="38"/>
  <c r="Q145" i="38"/>
  <c r="R145" i="38"/>
  <c r="J146" i="38"/>
  <c r="K146" i="38"/>
  <c r="L146" i="38"/>
  <c r="M146" i="38"/>
  <c r="O146" i="38"/>
  <c r="P146" i="38"/>
  <c r="Q146" i="38"/>
  <c r="R146" i="38"/>
  <c r="J147" i="38"/>
  <c r="K147" i="38"/>
  <c r="L147" i="38"/>
  <c r="M147" i="38"/>
  <c r="O147" i="38"/>
  <c r="P147" i="38"/>
  <c r="Q147" i="38"/>
  <c r="R147" i="38"/>
  <c r="J148" i="38"/>
  <c r="K148" i="38"/>
  <c r="L148" i="38"/>
  <c r="M148" i="38"/>
  <c r="O148" i="38"/>
  <c r="P148" i="38"/>
  <c r="Q148" i="38"/>
  <c r="R148" i="38"/>
  <c r="J149" i="38"/>
  <c r="K149" i="38"/>
  <c r="L149" i="38"/>
  <c r="M149" i="38"/>
  <c r="O149" i="38"/>
  <c r="P149" i="38"/>
  <c r="Q149" i="38"/>
  <c r="R149" i="38"/>
  <c r="J150" i="38"/>
  <c r="K150" i="38"/>
  <c r="L150" i="38"/>
  <c r="M150" i="38"/>
  <c r="O150" i="38"/>
  <c r="P150" i="38"/>
  <c r="Q150" i="38"/>
  <c r="R150" i="38"/>
  <c r="J151" i="38"/>
  <c r="K151" i="38"/>
  <c r="L151" i="38"/>
  <c r="M151" i="38"/>
  <c r="O151" i="38"/>
  <c r="P151" i="38"/>
  <c r="Q151" i="38"/>
  <c r="R151" i="38"/>
  <c r="J152" i="38"/>
  <c r="K152" i="38"/>
  <c r="L152" i="38"/>
  <c r="M152" i="38"/>
  <c r="O152" i="38"/>
  <c r="P152" i="38"/>
  <c r="Q152" i="38"/>
  <c r="R152" i="38"/>
  <c r="J153" i="38"/>
  <c r="K153" i="38"/>
  <c r="L153" i="38"/>
  <c r="M153" i="38"/>
  <c r="O153" i="38"/>
  <c r="P153" i="38"/>
  <c r="Q153" i="38"/>
  <c r="R153" i="38"/>
  <c r="J154" i="38"/>
  <c r="K154" i="38"/>
  <c r="L154" i="38"/>
  <c r="M154" i="38"/>
  <c r="O154" i="38"/>
  <c r="P154" i="38"/>
  <c r="Q154" i="38"/>
  <c r="R154" i="38"/>
  <c r="J155" i="38"/>
  <c r="K155" i="38"/>
  <c r="L155" i="38"/>
  <c r="M155" i="38"/>
  <c r="O155" i="38"/>
  <c r="P155" i="38"/>
  <c r="Q155" i="38"/>
  <c r="R155" i="38"/>
  <c r="J156" i="38"/>
  <c r="K156" i="38"/>
  <c r="L156" i="38"/>
  <c r="M156" i="38"/>
  <c r="O156" i="38"/>
  <c r="P156" i="38"/>
  <c r="Q156" i="38"/>
  <c r="R156" i="38"/>
  <c r="J157" i="38"/>
  <c r="K157" i="38"/>
  <c r="L157" i="38"/>
  <c r="M157" i="38"/>
  <c r="O157" i="38"/>
  <c r="P157" i="38"/>
  <c r="Q157" i="38"/>
  <c r="R157" i="38"/>
  <c r="J158" i="38"/>
  <c r="K158" i="38"/>
  <c r="L158" i="38"/>
  <c r="M158" i="38"/>
  <c r="O158" i="38"/>
  <c r="P158" i="38"/>
  <c r="Q158" i="38"/>
  <c r="R158" i="38"/>
  <c r="J159" i="38"/>
  <c r="K159" i="38"/>
  <c r="L159" i="38"/>
  <c r="M159" i="38"/>
  <c r="O159" i="38"/>
  <c r="P159" i="38"/>
  <c r="Q159" i="38"/>
  <c r="R159" i="38"/>
  <c r="J160" i="38"/>
  <c r="K160" i="38"/>
  <c r="L160" i="38"/>
  <c r="M160" i="38"/>
  <c r="O160" i="38"/>
  <c r="P160" i="38"/>
  <c r="Q160" i="38"/>
  <c r="R160" i="38"/>
  <c r="J161" i="38"/>
  <c r="K161" i="38"/>
  <c r="L161" i="38"/>
  <c r="M161" i="38"/>
  <c r="O161" i="38"/>
  <c r="P161" i="38"/>
  <c r="Q161" i="38"/>
  <c r="R161" i="38"/>
  <c r="J162" i="38"/>
  <c r="K162" i="38"/>
  <c r="L162" i="38"/>
  <c r="M162" i="38"/>
  <c r="O162" i="38"/>
  <c r="P162" i="38"/>
  <c r="Q162" i="38"/>
  <c r="R162" i="38"/>
  <c r="J163" i="38"/>
  <c r="K163" i="38"/>
  <c r="L163" i="38"/>
  <c r="M163" i="38"/>
  <c r="O163" i="38"/>
  <c r="P163" i="38"/>
  <c r="Q163" i="38"/>
  <c r="R163" i="38"/>
  <c r="J164" i="38"/>
  <c r="K164" i="38"/>
  <c r="L164" i="38"/>
  <c r="M164" i="38"/>
  <c r="O164" i="38"/>
  <c r="P164" i="38"/>
  <c r="Q164" i="38"/>
  <c r="R164" i="38"/>
  <c r="J165" i="38"/>
  <c r="K165" i="38"/>
  <c r="L165" i="38"/>
  <c r="M165" i="38"/>
  <c r="O165" i="38"/>
  <c r="P165" i="38"/>
  <c r="Q165" i="38"/>
  <c r="R165" i="38"/>
  <c r="J166" i="38"/>
  <c r="K166" i="38"/>
  <c r="L166" i="38"/>
  <c r="M166" i="38"/>
  <c r="O166" i="38"/>
  <c r="P166" i="38"/>
  <c r="Q166" i="38"/>
  <c r="R166" i="38"/>
  <c r="J167" i="38"/>
  <c r="K167" i="38"/>
  <c r="L167" i="38"/>
  <c r="M167" i="38"/>
  <c r="O167" i="38"/>
  <c r="P167" i="38"/>
  <c r="Q167" i="38"/>
  <c r="R167" i="38"/>
  <c r="J168" i="38"/>
  <c r="K168" i="38"/>
  <c r="L168" i="38"/>
  <c r="M168" i="38"/>
  <c r="O168" i="38"/>
  <c r="P168" i="38"/>
  <c r="Q168" i="38"/>
  <c r="R168" i="38"/>
  <c r="J169" i="38"/>
  <c r="K169" i="38"/>
  <c r="L169" i="38"/>
  <c r="M169" i="38"/>
  <c r="O169" i="38"/>
  <c r="P169" i="38"/>
  <c r="Q169" i="38"/>
  <c r="R169" i="38"/>
  <c r="J170" i="38"/>
  <c r="K170" i="38"/>
  <c r="L170" i="38"/>
  <c r="M170" i="38"/>
  <c r="O170" i="38"/>
  <c r="P170" i="38"/>
  <c r="Q170" i="38"/>
  <c r="R170" i="38"/>
  <c r="J171" i="38"/>
  <c r="K171" i="38"/>
  <c r="L171" i="38"/>
  <c r="M171" i="38"/>
  <c r="O171" i="38"/>
  <c r="P171" i="38"/>
  <c r="Q171" i="38"/>
  <c r="R171" i="38"/>
  <c r="J172" i="38"/>
  <c r="K172" i="38"/>
  <c r="L172" i="38"/>
  <c r="M172" i="38"/>
  <c r="O172" i="38"/>
  <c r="P172" i="38"/>
  <c r="Q172" i="38"/>
  <c r="R172" i="38"/>
  <c r="J173" i="38"/>
  <c r="K173" i="38"/>
  <c r="L173" i="38"/>
  <c r="M173" i="38"/>
  <c r="O173" i="38"/>
  <c r="P173" i="38"/>
  <c r="Q173" i="38"/>
  <c r="R173" i="38"/>
  <c r="J174" i="38"/>
  <c r="K174" i="38"/>
  <c r="L174" i="38"/>
  <c r="M174" i="38"/>
  <c r="O174" i="38"/>
  <c r="P174" i="38"/>
  <c r="Q174" i="38"/>
  <c r="R174" i="38"/>
  <c r="J175" i="38"/>
  <c r="K175" i="38"/>
  <c r="L175" i="38"/>
  <c r="M175" i="38"/>
  <c r="O175" i="38"/>
  <c r="P175" i="38"/>
  <c r="Q175" i="38"/>
  <c r="R175" i="38"/>
  <c r="J176" i="38"/>
  <c r="K176" i="38"/>
  <c r="L176" i="38"/>
  <c r="M176" i="38"/>
  <c r="O176" i="38"/>
  <c r="P176" i="38"/>
  <c r="Q176" i="38"/>
  <c r="R176" i="38"/>
  <c r="J177" i="38"/>
  <c r="K177" i="38"/>
  <c r="L177" i="38"/>
  <c r="M177" i="38"/>
  <c r="O177" i="38"/>
  <c r="P177" i="38"/>
  <c r="Q177" i="38"/>
  <c r="R177" i="38"/>
  <c r="J178" i="38"/>
  <c r="K178" i="38"/>
  <c r="L178" i="38"/>
  <c r="M178" i="38"/>
  <c r="O178" i="38"/>
  <c r="P178" i="38"/>
  <c r="Q178" i="38"/>
  <c r="R178" i="38"/>
  <c r="J179" i="38"/>
  <c r="K179" i="38"/>
  <c r="L179" i="38"/>
  <c r="M179" i="38"/>
  <c r="O179" i="38"/>
  <c r="P179" i="38"/>
  <c r="Q179" i="38"/>
  <c r="R179" i="38"/>
  <c r="J180" i="38"/>
  <c r="K180" i="38"/>
  <c r="L180" i="38"/>
  <c r="M180" i="38"/>
  <c r="O180" i="38"/>
  <c r="P180" i="38"/>
  <c r="Q180" i="38"/>
  <c r="R180" i="38"/>
  <c r="J181" i="38"/>
  <c r="K181" i="38"/>
  <c r="L181" i="38"/>
  <c r="M181" i="38"/>
  <c r="O181" i="38"/>
  <c r="P181" i="38"/>
  <c r="Q181" i="38"/>
  <c r="R181" i="38"/>
  <c r="J182" i="38"/>
  <c r="K182" i="38"/>
  <c r="L182" i="38"/>
  <c r="M182" i="38"/>
  <c r="O182" i="38"/>
  <c r="P182" i="38"/>
  <c r="Q182" i="38"/>
  <c r="R182" i="38"/>
  <c r="M47" i="38"/>
  <c r="L47" i="38"/>
  <c r="K47" i="38"/>
  <c r="J47" i="38"/>
  <c r="P40" i="38"/>
  <c r="P41" i="38"/>
  <c r="P42" i="38"/>
  <c r="P39" i="38"/>
  <c r="R36" i="38"/>
  <c r="R37" i="38"/>
  <c r="R38" i="38"/>
  <c r="R35" i="38"/>
  <c r="K40" i="38"/>
  <c r="K41" i="38"/>
  <c r="K42" i="38"/>
  <c r="K39" i="38"/>
  <c r="J39" i="38"/>
  <c r="M36" i="38"/>
  <c r="M37" i="38"/>
  <c r="M38" i="38"/>
  <c r="M35" i="38"/>
  <c r="J35" i="38"/>
  <c r="J31" i="38"/>
  <c r="P12" i="38"/>
  <c r="Q12" i="38"/>
  <c r="L12" i="38"/>
  <c r="O12" i="38"/>
  <c r="K12" i="38"/>
  <c r="O11" i="38"/>
  <c r="P11" i="38"/>
  <c r="Q11" i="38"/>
  <c r="R11" i="38"/>
  <c r="J11" i="38"/>
  <c r="K11" i="38"/>
  <c r="L11" i="38"/>
  <c r="M11" i="38"/>
  <c r="J10" i="38"/>
  <c r="M10" i="38"/>
  <c r="K10" i="38"/>
  <c r="P10" i="38"/>
  <c r="L10" i="38"/>
  <c r="Q10" i="38"/>
  <c r="R10" i="38"/>
  <c r="R43" i="38" s="1"/>
  <c r="O10" i="38"/>
  <c r="M273" i="38" l="1"/>
  <c r="M420" i="38"/>
  <c r="M43" i="38"/>
  <c r="R420" i="38"/>
  <c r="K348" i="38"/>
  <c r="K13" i="38"/>
  <c r="K20" i="38"/>
  <c r="L31" i="38"/>
  <c r="L267" i="38" l="1"/>
  <c r="J268" i="38"/>
  <c r="K268" i="38"/>
  <c r="L268" i="38"/>
  <c r="J269" i="38"/>
  <c r="K269" i="38"/>
  <c r="L269" i="38"/>
  <c r="J270" i="38"/>
  <c r="K270" i="38"/>
  <c r="L270" i="38"/>
  <c r="J272" i="38"/>
  <c r="Q379" i="38"/>
  <c r="Q420" i="38" s="1"/>
  <c r="H348" i="38"/>
  <c r="F356" i="38"/>
  <c r="G356" i="38"/>
  <c r="H356" i="38"/>
  <c r="F361" i="38"/>
  <c r="G361" i="38"/>
  <c r="H361" i="38"/>
  <c r="Y384" i="7"/>
  <c r="T395" i="7" l="1"/>
  <c r="F253" i="33" l="1"/>
  <c r="I253" i="33"/>
  <c r="AW253" i="33"/>
  <c r="AL253" i="33"/>
  <c r="AM253" i="33"/>
  <c r="AN253" i="33"/>
  <c r="AO253" i="33"/>
  <c r="AP253" i="33"/>
  <c r="AQ253" i="33"/>
  <c r="AR253" i="33"/>
  <c r="AS253" i="33"/>
  <c r="AC253" i="33"/>
  <c r="AD253" i="33"/>
  <c r="AE253" i="33"/>
  <c r="AF253" i="33"/>
  <c r="AG253" i="33"/>
  <c r="AH253" i="33"/>
  <c r="AI253" i="33"/>
  <c r="AJ253" i="33"/>
  <c r="AK253" i="33"/>
  <c r="Z253" i="33"/>
  <c r="AA253" i="33"/>
  <c r="AB253" i="33"/>
  <c r="W253" i="33"/>
  <c r="P253" i="33"/>
  <c r="Q253" i="33"/>
  <c r="T253" i="33"/>
  <c r="U253" i="33"/>
  <c r="V253" i="33"/>
  <c r="O253" i="33"/>
  <c r="N253" i="33"/>
  <c r="G253" i="33"/>
  <c r="J253" i="33"/>
  <c r="K253" i="33"/>
  <c r="L253" i="33"/>
  <c r="M253" i="33"/>
  <c r="E253" i="33"/>
  <c r="K27" i="21" l="1"/>
  <c r="K2" i="39"/>
  <c r="M2" i="39"/>
  <c r="O2" i="39"/>
  <c r="E63" i="30"/>
  <c r="E61" i="30"/>
  <c r="F57" i="30"/>
  <c r="F56" i="30"/>
  <c r="F55" i="30"/>
  <c r="F54" i="30"/>
  <c r="F53" i="30"/>
  <c r="E57" i="30"/>
  <c r="E56" i="30"/>
  <c r="E55" i="30"/>
  <c r="E54" i="30"/>
  <c r="E53" i="30"/>
  <c r="D57" i="30"/>
  <c r="D56" i="30"/>
  <c r="D55" i="30"/>
  <c r="D54" i="30"/>
  <c r="D53" i="30"/>
  <c r="C57" i="30"/>
  <c r="C56" i="30"/>
  <c r="C55" i="30"/>
  <c r="C54" i="30"/>
  <c r="C53" i="30"/>
  <c r="B57" i="30"/>
  <c r="B56" i="30"/>
  <c r="B55" i="30"/>
  <c r="B54" i="30"/>
  <c r="B53" i="30"/>
  <c r="F47" i="30"/>
  <c r="E47" i="30"/>
  <c r="D47" i="30"/>
  <c r="C47" i="30"/>
  <c r="B47" i="30"/>
  <c r="B29" i="30"/>
  <c r="G57" i="30" l="1"/>
  <c r="G56" i="30"/>
  <c r="G55" i="30"/>
  <c r="G54" i="30"/>
  <c r="G53" i="30"/>
  <c r="G47" i="30"/>
  <c r="AW9" i="33" l="1"/>
  <c r="AG2" i="33"/>
  <c r="AH2" i="33"/>
  <c r="AI2" i="33"/>
  <c r="AJ2" i="33"/>
  <c r="AK2" i="33"/>
  <c r="AL2" i="33"/>
  <c r="AM2" i="33"/>
  <c r="AN2" i="33"/>
  <c r="AO2" i="33"/>
  <c r="AP2" i="33"/>
  <c r="AQ2" i="33"/>
  <c r="AG3" i="33"/>
  <c r="AH3" i="33"/>
  <c r="AI3" i="33"/>
  <c r="AJ3" i="33"/>
  <c r="AK3" i="33"/>
  <c r="AL3" i="33"/>
  <c r="AM3" i="33"/>
  <c r="AN3" i="33"/>
  <c r="AO3" i="33"/>
  <c r="AP3" i="33"/>
  <c r="AQ3" i="33"/>
  <c r="AG4" i="33"/>
  <c r="AH4" i="33"/>
  <c r="AI4" i="33"/>
  <c r="AJ4" i="33"/>
  <c r="AK4" i="33"/>
  <c r="AL4" i="33"/>
  <c r="AM4" i="33"/>
  <c r="AN4" i="33"/>
  <c r="AO4" i="33"/>
  <c r="AP4" i="33"/>
  <c r="AQ4" i="33"/>
  <c r="AG5" i="33"/>
  <c r="AH5" i="33"/>
  <c r="AI5" i="33"/>
  <c r="AI9" i="33" s="1"/>
  <c r="AJ5" i="33"/>
  <c r="AK5" i="33"/>
  <c r="AL5" i="33"/>
  <c r="AM5" i="33"/>
  <c r="AN5" i="33"/>
  <c r="AO5" i="33"/>
  <c r="AP5" i="33"/>
  <c r="AQ5" i="33"/>
  <c r="AG6" i="33"/>
  <c r="AH6" i="33"/>
  <c r="AI6" i="33"/>
  <c r="AJ6" i="33"/>
  <c r="AK6" i="33"/>
  <c r="AL6" i="33"/>
  <c r="AM6" i="33"/>
  <c r="AN6" i="33"/>
  <c r="AO6" i="33"/>
  <c r="AP6" i="33"/>
  <c r="AQ6" i="33"/>
  <c r="AG7" i="33"/>
  <c r="AH7" i="33"/>
  <c r="AI7" i="33"/>
  <c r="AJ7" i="33"/>
  <c r="AK7" i="33"/>
  <c r="AL7" i="33"/>
  <c r="AM7" i="33"/>
  <c r="AN7" i="33"/>
  <c r="AO7" i="33"/>
  <c r="AP7" i="33"/>
  <c r="AQ7" i="33"/>
  <c r="AG8" i="33"/>
  <c r="AH8" i="33"/>
  <c r="AI8" i="33"/>
  <c r="AJ8" i="33"/>
  <c r="AK8" i="33"/>
  <c r="AL8" i="33"/>
  <c r="AM8" i="33"/>
  <c r="AN8" i="33"/>
  <c r="AO8" i="33"/>
  <c r="AP8" i="33"/>
  <c r="AQ8" i="33"/>
  <c r="AG10" i="33"/>
  <c r="AH10" i="33"/>
  <c r="AI10" i="33"/>
  <c r="AJ10" i="33"/>
  <c r="AK10" i="33"/>
  <c r="AL10" i="33"/>
  <c r="AM10" i="33"/>
  <c r="AN10" i="33"/>
  <c r="AO10" i="33"/>
  <c r="AP10" i="33"/>
  <c r="AQ10" i="33"/>
  <c r="AG11" i="33"/>
  <c r="AH11" i="33"/>
  <c r="AI11" i="33"/>
  <c r="AJ11" i="33"/>
  <c r="AK11" i="33"/>
  <c r="AL11" i="33"/>
  <c r="AM11" i="33"/>
  <c r="AN11" i="33"/>
  <c r="AO11" i="33"/>
  <c r="AP11" i="33"/>
  <c r="AQ11" i="33"/>
  <c r="AG12" i="33"/>
  <c r="AH12" i="33"/>
  <c r="AI12" i="33"/>
  <c r="AJ12" i="33"/>
  <c r="AK12" i="33"/>
  <c r="AL12" i="33"/>
  <c r="AM12" i="33"/>
  <c r="AN12" i="33"/>
  <c r="AO12" i="33"/>
  <c r="AP12" i="33"/>
  <c r="AQ12" i="33"/>
  <c r="AG13" i="33"/>
  <c r="AH13" i="33"/>
  <c r="AI13" i="33"/>
  <c r="AJ13" i="33"/>
  <c r="AK13" i="33"/>
  <c r="AL13" i="33"/>
  <c r="AM13" i="33"/>
  <c r="AN13" i="33"/>
  <c r="AO13" i="33"/>
  <c r="AP13" i="33"/>
  <c r="AQ13" i="33"/>
  <c r="AG14" i="33"/>
  <c r="AH14" i="33"/>
  <c r="AI14" i="33"/>
  <c r="AJ14" i="33"/>
  <c r="AK14" i="33"/>
  <c r="AL14" i="33"/>
  <c r="AM14" i="33"/>
  <c r="AN14" i="33"/>
  <c r="AO14" i="33"/>
  <c r="AP14" i="33"/>
  <c r="AQ14" i="33"/>
  <c r="AG15" i="33"/>
  <c r="AH15" i="33"/>
  <c r="AI15" i="33"/>
  <c r="AJ15" i="33"/>
  <c r="AK15" i="33"/>
  <c r="AL15" i="33"/>
  <c r="AM15" i="33"/>
  <c r="AN15" i="33"/>
  <c r="AO15" i="33"/>
  <c r="AP15" i="33"/>
  <c r="AQ15" i="33"/>
  <c r="AG18" i="33"/>
  <c r="AH18" i="33"/>
  <c r="AI18" i="33"/>
  <c r="AJ18" i="33"/>
  <c r="AJ20" i="33" s="1"/>
  <c r="AK18" i="33"/>
  <c r="AL18" i="33"/>
  <c r="AL20" i="33" s="1"/>
  <c r="AM18" i="33"/>
  <c r="AM20" i="33" s="1"/>
  <c r="AN18" i="33"/>
  <c r="AO18" i="33"/>
  <c r="AP18" i="33"/>
  <c r="AQ18" i="33"/>
  <c r="AG19" i="33"/>
  <c r="AG20" i="33" s="1"/>
  <c r="AH19" i="33"/>
  <c r="AH20" i="33" s="1"/>
  <c r="AI19" i="33"/>
  <c r="AJ19" i="33"/>
  <c r="AK19" i="33"/>
  <c r="AL19" i="33"/>
  <c r="AM19" i="33"/>
  <c r="AN19" i="33"/>
  <c r="AO19" i="33"/>
  <c r="AO20" i="33" s="1"/>
  <c r="AP19" i="33"/>
  <c r="AP20" i="33" s="1"/>
  <c r="AQ19" i="33"/>
  <c r="AG21" i="33"/>
  <c r="AH21" i="33"/>
  <c r="AI21" i="33"/>
  <c r="AJ21" i="33"/>
  <c r="AK21" i="33"/>
  <c r="AL21" i="33"/>
  <c r="AL24" i="33" s="1"/>
  <c r="AM21" i="33"/>
  <c r="AN21" i="33"/>
  <c r="AO21" i="33"/>
  <c r="AP21" i="33"/>
  <c r="AQ21" i="33"/>
  <c r="AG22" i="33"/>
  <c r="AH22" i="33"/>
  <c r="AI22" i="33"/>
  <c r="AI24" i="33" s="1"/>
  <c r="AJ22" i="33"/>
  <c r="AK22" i="33"/>
  <c r="AL22" i="33"/>
  <c r="AM22" i="33"/>
  <c r="AN22" i="33"/>
  <c r="AO22" i="33"/>
  <c r="AP22" i="33"/>
  <c r="AQ22" i="33"/>
  <c r="AQ24" i="33" s="1"/>
  <c r="AG23" i="33"/>
  <c r="AG24" i="33" s="1"/>
  <c r="AH23" i="33"/>
  <c r="AI23" i="33"/>
  <c r="AJ23" i="33"/>
  <c r="AK23" i="33"/>
  <c r="AL23" i="33"/>
  <c r="AM23" i="33"/>
  <c r="AN23" i="33"/>
  <c r="AO23" i="33"/>
  <c r="AO24" i="33" s="1"/>
  <c r="AP23" i="33"/>
  <c r="AQ23" i="33"/>
  <c r="AG26" i="33"/>
  <c r="AH26" i="33"/>
  <c r="AI26" i="33"/>
  <c r="AJ26" i="33"/>
  <c r="AK26" i="33"/>
  <c r="AL26" i="33"/>
  <c r="AM26" i="33"/>
  <c r="AN26" i="33"/>
  <c r="AO26" i="33"/>
  <c r="AP26" i="33"/>
  <c r="AQ26" i="33"/>
  <c r="AG27" i="33"/>
  <c r="AH27" i="33"/>
  <c r="AI27" i="33"/>
  <c r="AJ27" i="33"/>
  <c r="AK27" i="33"/>
  <c r="AL27" i="33"/>
  <c r="AM27" i="33"/>
  <c r="AN27" i="33"/>
  <c r="AO27" i="33"/>
  <c r="AP27" i="33"/>
  <c r="AQ27" i="33"/>
  <c r="AG28" i="33"/>
  <c r="AH28" i="33"/>
  <c r="AI28" i="33"/>
  <c r="AJ28" i="33"/>
  <c r="AK28" i="33"/>
  <c r="AL28" i="33"/>
  <c r="AM28" i="33"/>
  <c r="AN28" i="33"/>
  <c r="AO28" i="33"/>
  <c r="AP28" i="33"/>
  <c r="AQ28" i="33"/>
  <c r="AG29" i="33"/>
  <c r="AH29" i="33"/>
  <c r="AI29" i="33"/>
  <c r="AJ29" i="33"/>
  <c r="AK29" i="33"/>
  <c r="AL29" i="33"/>
  <c r="AM29" i="33"/>
  <c r="AN29" i="33"/>
  <c r="AO29" i="33"/>
  <c r="AP29" i="33"/>
  <c r="AQ29" i="33"/>
  <c r="AG30" i="33"/>
  <c r="AH30" i="33"/>
  <c r="AI30" i="33"/>
  <c r="AJ30" i="33"/>
  <c r="AK30" i="33"/>
  <c r="AL30" i="33"/>
  <c r="AM30" i="33"/>
  <c r="AN30" i="33"/>
  <c r="AO30" i="33"/>
  <c r="AP30" i="33"/>
  <c r="AQ30" i="33"/>
  <c r="AG31" i="33"/>
  <c r="AH31" i="33"/>
  <c r="AI31" i="33"/>
  <c r="AJ31" i="33"/>
  <c r="AK31" i="33"/>
  <c r="AL31" i="33"/>
  <c r="AM31" i="33"/>
  <c r="AN31" i="33"/>
  <c r="AO31" i="33"/>
  <c r="AP31" i="33"/>
  <c r="AQ31" i="33"/>
  <c r="AG32" i="33"/>
  <c r="AH32" i="33"/>
  <c r="AI32" i="33"/>
  <c r="AJ32" i="33"/>
  <c r="AK32" i="33"/>
  <c r="AL32" i="33"/>
  <c r="AM32" i="33"/>
  <c r="AN32" i="33"/>
  <c r="AO32" i="33"/>
  <c r="AP32" i="33"/>
  <c r="AQ32" i="33"/>
  <c r="AG33" i="33"/>
  <c r="AH33" i="33"/>
  <c r="AI33" i="33"/>
  <c r="AJ33" i="33"/>
  <c r="AK33" i="33"/>
  <c r="AL33" i="33"/>
  <c r="AM33" i="33"/>
  <c r="AN33" i="33"/>
  <c r="AO33" i="33"/>
  <c r="AP33" i="33"/>
  <c r="AQ33" i="33"/>
  <c r="AG34" i="33"/>
  <c r="AH34" i="33"/>
  <c r="AI34" i="33"/>
  <c r="AJ34" i="33"/>
  <c r="AK34" i="33"/>
  <c r="AL34" i="33"/>
  <c r="AM34" i="33"/>
  <c r="AN34" i="33"/>
  <c r="AO34" i="33"/>
  <c r="AP34" i="33"/>
  <c r="AQ34" i="33"/>
  <c r="AG35" i="33"/>
  <c r="AH35" i="33"/>
  <c r="AI35" i="33"/>
  <c r="AJ35" i="33"/>
  <c r="AK35" i="33"/>
  <c r="AL35" i="33"/>
  <c r="AM35" i="33"/>
  <c r="AN35" i="33"/>
  <c r="AO35" i="33"/>
  <c r="AP35" i="33"/>
  <c r="AQ35" i="33"/>
  <c r="AG36" i="33"/>
  <c r="AH36" i="33"/>
  <c r="AI36" i="33"/>
  <c r="AJ36" i="33"/>
  <c r="AK36" i="33"/>
  <c r="AL36" i="33"/>
  <c r="AM36" i="33"/>
  <c r="AN36" i="33"/>
  <c r="AO36" i="33"/>
  <c r="AP36" i="33"/>
  <c r="AQ36" i="33"/>
  <c r="AG38" i="33"/>
  <c r="AH38" i="33"/>
  <c r="AI38" i="33"/>
  <c r="AJ38" i="33"/>
  <c r="AK38" i="33"/>
  <c r="AL38" i="33"/>
  <c r="AM38" i="33"/>
  <c r="AN38" i="33"/>
  <c r="AO38" i="33"/>
  <c r="AP38" i="33"/>
  <c r="AQ38" i="33"/>
  <c r="AG39" i="33"/>
  <c r="AH39" i="33"/>
  <c r="AI39" i="33"/>
  <c r="AJ39" i="33"/>
  <c r="AK39" i="33"/>
  <c r="AL39" i="33"/>
  <c r="AM39" i="33"/>
  <c r="AN39" i="33"/>
  <c r="AO39" i="33"/>
  <c r="AP39" i="33"/>
  <c r="AQ39" i="33"/>
  <c r="AG40" i="33"/>
  <c r="AH40" i="33"/>
  <c r="AI40" i="33"/>
  <c r="AJ40" i="33"/>
  <c r="AK40" i="33"/>
  <c r="AL40" i="33"/>
  <c r="AM40" i="33"/>
  <c r="AN40" i="33"/>
  <c r="AO40" i="33"/>
  <c r="AP40" i="33"/>
  <c r="AQ40" i="33"/>
  <c r="AG41" i="33"/>
  <c r="AH41" i="33"/>
  <c r="AI41" i="33"/>
  <c r="AJ41" i="33"/>
  <c r="AK41" i="33"/>
  <c r="AL41" i="33"/>
  <c r="AM41" i="33"/>
  <c r="AN41" i="33"/>
  <c r="AO41" i="33"/>
  <c r="AP41" i="33"/>
  <c r="AQ41" i="33"/>
  <c r="AG42" i="33"/>
  <c r="AH42" i="33"/>
  <c r="AI42" i="33"/>
  <c r="AJ42" i="33"/>
  <c r="AK42" i="33"/>
  <c r="AL42" i="33"/>
  <c r="AM42" i="33"/>
  <c r="AN42" i="33"/>
  <c r="AO42" i="33"/>
  <c r="AP42" i="33"/>
  <c r="AQ42" i="33"/>
  <c r="AG43" i="33"/>
  <c r="AH43" i="33"/>
  <c r="AI43" i="33"/>
  <c r="AJ43" i="33"/>
  <c r="AK43" i="33"/>
  <c r="AL43" i="33"/>
  <c r="AM43" i="33"/>
  <c r="AN43" i="33"/>
  <c r="AO43" i="33"/>
  <c r="AP43" i="33"/>
  <c r="AQ43" i="33"/>
  <c r="AG44" i="33"/>
  <c r="AH44" i="33"/>
  <c r="AI44" i="33"/>
  <c r="AJ44" i="33"/>
  <c r="AK44" i="33"/>
  <c r="AL44" i="33"/>
  <c r="AM44" i="33"/>
  <c r="AN44" i="33"/>
  <c r="AO44" i="33"/>
  <c r="AP44" i="33"/>
  <c r="AQ44" i="33"/>
  <c r="AG45" i="33"/>
  <c r="AH45" i="33"/>
  <c r="AI45" i="33"/>
  <c r="AJ45" i="33"/>
  <c r="AK45" i="33"/>
  <c r="AL45" i="33"/>
  <c r="AM45" i="33"/>
  <c r="AN45" i="33"/>
  <c r="AO45" i="33"/>
  <c r="AP45" i="33"/>
  <c r="AQ45" i="33"/>
  <c r="AG48" i="33"/>
  <c r="AH48" i="33"/>
  <c r="AI48" i="33"/>
  <c r="AJ48" i="33"/>
  <c r="AK48" i="33"/>
  <c r="AL48" i="33"/>
  <c r="AM48" i="33"/>
  <c r="AN48" i="33"/>
  <c r="AO48" i="33"/>
  <c r="AP48" i="33"/>
  <c r="AQ48" i="33"/>
  <c r="AG49" i="33"/>
  <c r="AH49" i="33"/>
  <c r="AI49" i="33"/>
  <c r="AJ49" i="33"/>
  <c r="AK49" i="33"/>
  <c r="AK59" i="33" s="1"/>
  <c r="AL49" i="33"/>
  <c r="AM49" i="33"/>
  <c r="AN49" i="33"/>
  <c r="AO49" i="33"/>
  <c r="AP49" i="33"/>
  <c r="AQ49" i="33"/>
  <c r="AG50" i="33"/>
  <c r="AH50" i="33"/>
  <c r="AI50" i="33"/>
  <c r="AJ50" i="33"/>
  <c r="AK50" i="33"/>
  <c r="AL50" i="33"/>
  <c r="AM50" i="33"/>
  <c r="AN50" i="33"/>
  <c r="AO50" i="33"/>
  <c r="AP50" i="33"/>
  <c r="AQ50" i="33"/>
  <c r="AG51" i="33"/>
  <c r="AH51" i="33"/>
  <c r="AI51" i="33"/>
  <c r="AJ51" i="33"/>
  <c r="AK51" i="33"/>
  <c r="AL51" i="33"/>
  <c r="AM51" i="33"/>
  <c r="AN51" i="33"/>
  <c r="AO51" i="33"/>
  <c r="AP51" i="33"/>
  <c r="AQ51" i="33"/>
  <c r="AG52" i="33"/>
  <c r="AH52" i="33"/>
  <c r="AI52" i="33"/>
  <c r="AJ52" i="33"/>
  <c r="AK52" i="33"/>
  <c r="AL52" i="33"/>
  <c r="AM52" i="33"/>
  <c r="AN52" i="33"/>
  <c r="AO52" i="33"/>
  <c r="AP52" i="33"/>
  <c r="AQ52" i="33"/>
  <c r="AG53" i="33"/>
  <c r="AH53" i="33"/>
  <c r="AI53" i="33"/>
  <c r="AJ53" i="33"/>
  <c r="AK53" i="33"/>
  <c r="AL53" i="33"/>
  <c r="AM53" i="33"/>
  <c r="AN53" i="33"/>
  <c r="AO53" i="33"/>
  <c r="AP53" i="33"/>
  <c r="AQ53" i="33"/>
  <c r="AG54" i="33"/>
  <c r="AH54" i="33"/>
  <c r="AI54" i="33"/>
  <c r="AJ54" i="33"/>
  <c r="AK54" i="33"/>
  <c r="AL54" i="33"/>
  <c r="AM54" i="33"/>
  <c r="AN54" i="33"/>
  <c r="AO54" i="33"/>
  <c r="AP54" i="33"/>
  <c r="AQ54" i="33"/>
  <c r="AG55" i="33"/>
  <c r="AH55" i="33"/>
  <c r="AI55" i="33"/>
  <c r="AJ55" i="33"/>
  <c r="AK55" i="33"/>
  <c r="AL55" i="33"/>
  <c r="AM55" i="33"/>
  <c r="AN55" i="33"/>
  <c r="AO55" i="33"/>
  <c r="AP55" i="33"/>
  <c r="AQ55" i="33"/>
  <c r="AG56" i="33"/>
  <c r="AH56" i="33"/>
  <c r="AI56" i="33"/>
  <c r="AJ56" i="33"/>
  <c r="AK56" i="33"/>
  <c r="AL56" i="33"/>
  <c r="AM56" i="33"/>
  <c r="AN56" i="33"/>
  <c r="AO56" i="33"/>
  <c r="AP56" i="33"/>
  <c r="AQ56" i="33"/>
  <c r="AG57" i="33"/>
  <c r="AH57" i="33"/>
  <c r="AI57" i="33"/>
  <c r="AJ57" i="33"/>
  <c r="AK57" i="33"/>
  <c r="AL57" i="33"/>
  <c r="AM57" i="33"/>
  <c r="AN57" i="33"/>
  <c r="AO57" i="33"/>
  <c r="AP57" i="33"/>
  <c r="AQ57" i="33"/>
  <c r="AG58" i="33"/>
  <c r="AH58" i="33"/>
  <c r="AI58" i="33"/>
  <c r="AJ58" i="33"/>
  <c r="AK58" i="33"/>
  <c r="AL58" i="33"/>
  <c r="AM58" i="33"/>
  <c r="AN58" i="33"/>
  <c r="AO58" i="33"/>
  <c r="AP58" i="33"/>
  <c r="AQ58" i="33"/>
  <c r="AG60" i="33"/>
  <c r="AH60" i="33"/>
  <c r="AI60" i="33"/>
  <c r="AJ60" i="33"/>
  <c r="AK60" i="33"/>
  <c r="AL60" i="33"/>
  <c r="AM60" i="33"/>
  <c r="AN60" i="33"/>
  <c r="AO60" i="33"/>
  <c r="AP60" i="33"/>
  <c r="AQ60" i="33"/>
  <c r="AG61" i="33"/>
  <c r="AH61" i="33"/>
  <c r="AI61" i="33"/>
  <c r="AJ61" i="33"/>
  <c r="AK61" i="33"/>
  <c r="AL61" i="33"/>
  <c r="AM61" i="33"/>
  <c r="AN61" i="33"/>
  <c r="AO61" i="33"/>
  <c r="AP61" i="33"/>
  <c r="AQ61" i="33"/>
  <c r="AG62" i="33"/>
  <c r="AH62" i="33"/>
  <c r="AI62" i="33"/>
  <c r="AJ62" i="33"/>
  <c r="AK62" i="33"/>
  <c r="AL62" i="33"/>
  <c r="AM62" i="33"/>
  <c r="AN62" i="33"/>
  <c r="AO62" i="33"/>
  <c r="AP62" i="33"/>
  <c r="AQ62" i="33"/>
  <c r="AG63" i="33"/>
  <c r="AH63" i="33"/>
  <c r="AI63" i="33"/>
  <c r="AJ63" i="33"/>
  <c r="AK63" i="33"/>
  <c r="AL63" i="33"/>
  <c r="AM63" i="33"/>
  <c r="AN63" i="33"/>
  <c r="AO63" i="33"/>
  <c r="AP63" i="33"/>
  <c r="AQ63" i="33"/>
  <c r="AG64" i="33"/>
  <c r="AH64" i="33"/>
  <c r="AI64" i="33"/>
  <c r="AJ64" i="33"/>
  <c r="AK64" i="33"/>
  <c r="AL64" i="33"/>
  <c r="AM64" i="33"/>
  <c r="AN64" i="33"/>
  <c r="AO64" i="33"/>
  <c r="AP64" i="33"/>
  <c r="AQ64" i="33"/>
  <c r="AG65" i="33"/>
  <c r="AH65" i="33"/>
  <c r="AI65" i="33"/>
  <c r="AJ65" i="33"/>
  <c r="AK65" i="33"/>
  <c r="AL65" i="33"/>
  <c r="AM65" i="33"/>
  <c r="AN65" i="33"/>
  <c r="AO65" i="33"/>
  <c r="AP65" i="33"/>
  <c r="AQ65" i="33"/>
  <c r="AG66" i="33"/>
  <c r="AH66" i="33"/>
  <c r="AI66" i="33"/>
  <c r="AJ66" i="33"/>
  <c r="AK66" i="33"/>
  <c r="AL66" i="33"/>
  <c r="AM66" i="33"/>
  <c r="AN66" i="33"/>
  <c r="AO66" i="33"/>
  <c r="AP66" i="33"/>
  <c r="AQ66" i="33"/>
  <c r="AG67" i="33"/>
  <c r="AH67" i="33"/>
  <c r="AI67" i="33"/>
  <c r="AJ67" i="33"/>
  <c r="AK67" i="33"/>
  <c r="AL67" i="33"/>
  <c r="AM67" i="33"/>
  <c r="AN67" i="33"/>
  <c r="AO67" i="33"/>
  <c r="AP67" i="33"/>
  <c r="AQ67" i="33"/>
  <c r="AG68" i="33"/>
  <c r="AH68" i="33"/>
  <c r="AI68" i="33"/>
  <c r="AJ68" i="33"/>
  <c r="AK68" i="33"/>
  <c r="AL68" i="33"/>
  <c r="AM68" i="33"/>
  <c r="AN68" i="33"/>
  <c r="AO68" i="33"/>
  <c r="AP68" i="33"/>
  <c r="AQ68" i="33"/>
  <c r="AG71" i="33"/>
  <c r="AH71" i="33"/>
  <c r="AI71" i="33"/>
  <c r="AJ71" i="33"/>
  <c r="AK71" i="33"/>
  <c r="AL71" i="33"/>
  <c r="AM71" i="33"/>
  <c r="AN71" i="33"/>
  <c r="AO71" i="33"/>
  <c r="AP71" i="33"/>
  <c r="AP76" i="33" s="1"/>
  <c r="AQ71" i="33"/>
  <c r="AG72" i="33"/>
  <c r="AH72" i="33"/>
  <c r="AI72" i="33"/>
  <c r="AJ72" i="33"/>
  <c r="AK72" i="33"/>
  <c r="AL72" i="33"/>
  <c r="AM72" i="33"/>
  <c r="AN72" i="33"/>
  <c r="AO72" i="33"/>
  <c r="AP72" i="33"/>
  <c r="AQ72" i="33"/>
  <c r="AG73" i="33"/>
  <c r="AH73" i="33"/>
  <c r="AI73" i="33"/>
  <c r="AJ73" i="33"/>
  <c r="AK73" i="33"/>
  <c r="AL73" i="33"/>
  <c r="AM73" i="33"/>
  <c r="AN73" i="33"/>
  <c r="AO73" i="33"/>
  <c r="AP73" i="33"/>
  <c r="AQ73" i="33"/>
  <c r="AG74" i="33"/>
  <c r="AH74" i="33"/>
  <c r="AI74" i="33"/>
  <c r="AJ74" i="33"/>
  <c r="AK74" i="33"/>
  <c r="AL74" i="33"/>
  <c r="AM74" i="33"/>
  <c r="AN74" i="33"/>
  <c r="AO74" i="33"/>
  <c r="AP74" i="33"/>
  <c r="AQ74" i="33"/>
  <c r="AG75" i="33"/>
  <c r="AH75" i="33"/>
  <c r="AI75" i="33"/>
  <c r="AJ75" i="33"/>
  <c r="AK75" i="33"/>
  <c r="AL75" i="33"/>
  <c r="AM75" i="33"/>
  <c r="AN75" i="33"/>
  <c r="AO75" i="33"/>
  <c r="AP75" i="33"/>
  <c r="AQ75" i="33"/>
  <c r="AG77" i="33"/>
  <c r="AH77" i="33"/>
  <c r="AI77" i="33"/>
  <c r="AI81" i="33" s="1"/>
  <c r="AJ77" i="33"/>
  <c r="AK77" i="33"/>
  <c r="AL77" i="33"/>
  <c r="AM77" i="33"/>
  <c r="AN77" i="33"/>
  <c r="AO77" i="33"/>
  <c r="AP77" i="33"/>
  <c r="AQ77" i="33"/>
  <c r="AQ81" i="33" s="1"/>
  <c r="AG78" i="33"/>
  <c r="AH78" i="33"/>
  <c r="AI78" i="33"/>
  <c r="AJ78" i="33"/>
  <c r="AK78" i="33"/>
  <c r="AL78" i="33"/>
  <c r="AM78" i="33"/>
  <c r="AN78" i="33"/>
  <c r="AO78" i="33"/>
  <c r="AP78" i="33"/>
  <c r="AQ78" i="33"/>
  <c r="AG79" i="33"/>
  <c r="AH79" i="33"/>
  <c r="AI79" i="33"/>
  <c r="AJ79" i="33"/>
  <c r="AK79" i="33"/>
  <c r="AL79" i="33"/>
  <c r="AM79" i="33"/>
  <c r="AN79" i="33"/>
  <c r="AO79" i="33"/>
  <c r="AP79" i="33"/>
  <c r="AQ79" i="33"/>
  <c r="AG80" i="33"/>
  <c r="AH80" i="33"/>
  <c r="AI80" i="33"/>
  <c r="AJ80" i="33"/>
  <c r="AK80" i="33"/>
  <c r="AL80" i="33"/>
  <c r="AM80" i="33"/>
  <c r="AN80" i="33"/>
  <c r="AO80" i="33"/>
  <c r="AP80" i="33"/>
  <c r="AQ80" i="33"/>
  <c r="AG82" i="33"/>
  <c r="AH82" i="33"/>
  <c r="AI82" i="33"/>
  <c r="AJ82" i="33"/>
  <c r="AK82" i="33"/>
  <c r="AL82" i="33"/>
  <c r="AM82" i="33"/>
  <c r="AN82" i="33"/>
  <c r="AO82" i="33"/>
  <c r="AP82" i="33"/>
  <c r="AQ82" i="33"/>
  <c r="AG83" i="33"/>
  <c r="AH83" i="33"/>
  <c r="AI83" i="33"/>
  <c r="AJ83" i="33"/>
  <c r="AK83" i="33"/>
  <c r="AL83" i="33"/>
  <c r="AM83" i="33"/>
  <c r="AN83" i="33"/>
  <c r="AO83" i="33"/>
  <c r="AP83" i="33"/>
  <c r="AQ83" i="33"/>
  <c r="AG84" i="33"/>
  <c r="AH84" i="33"/>
  <c r="AH86" i="33" s="1"/>
  <c r="AI84" i="33"/>
  <c r="AJ84" i="33"/>
  <c r="AK84" i="33"/>
  <c r="AL84" i="33"/>
  <c r="AM84" i="33"/>
  <c r="AN84" i="33"/>
  <c r="AO84" i="33"/>
  <c r="AP84" i="33"/>
  <c r="AP86" i="33" s="1"/>
  <c r="AQ84" i="33"/>
  <c r="AG85" i="33"/>
  <c r="AH85" i="33"/>
  <c r="AI85" i="33"/>
  <c r="AJ85" i="33"/>
  <c r="AK85" i="33"/>
  <c r="AL85" i="33"/>
  <c r="AM85" i="33"/>
  <c r="AN85" i="33"/>
  <c r="AO85" i="33"/>
  <c r="AP85" i="33"/>
  <c r="AQ85" i="33"/>
  <c r="AG89" i="33"/>
  <c r="AH89" i="33"/>
  <c r="AH101" i="33" s="1"/>
  <c r="AI89" i="33"/>
  <c r="AJ89" i="33"/>
  <c r="AK89" i="33"/>
  <c r="AL89" i="33"/>
  <c r="AM89" i="33"/>
  <c r="AN89" i="33"/>
  <c r="AO89" i="33"/>
  <c r="AP89" i="33"/>
  <c r="AQ89" i="33"/>
  <c r="AG90" i="33"/>
  <c r="AH90" i="33"/>
  <c r="AI90" i="33"/>
  <c r="AJ90" i="33"/>
  <c r="AK90" i="33"/>
  <c r="AL90" i="33"/>
  <c r="AM90" i="33"/>
  <c r="AN90" i="33"/>
  <c r="AO90" i="33"/>
  <c r="AP90" i="33"/>
  <c r="AQ90" i="33"/>
  <c r="AG91" i="33"/>
  <c r="AH91" i="33"/>
  <c r="AI91" i="33"/>
  <c r="AJ91" i="33"/>
  <c r="AK91" i="33"/>
  <c r="AL91" i="33"/>
  <c r="AM91" i="33"/>
  <c r="AN91" i="33"/>
  <c r="AO91" i="33"/>
  <c r="AP91" i="33"/>
  <c r="AQ91" i="33"/>
  <c r="AG92" i="33"/>
  <c r="AH92" i="33"/>
  <c r="AI92" i="33"/>
  <c r="AJ92" i="33"/>
  <c r="AK92" i="33"/>
  <c r="AL92" i="33"/>
  <c r="AM92" i="33"/>
  <c r="AN92" i="33"/>
  <c r="AO92" i="33"/>
  <c r="AP92" i="33"/>
  <c r="AQ92" i="33"/>
  <c r="AG93" i="33"/>
  <c r="AH93" i="33"/>
  <c r="AI93" i="33"/>
  <c r="AJ93" i="33"/>
  <c r="AK93" i="33"/>
  <c r="AL93" i="33"/>
  <c r="AM93" i="33"/>
  <c r="AN93" i="33"/>
  <c r="AO93" i="33"/>
  <c r="AP93" i="33"/>
  <c r="AQ93" i="33"/>
  <c r="AG94" i="33"/>
  <c r="AH94" i="33"/>
  <c r="AI94" i="33"/>
  <c r="AJ94" i="33"/>
  <c r="AK94" i="33"/>
  <c r="AL94" i="33"/>
  <c r="AM94" i="33"/>
  <c r="AN94" i="33"/>
  <c r="AO94" i="33"/>
  <c r="AP94" i="33"/>
  <c r="AQ94" i="33"/>
  <c r="AG95" i="33"/>
  <c r="AH95" i="33"/>
  <c r="AI95" i="33"/>
  <c r="AJ95" i="33"/>
  <c r="AK95" i="33"/>
  <c r="AL95" i="33"/>
  <c r="AM95" i="33"/>
  <c r="AN95" i="33"/>
  <c r="AO95" i="33"/>
  <c r="AP95" i="33"/>
  <c r="AQ95" i="33"/>
  <c r="AG96" i="33"/>
  <c r="AH96" i="33"/>
  <c r="AI96" i="33"/>
  <c r="AJ96" i="33"/>
  <c r="AK96" i="33"/>
  <c r="AL96" i="33"/>
  <c r="AM96" i="33"/>
  <c r="AN96" i="33"/>
  <c r="AO96" i="33"/>
  <c r="AP96" i="33"/>
  <c r="AQ96" i="33"/>
  <c r="AG97" i="33"/>
  <c r="AH97" i="33"/>
  <c r="AI97" i="33"/>
  <c r="AJ97" i="33"/>
  <c r="AK97" i="33"/>
  <c r="AL97" i="33"/>
  <c r="AM97" i="33"/>
  <c r="AN97" i="33"/>
  <c r="AO97" i="33"/>
  <c r="AP97" i="33"/>
  <c r="AQ97" i="33"/>
  <c r="AG98" i="33"/>
  <c r="AH98" i="33"/>
  <c r="AI98" i="33"/>
  <c r="AJ98" i="33"/>
  <c r="AK98" i="33"/>
  <c r="AL98" i="33"/>
  <c r="AM98" i="33"/>
  <c r="AN98" i="33"/>
  <c r="AO98" i="33"/>
  <c r="AP98" i="33"/>
  <c r="AQ98" i="33"/>
  <c r="AG99" i="33"/>
  <c r="AH99" i="33"/>
  <c r="AI99" i="33"/>
  <c r="AJ99" i="33"/>
  <c r="AK99" i="33"/>
  <c r="AL99" i="33"/>
  <c r="AM99" i="33"/>
  <c r="AN99" i="33"/>
  <c r="AO99" i="33"/>
  <c r="AP99" i="33"/>
  <c r="AQ99" i="33"/>
  <c r="AG100" i="33"/>
  <c r="AH100" i="33"/>
  <c r="AI100" i="33"/>
  <c r="AJ100" i="33"/>
  <c r="AK100" i="33"/>
  <c r="AL100" i="33"/>
  <c r="AM100" i="33"/>
  <c r="AN100" i="33"/>
  <c r="AO100" i="33"/>
  <c r="AP100" i="33"/>
  <c r="AQ100" i="33"/>
  <c r="AG105" i="33"/>
  <c r="AH105" i="33"/>
  <c r="AI105" i="33"/>
  <c r="AJ105" i="33"/>
  <c r="AK105" i="33"/>
  <c r="AL105" i="33"/>
  <c r="AM105" i="33"/>
  <c r="AN105" i="33"/>
  <c r="AO105" i="33"/>
  <c r="AP105" i="33"/>
  <c r="AQ105" i="33"/>
  <c r="AG106" i="33"/>
  <c r="AH106" i="33"/>
  <c r="AI106" i="33"/>
  <c r="AJ106" i="33"/>
  <c r="AK106" i="33"/>
  <c r="AL106" i="33"/>
  <c r="AM106" i="33"/>
  <c r="AN106" i="33"/>
  <c r="AO106" i="33"/>
  <c r="AP106" i="33"/>
  <c r="AQ106" i="33"/>
  <c r="AG107" i="33"/>
  <c r="AH107" i="33"/>
  <c r="AI107" i="33"/>
  <c r="AJ107" i="33"/>
  <c r="AK107" i="33"/>
  <c r="AL107" i="33"/>
  <c r="AM107" i="33"/>
  <c r="AN107" i="33"/>
  <c r="AO107" i="33"/>
  <c r="AP107" i="33"/>
  <c r="AQ107" i="33"/>
  <c r="AG108" i="33"/>
  <c r="AH108" i="33"/>
  <c r="AI108" i="33"/>
  <c r="AJ108" i="33"/>
  <c r="AK108" i="33"/>
  <c r="AL108" i="33"/>
  <c r="AM108" i="33"/>
  <c r="AN108" i="33"/>
  <c r="AO108" i="33"/>
  <c r="AP108" i="33"/>
  <c r="AQ108" i="33"/>
  <c r="AG109" i="33"/>
  <c r="AH109" i="33"/>
  <c r="AI109" i="33"/>
  <c r="AJ109" i="33"/>
  <c r="AK109" i="33"/>
  <c r="AL109" i="33"/>
  <c r="AM109" i="33"/>
  <c r="AN109" i="33"/>
  <c r="AO109" i="33"/>
  <c r="AP109" i="33"/>
  <c r="AQ109" i="33"/>
  <c r="AG110" i="33"/>
  <c r="AH110" i="33"/>
  <c r="AI110" i="33"/>
  <c r="AJ110" i="33"/>
  <c r="AK110" i="33"/>
  <c r="AL110" i="33"/>
  <c r="AM110" i="33"/>
  <c r="AN110" i="33"/>
  <c r="AO110" i="33"/>
  <c r="AP110" i="33"/>
  <c r="AQ110" i="33"/>
  <c r="AG111" i="33"/>
  <c r="AH111" i="33"/>
  <c r="AI111" i="33"/>
  <c r="AJ111" i="33"/>
  <c r="AK111" i="33"/>
  <c r="AL111" i="33"/>
  <c r="AM111" i="33"/>
  <c r="AN111" i="33"/>
  <c r="AO111" i="33"/>
  <c r="AP111" i="33"/>
  <c r="AQ111" i="33"/>
  <c r="AG112" i="33"/>
  <c r="AH112" i="33"/>
  <c r="AI112" i="33"/>
  <c r="AJ112" i="33"/>
  <c r="AK112" i="33"/>
  <c r="AL112" i="33"/>
  <c r="AM112" i="33"/>
  <c r="AN112" i="33"/>
  <c r="AO112" i="33"/>
  <c r="AP112" i="33"/>
  <c r="AQ112" i="33"/>
  <c r="AG114" i="33"/>
  <c r="AH114" i="33"/>
  <c r="AI114" i="33"/>
  <c r="AJ114" i="33"/>
  <c r="AK114" i="33"/>
  <c r="AL114" i="33"/>
  <c r="AM114" i="33"/>
  <c r="AN114" i="33"/>
  <c r="AO114" i="33"/>
  <c r="AP114" i="33"/>
  <c r="AQ114" i="33"/>
  <c r="AG115" i="33"/>
  <c r="AH115" i="33"/>
  <c r="AI115" i="33"/>
  <c r="AJ115" i="33"/>
  <c r="AK115" i="33"/>
  <c r="AL115" i="33"/>
  <c r="AM115" i="33"/>
  <c r="AN115" i="33"/>
  <c r="AO115" i="33"/>
  <c r="AP115" i="33"/>
  <c r="AQ115" i="33"/>
  <c r="AG116" i="33"/>
  <c r="AH116" i="33"/>
  <c r="AI116" i="33"/>
  <c r="AJ116" i="33"/>
  <c r="AK116" i="33"/>
  <c r="AL116" i="33"/>
  <c r="AM116" i="33"/>
  <c r="AN116" i="33"/>
  <c r="AO116" i="33"/>
  <c r="AP116" i="33"/>
  <c r="AQ116" i="33"/>
  <c r="AG117" i="33"/>
  <c r="AH117" i="33"/>
  <c r="AI117" i="33"/>
  <c r="AJ117" i="33"/>
  <c r="AK117" i="33"/>
  <c r="AL117" i="33"/>
  <c r="AM117" i="33"/>
  <c r="AN117" i="33"/>
  <c r="AO117" i="33"/>
  <c r="AP117" i="33"/>
  <c r="AQ117" i="33"/>
  <c r="AG118" i="33"/>
  <c r="AH118" i="33"/>
  <c r="AI118" i="33"/>
  <c r="AJ118" i="33"/>
  <c r="AK118" i="33"/>
  <c r="AL118" i="33"/>
  <c r="AM118" i="33"/>
  <c r="AN118" i="33"/>
  <c r="AO118" i="33"/>
  <c r="AP118" i="33"/>
  <c r="AQ118" i="33"/>
  <c r="AG119" i="33"/>
  <c r="AH119" i="33"/>
  <c r="AI119" i="33"/>
  <c r="AJ119" i="33"/>
  <c r="AK119" i="33"/>
  <c r="AL119" i="33"/>
  <c r="AM119" i="33"/>
  <c r="AN119" i="33"/>
  <c r="AO119" i="33"/>
  <c r="AP119" i="33"/>
  <c r="AQ119" i="33"/>
  <c r="AG120" i="33"/>
  <c r="AH120" i="33"/>
  <c r="AI120" i="33"/>
  <c r="AJ120" i="33"/>
  <c r="AK120" i="33"/>
  <c r="AL120" i="33"/>
  <c r="AM120" i="33"/>
  <c r="AN120" i="33"/>
  <c r="AO120" i="33"/>
  <c r="AP120" i="33"/>
  <c r="AQ120" i="33"/>
  <c r="AG121" i="33"/>
  <c r="AH121" i="33"/>
  <c r="AI121" i="33"/>
  <c r="AJ121" i="33"/>
  <c r="AK121" i="33"/>
  <c r="AL121" i="33"/>
  <c r="AM121" i="33"/>
  <c r="AN121" i="33"/>
  <c r="AO121" i="33"/>
  <c r="AP121" i="33"/>
  <c r="AQ121" i="33"/>
  <c r="AG122" i="33"/>
  <c r="AH122" i="33"/>
  <c r="AI122" i="33"/>
  <c r="AJ122" i="33"/>
  <c r="AK122" i="33"/>
  <c r="AL122" i="33"/>
  <c r="AM122" i="33"/>
  <c r="AN122" i="33"/>
  <c r="AO122" i="33"/>
  <c r="AP122" i="33"/>
  <c r="AQ122" i="33"/>
  <c r="AG123" i="33"/>
  <c r="AH123" i="33"/>
  <c r="AI123" i="33"/>
  <c r="AJ123" i="33"/>
  <c r="AK123" i="33"/>
  <c r="AL123" i="33"/>
  <c r="AM123" i="33"/>
  <c r="AN123" i="33"/>
  <c r="AO123" i="33"/>
  <c r="AP123" i="33"/>
  <c r="AQ123" i="33"/>
  <c r="AG124" i="33"/>
  <c r="AH124" i="33"/>
  <c r="AI124" i="33"/>
  <c r="AJ124" i="33"/>
  <c r="AK124" i="33"/>
  <c r="AL124" i="33"/>
  <c r="AM124" i="33"/>
  <c r="AN124" i="33"/>
  <c r="AO124" i="33"/>
  <c r="AP124" i="33"/>
  <c r="AQ124" i="33"/>
  <c r="AG125" i="33"/>
  <c r="AH125" i="33"/>
  <c r="AI125" i="33"/>
  <c r="AJ125" i="33"/>
  <c r="AK125" i="33"/>
  <c r="AL125" i="33"/>
  <c r="AM125" i="33"/>
  <c r="AN125" i="33"/>
  <c r="AO125" i="33"/>
  <c r="AP125" i="33"/>
  <c r="AQ125" i="33"/>
  <c r="AG126" i="33"/>
  <c r="AH126" i="33"/>
  <c r="AI126" i="33"/>
  <c r="AJ126" i="33"/>
  <c r="AK126" i="33"/>
  <c r="AL126" i="33"/>
  <c r="AM126" i="33"/>
  <c r="AN126" i="33"/>
  <c r="AO126" i="33"/>
  <c r="AP126" i="33"/>
  <c r="AQ126" i="33"/>
  <c r="AG128" i="33"/>
  <c r="AH128" i="33"/>
  <c r="AI128" i="33"/>
  <c r="AJ128" i="33"/>
  <c r="AK128" i="33"/>
  <c r="AL128" i="33"/>
  <c r="AM128" i="33"/>
  <c r="AN128" i="33"/>
  <c r="AO128" i="33"/>
  <c r="AP128" i="33"/>
  <c r="AQ128" i="33"/>
  <c r="AG129" i="33"/>
  <c r="AH129" i="33"/>
  <c r="AI129" i="33"/>
  <c r="AJ129" i="33"/>
  <c r="AK129" i="33"/>
  <c r="AL129" i="33"/>
  <c r="AM129" i="33"/>
  <c r="AN129" i="33"/>
  <c r="AO129" i="33"/>
  <c r="AP129" i="33"/>
  <c r="AQ129" i="33"/>
  <c r="AG130" i="33"/>
  <c r="AH130" i="33"/>
  <c r="AI130" i="33"/>
  <c r="AJ130" i="33"/>
  <c r="AK130" i="33"/>
  <c r="AL130" i="33"/>
  <c r="AM130" i="33"/>
  <c r="AN130" i="33"/>
  <c r="AO130" i="33"/>
  <c r="AO138" i="33" s="1"/>
  <c r="AP130" i="33"/>
  <c r="AQ130" i="33"/>
  <c r="AG131" i="33"/>
  <c r="AH131" i="33"/>
  <c r="AI131" i="33"/>
  <c r="AJ131" i="33"/>
  <c r="AK131" i="33"/>
  <c r="AL131" i="33"/>
  <c r="AL138" i="33" s="1"/>
  <c r="AM131" i="33"/>
  <c r="AN131" i="33"/>
  <c r="AO131" i="33"/>
  <c r="AP131" i="33"/>
  <c r="AQ131" i="33"/>
  <c r="AG132" i="33"/>
  <c r="AH132" i="33"/>
  <c r="AI132" i="33"/>
  <c r="AI138" i="33" s="1"/>
  <c r="AJ132" i="33"/>
  <c r="AK132" i="33"/>
  <c r="AL132" i="33"/>
  <c r="AM132" i="33"/>
  <c r="AN132" i="33"/>
  <c r="AO132" i="33"/>
  <c r="AP132" i="33"/>
  <c r="AQ132" i="33"/>
  <c r="AQ138" i="33" s="1"/>
  <c r="AG133" i="33"/>
  <c r="AH133" i="33"/>
  <c r="AI133" i="33"/>
  <c r="AJ133" i="33"/>
  <c r="AK133" i="33"/>
  <c r="AL133" i="33"/>
  <c r="AM133" i="33"/>
  <c r="AN133" i="33"/>
  <c r="AN138" i="33" s="1"/>
  <c r="AO133" i="33"/>
  <c r="AP133" i="33"/>
  <c r="AQ133" i="33"/>
  <c r="AG134" i="33"/>
  <c r="AH134" i="33"/>
  <c r="AI134" i="33"/>
  <c r="AJ134" i="33"/>
  <c r="AK134" i="33"/>
  <c r="AL134" i="33"/>
  <c r="AM134" i="33"/>
  <c r="AN134" i="33"/>
  <c r="AO134" i="33"/>
  <c r="AP134" i="33"/>
  <c r="AQ134" i="33"/>
  <c r="AG135" i="33"/>
  <c r="AH135" i="33"/>
  <c r="AI135" i="33"/>
  <c r="AJ135" i="33"/>
  <c r="AK135" i="33"/>
  <c r="AL135" i="33"/>
  <c r="AM135" i="33"/>
  <c r="AN135" i="33"/>
  <c r="AO135" i="33"/>
  <c r="AP135" i="33"/>
  <c r="AQ135" i="33"/>
  <c r="AG136" i="33"/>
  <c r="AH136" i="33"/>
  <c r="AI136" i="33"/>
  <c r="AJ136" i="33"/>
  <c r="AK136" i="33"/>
  <c r="AL136" i="33"/>
  <c r="AM136" i="33"/>
  <c r="AN136" i="33"/>
  <c r="AO136" i="33"/>
  <c r="AP136" i="33"/>
  <c r="AQ136" i="33"/>
  <c r="AG137" i="33"/>
  <c r="AH137" i="33"/>
  <c r="AI137" i="33"/>
  <c r="AJ137" i="33"/>
  <c r="AK137" i="33"/>
  <c r="AL137" i="33"/>
  <c r="AM137" i="33"/>
  <c r="AN137" i="33"/>
  <c r="AO137" i="33"/>
  <c r="AP137" i="33"/>
  <c r="AQ137" i="33"/>
  <c r="AG138" i="33"/>
  <c r="AG139" i="33"/>
  <c r="AH139" i="33"/>
  <c r="AI139" i="33"/>
  <c r="AJ139" i="33"/>
  <c r="AK139" i="33"/>
  <c r="AL139" i="33"/>
  <c r="AM139" i="33"/>
  <c r="AN139" i="33"/>
  <c r="AO139" i="33"/>
  <c r="AP139" i="33"/>
  <c r="AQ139" i="33"/>
  <c r="AG140" i="33"/>
  <c r="AH140" i="33"/>
  <c r="AI140" i="33"/>
  <c r="AJ140" i="33"/>
  <c r="AK140" i="33"/>
  <c r="AL140" i="33"/>
  <c r="AM140" i="33"/>
  <c r="AN140" i="33"/>
  <c r="AO140" i="33"/>
  <c r="AP140" i="33"/>
  <c r="AQ140" i="33"/>
  <c r="AG141" i="33"/>
  <c r="AH141" i="33"/>
  <c r="AI141" i="33"/>
  <c r="AJ141" i="33"/>
  <c r="AK141" i="33"/>
  <c r="AL141" i="33"/>
  <c r="AM141" i="33"/>
  <c r="AN141" i="33"/>
  <c r="AO141" i="33"/>
  <c r="AP141" i="33"/>
  <c r="AQ141" i="33"/>
  <c r="AG142" i="33"/>
  <c r="AH142" i="33"/>
  <c r="AI142" i="33"/>
  <c r="AJ142" i="33"/>
  <c r="AK142" i="33"/>
  <c r="AL142" i="33"/>
  <c r="AM142" i="33"/>
  <c r="AN142" i="33"/>
  <c r="AO142" i="33"/>
  <c r="AP142" i="33"/>
  <c r="AQ142" i="33"/>
  <c r="AG143" i="33"/>
  <c r="AH143" i="33"/>
  <c r="AI143" i="33"/>
  <c r="AJ143" i="33"/>
  <c r="AK143" i="33"/>
  <c r="AL143" i="33"/>
  <c r="AM143" i="33"/>
  <c r="AN143" i="33"/>
  <c r="AO143" i="33"/>
  <c r="AP143" i="33"/>
  <c r="AQ143" i="33"/>
  <c r="AG144" i="33"/>
  <c r="AH144" i="33"/>
  <c r="AI144" i="33"/>
  <c r="AJ144" i="33"/>
  <c r="AK144" i="33"/>
  <c r="AL144" i="33"/>
  <c r="AM144" i="33"/>
  <c r="AN144" i="33"/>
  <c r="AO144" i="33"/>
  <c r="AP144" i="33"/>
  <c r="AQ144" i="33"/>
  <c r="AG148" i="33"/>
  <c r="AH148" i="33"/>
  <c r="AI148" i="33"/>
  <c r="AJ148" i="33"/>
  <c r="AK148" i="33"/>
  <c r="AL148" i="33"/>
  <c r="AM148" i="33"/>
  <c r="AN148" i="33"/>
  <c r="AO148" i="33"/>
  <c r="AP148" i="33"/>
  <c r="AQ148" i="33"/>
  <c r="AG149" i="33"/>
  <c r="AH149" i="33"/>
  <c r="AI149" i="33"/>
  <c r="AJ149" i="33"/>
  <c r="AK149" i="33"/>
  <c r="AL149" i="33"/>
  <c r="AM149" i="33"/>
  <c r="AN149" i="33"/>
  <c r="AO149" i="33"/>
  <c r="AP149" i="33"/>
  <c r="AQ149" i="33"/>
  <c r="AG151" i="33"/>
  <c r="AH151" i="33"/>
  <c r="AI151" i="33"/>
  <c r="AJ151" i="33"/>
  <c r="AK151" i="33"/>
  <c r="AL151" i="33"/>
  <c r="AM151" i="33"/>
  <c r="AN151" i="33"/>
  <c r="AO151" i="33"/>
  <c r="AP151" i="33"/>
  <c r="AQ151" i="33"/>
  <c r="AG152" i="33"/>
  <c r="AH152" i="33"/>
  <c r="AI152" i="33"/>
  <c r="AJ152" i="33"/>
  <c r="AK152" i="33"/>
  <c r="AK153" i="33" s="1"/>
  <c r="AL152" i="33"/>
  <c r="AM152" i="33"/>
  <c r="AN152" i="33"/>
  <c r="AO152" i="33"/>
  <c r="AP152" i="33"/>
  <c r="AQ152" i="33"/>
  <c r="AM153" i="33"/>
  <c r="AG159" i="33"/>
  <c r="AH159" i="33"/>
  <c r="AI159" i="33"/>
  <c r="AJ159" i="33"/>
  <c r="AK159" i="33"/>
  <c r="AL159" i="33"/>
  <c r="AM159" i="33"/>
  <c r="AN159" i="33"/>
  <c r="AN162" i="33" s="1"/>
  <c r="AO159" i="33"/>
  <c r="AP159" i="33"/>
  <c r="AQ159" i="33"/>
  <c r="AG160" i="33"/>
  <c r="AH160" i="33"/>
  <c r="AI160" i="33"/>
  <c r="AJ160" i="33"/>
  <c r="AK160" i="33"/>
  <c r="AL160" i="33"/>
  <c r="AL162" i="33" s="1"/>
  <c r="AM160" i="33"/>
  <c r="AN160" i="33"/>
  <c r="AO160" i="33"/>
  <c r="AP160" i="33"/>
  <c r="AQ160" i="33"/>
  <c r="AG161" i="33"/>
  <c r="AH161" i="33"/>
  <c r="AI161" i="33"/>
  <c r="AI162" i="33" s="1"/>
  <c r="AJ161" i="33"/>
  <c r="AK161" i="33"/>
  <c r="AL161" i="33"/>
  <c r="AM161" i="33"/>
  <c r="AN161" i="33"/>
  <c r="AO161" i="33"/>
  <c r="AP161" i="33"/>
  <c r="AP162" i="33" s="1"/>
  <c r="AQ161" i="33"/>
  <c r="AQ162" i="33" s="1"/>
  <c r="AG163" i="33"/>
  <c r="AH163" i="33"/>
  <c r="AI163" i="33"/>
  <c r="AJ163" i="33"/>
  <c r="AK163" i="33"/>
  <c r="AL163" i="33"/>
  <c r="AM163" i="33"/>
  <c r="AN163" i="33"/>
  <c r="AO163" i="33"/>
  <c r="AP163" i="33"/>
  <c r="AQ163" i="33"/>
  <c r="AG164" i="33"/>
  <c r="AH164" i="33"/>
  <c r="AI164" i="33"/>
  <c r="AJ164" i="33"/>
  <c r="AK164" i="33"/>
  <c r="AL164" i="33"/>
  <c r="AM164" i="33"/>
  <c r="AN164" i="33"/>
  <c r="AO164" i="33"/>
  <c r="AP164" i="33"/>
  <c r="AQ164" i="33"/>
  <c r="AG165" i="33"/>
  <c r="AH165" i="33"/>
  <c r="AI165" i="33"/>
  <c r="AJ165" i="33"/>
  <c r="AK165" i="33"/>
  <c r="AL165" i="33"/>
  <c r="AM165" i="33"/>
  <c r="AN165" i="33"/>
  <c r="AO165" i="33"/>
  <c r="AP165" i="33"/>
  <c r="AQ165" i="33"/>
  <c r="AG166" i="33"/>
  <c r="AH166" i="33"/>
  <c r="AI166" i="33"/>
  <c r="AJ166" i="33"/>
  <c r="AK166" i="33"/>
  <c r="AL166" i="33"/>
  <c r="AM166" i="33"/>
  <c r="AN166" i="33"/>
  <c r="AO166" i="33"/>
  <c r="AP166" i="33"/>
  <c r="AQ166" i="33"/>
  <c r="AG167" i="33"/>
  <c r="AH167" i="33"/>
  <c r="AI167" i="33"/>
  <c r="AJ167" i="33"/>
  <c r="AK167" i="33"/>
  <c r="AL167" i="33"/>
  <c r="AM167" i="33"/>
  <c r="AN167" i="33"/>
  <c r="AO167" i="33"/>
  <c r="AP167" i="33"/>
  <c r="AQ167" i="33"/>
  <c r="AG168" i="33"/>
  <c r="AH168" i="33"/>
  <c r="AI168" i="33"/>
  <c r="AJ168" i="33"/>
  <c r="AK168" i="33"/>
  <c r="AL168" i="33"/>
  <c r="AM168" i="33"/>
  <c r="AN168" i="33"/>
  <c r="AO168" i="33"/>
  <c r="AP168" i="33"/>
  <c r="AQ168" i="33"/>
  <c r="AG169" i="33"/>
  <c r="AH169" i="33"/>
  <c r="AI169" i="33"/>
  <c r="AJ169" i="33"/>
  <c r="AK169" i="33"/>
  <c r="AL169" i="33"/>
  <c r="AM169" i="33"/>
  <c r="AN169" i="33"/>
  <c r="AO169" i="33"/>
  <c r="AP169" i="33"/>
  <c r="AQ169" i="33"/>
  <c r="AG170" i="33"/>
  <c r="AH170" i="33"/>
  <c r="AI170" i="33"/>
  <c r="AJ170" i="33"/>
  <c r="AK170" i="33"/>
  <c r="AL170" i="33"/>
  <c r="AM170" i="33"/>
  <c r="AN170" i="33"/>
  <c r="AO170" i="33"/>
  <c r="AP170" i="33"/>
  <c r="AQ170" i="33"/>
  <c r="AG172" i="33"/>
  <c r="AH172" i="33"/>
  <c r="AI172" i="33"/>
  <c r="AJ172" i="33"/>
  <c r="AK172" i="33"/>
  <c r="AL172" i="33"/>
  <c r="AM172" i="33"/>
  <c r="AN172" i="33"/>
  <c r="AO172" i="33"/>
  <c r="AP172" i="33"/>
  <c r="AQ172" i="33"/>
  <c r="AG173" i="33"/>
  <c r="AH173" i="33"/>
  <c r="AI173" i="33"/>
  <c r="AJ173" i="33"/>
  <c r="AK173" i="33"/>
  <c r="AL173" i="33"/>
  <c r="AM173" i="33"/>
  <c r="AN173" i="33"/>
  <c r="AO173" i="33"/>
  <c r="AP173" i="33"/>
  <c r="AQ173" i="33"/>
  <c r="AG174" i="33"/>
  <c r="AH174" i="33"/>
  <c r="AI174" i="33"/>
  <c r="AJ174" i="33"/>
  <c r="AK174" i="33"/>
  <c r="AL174" i="33"/>
  <c r="AM174" i="33"/>
  <c r="AN174" i="33"/>
  <c r="AO174" i="33"/>
  <c r="AP174" i="33"/>
  <c r="AQ174" i="33"/>
  <c r="AG175" i="33"/>
  <c r="AH175" i="33"/>
  <c r="AI175" i="33"/>
  <c r="AJ175" i="33"/>
  <c r="AK175" i="33"/>
  <c r="AL175" i="33"/>
  <c r="AM175" i="33"/>
  <c r="AN175" i="33"/>
  <c r="AO175" i="33"/>
  <c r="AP175" i="33"/>
  <c r="AQ175" i="33"/>
  <c r="AG176" i="33"/>
  <c r="AH176" i="33"/>
  <c r="AI176" i="33"/>
  <c r="AJ176" i="33"/>
  <c r="AK176" i="33"/>
  <c r="AL176" i="33"/>
  <c r="AM176" i="33"/>
  <c r="AN176" i="33"/>
  <c r="AO176" i="33"/>
  <c r="AP176" i="33"/>
  <c r="AQ176" i="33"/>
  <c r="AG177" i="33"/>
  <c r="AH177" i="33"/>
  <c r="AI177" i="33"/>
  <c r="AJ177" i="33"/>
  <c r="AK177" i="33"/>
  <c r="AL177" i="33"/>
  <c r="AM177" i="33"/>
  <c r="AN177" i="33"/>
  <c r="AO177" i="33"/>
  <c r="AP177" i="33"/>
  <c r="AQ177" i="33"/>
  <c r="AG178" i="33"/>
  <c r="AH178" i="33"/>
  <c r="AI178" i="33"/>
  <c r="AJ178" i="33"/>
  <c r="AK178" i="33"/>
  <c r="AL178" i="33"/>
  <c r="AM178" i="33"/>
  <c r="AN178" i="33"/>
  <c r="AO178" i="33"/>
  <c r="AP178" i="33"/>
  <c r="AQ178" i="33"/>
  <c r="AG179" i="33"/>
  <c r="AH179" i="33"/>
  <c r="AI179" i="33"/>
  <c r="AJ179" i="33"/>
  <c r="AK179" i="33"/>
  <c r="AL179" i="33"/>
  <c r="AM179" i="33"/>
  <c r="AN179" i="33"/>
  <c r="AO179" i="33"/>
  <c r="AP179" i="33"/>
  <c r="AQ179" i="33"/>
  <c r="AG180" i="33"/>
  <c r="AH180" i="33"/>
  <c r="AI180" i="33"/>
  <c r="AJ180" i="33"/>
  <c r="AK180" i="33"/>
  <c r="AL180" i="33"/>
  <c r="AM180" i="33"/>
  <c r="AN180" i="33"/>
  <c r="AO180" i="33"/>
  <c r="AP180" i="33"/>
  <c r="AQ180" i="33"/>
  <c r="AG181" i="33"/>
  <c r="AH181" i="33"/>
  <c r="AI181" i="33"/>
  <c r="AJ181" i="33"/>
  <c r="AK181" i="33"/>
  <c r="AL181" i="33"/>
  <c r="AM181" i="33"/>
  <c r="AN181" i="33"/>
  <c r="AO181" i="33"/>
  <c r="AP181" i="33"/>
  <c r="AQ181" i="33"/>
  <c r="AG182" i="33"/>
  <c r="AH182" i="33"/>
  <c r="AI182" i="33"/>
  <c r="AJ182" i="33"/>
  <c r="AK182" i="33"/>
  <c r="AL182" i="33"/>
  <c r="AM182" i="33"/>
  <c r="AN182" i="33"/>
  <c r="AO182" i="33"/>
  <c r="AP182" i="33"/>
  <c r="AQ182" i="33"/>
  <c r="AG183" i="33"/>
  <c r="AH183" i="33"/>
  <c r="AI183" i="33"/>
  <c r="AJ183" i="33"/>
  <c r="AK183" i="33"/>
  <c r="AL183" i="33"/>
  <c r="AM183" i="33"/>
  <c r="AN183" i="33"/>
  <c r="AO183" i="33"/>
  <c r="AP183" i="33"/>
  <c r="AQ183" i="33"/>
  <c r="AG185" i="33"/>
  <c r="AH185" i="33"/>
  <c r="AI185" i="33"/>
  <c r="AJ185" i="33"/>
  <c r="AK185" i="33"/>
  <c r="AL185" i="33"/>
  <c r="AM185" i="33"/>
  <c r="AN185" i="33"/>
  <c r="AO185" i="33"/>
  <c r="AP185" i="33"/>
  <c r="AQ185" i="33"/>
  <c r="AG186" i="33"/>
  <c r="AH186" i="33"/>
  <c r="AI186" i="33"/>
  <c r="AJ186" i="33"/>
  <c r="AK186" i="33"/>
  <c r="AL186" i="33"/>
  <c r="AM186" i="33"/>
  <c r="AN186" i="33"/>
  <c r="AO186" i="33"/>
  <c r="AP186" i="33"/>
  <c r="AQ186" i="33"/>
  <c r="AG187" i="33"/>
  <c r="AH187" i="33"/>
  <c r="AI187" i="33"/>
  <c r="AJ187" i="33"/>
  <c r="AK187" i="33"/>
  <c r="AL187" i="33"/>
  <c r="AM187" i="33"/>
  <c r="AN187" i="33"/>
  <c r="AO187" i="33"/>
  <c r="AP187" i="33"/>
  <c r="AQ187" i="33"/>
  <c r="AG188" i="33"/>
  <c r="AH188" i="33"/>
  <c r="AI188" i="33"/>
  <c r="AJ188" i="33"/>
  <c r="AK188" i="33"/>
  <c r="AL188" i="33"/>
  <c r="AM188" i="33"/>
  <c r="AN188" i="33"/>
  <c r="AO188" i="33"/>
  <c r="AP188" i="33"/>
  <c r="AQ188" i="33"/>
  <c r="AG189" i="33"/>
  <c r="AH189" i="33"/>
  <c r="AI189" i="33"/>
  <c r="AJ189" i="33"/>
  <c r="AK189" i="33"/>
  <c r="AL189" i="33"/>
  <c r="AM189" i="33"/>
  <c r="AN189" i="33"/>
  <c r="AO189" i="33"/>
  <c r="AP189" i="33"/>
  <c r="AQ189" i="33"/>
  <c r="AG190" i="33"/>
  <c r="AH190" i="33"/>
  <c r="AI190" i="33"/>
  <c r="AJ190" i="33"/>
  <c r="AK190" i="33"/>
  <c r="AL190" i="33"/>
  <c r="AM190" i="33"/>
  <c r="AN190" i="33"/>
  <c r="AO190" i="33"/>
  <c r="AP190" i="33"/>
  <c r="AQ190" i="33"/>
  <c r="AG191" i="33"/>
  <c r="AH191" i="33"/>
  <c r="AI191" i="33"/>
  <c r="AJ191" i="33"/>
  <c r="AK191" i="33"/>
  <c r="AL191" i="33"/>
  <c r="AM191" i="33"/>
  <c r="AN191" i="33"/>
  <c r="AO191" i="33"/>
  <c r="AP191" i="33"/>
  <c r="AQ191" i="33"/>
  <c r="AG192" i="33"/>
  <c r="AH192" i="33"/>
  <c r="AI192" i="33"/>
  <c r="AJ192" i="33"/>
  <c r="AK192" i="33"/>
  <c r="AK195" i="33" s="1"/>
  <c r="AL192" i="33"/>
  <c r="AM192" i="33"/>
  <c r="AN192" i="33"/>
  <c r="AO192" i="33"/>
  <c r="AP192" i="33"/>
  <c r="AQ192" i="33"/>
  <c r="AG193" i="33"/>
  <c r="AH193" i="33"/>
  <c r="AI193" i="33"/>
  <c r="AJ193" i="33"/>
  <c r="AK193" i="33"/>
  <c r="AL193" i="33"/>
  <c r="AM193" i="33"/>
  <c r="AN193" i="33"/>
  <c r="AO193" i="33"/>
  <c r="AP193" i="33"/>
  <c r="AQ193" i="33"/>
  <c r="AG194" i="33"/>
  <c r="AH194" i="33"/>
  <c r="AI194" i="33"/>
  <c r="AJ194" i="33"/>
  <c r="AK194" i="33"/>
  <c r="AL194" i="33"/>
  <c r="AM194" i="33"/>
  <c r="AN194" i="33"/>
  <c r="AO194" i="33"/>
  <c r="AP194" i="33"/>
  <c r="AQ194" i="33"/>
  <c r="AG199" i="33"/>
  <c r="AH199" i="33"/>
  <c r="AI199" i="33"/>
  <c r="AJ199" i="33"/>
  <c r="AK199" i="33"/>
  <c r="AL199" i="33"/>
  <c r="AM199" i="33"/>
  <c r="AN199" i="33"/>
  <c r="AO199" i="33"/>
  <c r="AP199" i="33"/>
  <c r="AQ199" i="33"/>
  <c r="AG200" i="33"/>
  <c r="AH200" i="33"/>
  <c r="AI200" i="33"/>
  <c r="AJ200" i="33"/>
  <c r="AK200" i="33"/>
  <c r="AL200" i="33"/>
  <c r="AM200" i="33"/>
  <c r="AN200" i="33"/>
  <c r="AO200" i="33"/>
  <c r="AP200" i="33"/>
  <c r="AQ200" i="33"/>
  <c r="AG201" i="33"/>
  <c r="AH201" i="33"/>
  <c r="AI201" i="33"/>
  <c r="AJ201" i="33"/>
  <c r="AK201" i="33"/>
  <c r="AL201" i="33"/>
  <c r="AM201" i="33"/>
  <c r="AN201" i="33"/>
  <c r="AO201" i="33"/>
  <c r="AP201" i="33"/>
  <c r="AQ201" i="33"/>
  <c r="AG202" i="33"/>
  <c r="AH202" i="33"/>
  <c r="AI202" i="33"/>
  <c r="AJ202" i="33"/>
  <c r="AK202" i="33"/>
  <c r="AL202" i="33"/>
  <c r="AM202" i="33"/>
  <c r="AN202" i="33"/>
  <c r="AO202" i="33"/>
  <c r="AP202" i="33"/>
  <c r="AQ202" i="33"/>
  <c r="AG203" i="33"/>
  <c r="AH203" i="33"/>
  <c r="AI203" i="33"/>
  <c r="AJ203" i="33"/>
  <c r="AK203" i="33"/>
  <c r="AL203" i="33"/>
  <c r="AM203" i="33"/>
  <c r="AN203" i="33"/>
  <c r="AO203" i="33"/>
  <c r="AP203" i="33"/>
  <c r="AQ203" i="33"/>
  <c r="AG204" i="33"/>
  <c r="AH204" i="33"/>
  <c r="AI204" i="33"/>
  <c r="AJ204" i="33"/>
  <c r="AK204" i="33"/>
  <c r="AL204" i="33"/>
  <c r="AM204" i="33"/>
  <c r="AN204" i="33"/>
  <c r="AO204" i="33"/>
  <c r="AP204" i="33"/>
  <c r="AQ204" i="33"/>
  <c r="AG205" i="33"/>
  <c r="AH205" i="33"/>
  <c r="AI205" i="33"/>
  <c r="AJ205" i="33"/>
  <c r="AK205" i="33"/>
  <c r="AL205" i="33"/>
  <c r="AM205" i="33"/>
  <c r="AN205" i="33"/>
  <c r="AO205" i="33"/>
  <c r="AP205" i="33"/>
  <c r="AQ205" i="33"/>
  <c r="AG206" i="33"/>
  <c r="AH206" i="33"/>
  <c r="AI206" i="33"/>
  <c r="AJ206" i="33"/>
  <c r="AK206" i="33"/>
  <c r="AL206" i="33"/>
  <c r="AM206" i="33"/>
  <c r="AN206" i="33"/>
  <c r="AO206" i="33"/>
  <c r="AP206" i="33"/>
  <c r="AQ206" i="33"/>
  <c r="AG208" i="33"/>
  <c r="AH208" i="33"/>
  <c r="AI208" i="33"/>
  <c r="AJ208" i="33"/>
  <c r="AK208" i="33"/>
  <c r="AL208" i="33"/>
  <c r="AM208" i="33"/>
  <c r="AN208" i="33"/>
  <c r="AO208" i="33"/>
  <c r="AP208" i="33"/>
  <c r="AQ208" i="33"/>
  <c r="AG209" i="33"/>
  <c r="AH209" i="33"/>
  <c r="AI209" i="33"/>
  <c r="AJ209" i="33"/>
  <c r="AK209" i="33"/>
  <c r="AL209" i="33"/>
  <c r="AM209" i="33"/>
  <c r="AN209" i="33"/>
  <c r="AO209" i="33"/>
  <c r="AP209" i="33"/>
  <c r="AQ209" i="33"/>
  <c r="AG210" i="33"/>
  <c r="AH210" i="33"/>
  <c r="AI210" i="33"/>
  <c r="AJ210" i="33"/>
  <c r="AK210" i="33"/>
  <c r="AL210" i="33"/>
  <c r="AM210" i="33"/>
  <c r="AN210" i="33"/>
  <c r="AO210" i="33"/>
  <c r="AP210" i="33"/>
  <c r="AQ210" i="33"/>
  <c r="AG211" i="33"/>
  <c r="AH211" i="33"/>
  <c r="AI211" i="33"/>
  <c r="AJ211" i="33"/>
  <c r="AK211" i="33"/>
  <c r="AL211" i="33"/>
  <c r="AM211" i="33"/>
  <c r="AN211" i="33"/>
  <c r="AO211" i="33"/>
  <c r="AP211" i="33"/>
  <c r="AQ211" i="33"/>
  <c r="AG212" i="33"/>
  <c r="AH212" i="33"/>
  <c r="AI212" i="33"/>
  <c r="AJ212" i="33"/>
  <c r="AK212" i="33"/>
  <c r="AL212" i="33"/>
  <c r="AM212" i="33"/>
  <c r="AN212" i="33"/>
  <c r="AO212" i="33"/>
  <c r="AP212" i="33"/>
  <c r="AQ212" i="33"/>
  <c r="AG213" i="33"/>
  <c r="AH213" i="33"/>
  <c r="AI213" i="33"/>
  <c r="AJ213" i="33"/>
  <c r="AK213" i="33"/>
  <c r="AL213" i="33"/>
  <c r="AM213" i="33"/>
  <c r="AN213" i="33"/>
  <c r="AO213" i="33"/>
  <c r="AP213" i="33"/>
  <c r="AQ213" i="33"/>
  <c r="AG214" i="33"/>
  <c r="AH214" i="33"/>
  <c r="AI214" i="33"/>
  <c r="AJ214" i="33"/>
  <c r="AK214" i="33"/>
  <c r="AL214" i="33"/>
  <c r="AM214" i="33"/>
  <c r="AN214" i="33"/>
  <c r="AO214" i="33"/>
  <c r="AP214" i="33"/>
  <c r="AQ214" i="33"/>
  <c r="AG215" i="33"/>
  <c r="AH215" i="33"/>
  <c r="AI215" i="33"/>
  <c r="AJ215" i="33"/>
  <c r="AK215" i="33"/>
  <c r="AL215" i="33"/>
  <c r="AM215" i="33"/>
  <c r="AN215" i="33"/>
  <c r="AO215" i="33"/>
  <c r="AP215" i="33"/>
  <c r="AQ215" i="33"/>
  <c r="AG216" i="33"/>
  <c r="AH216" i="33"/>
  <c r="AI216" i="33"/>
  <c r="AJ216" i="33"/>
  <c r="AK216" i="33"/>
  <c r="AL216" i="33"/>
  <c r="AM216" i="33"/>
  <c r="AN216" i="33"/>
  <c r="AO216" i="33"/>
  <c r="AP216" i="33"/>
  <c r="AQ216" i="33"/>
  <c r="AG217" i="33"/>
  <c r="AH217" i="33"/>
  <c r="AI217" i="33"/>
  <c r="AJ217" i="33"/>
  <c r="AK217" i="33"/>
  <c r="AL217" i="33"/>
  <c r="AM217" i="33"/>
  <c r="AN217" i="33"/>
  <c r="AO217" i="33"/>
  <c r="AP217" i="33"/>
  <c r="AQ217" i="33"/>
  <c r="AG218" i="33"/>
  <c r="AH218" i="33"/>
  <c r="AI218" i="33"/>
  <c r="AJ218" i="33"/>
  <c r="AK218" i="33"/>
  <c r="AL218" i="33"/>
  <c r="AM218" i="33"/>
  <c r="AN218" i="33"/>
  <c r="AO218" i="33"/>
  <c r="AP218" i="33"/>
  <c r="AQ218" i="33"/>
  <c r="AG219" i="33"/>
  <c r="AH219" i="33"/>
  <c r="AI219" i="33"/>
  <c r="AJ219" i="33"/>
  <c r="AK219" i="33"/>
  <c r="AL219" i="33"/>
  <c r="AM219" i="33"/>
  <c r="AN219" i="33"/>
  <c r="AO219" i="33"/>
  <c r="AP219" i="33"/>
  <c r="AQ219" i="33"/>
  <c r="AG221" i="33"/>
  <c r="AH221" i="33"/>
  <c r="AI221" i="33"/>
  <c r="AJ221" i="33"/>
  <c r="AK221" i="33"/>
  <c r="AL221" i="33"/>
  <c r="AM221" i="33"/>
  <c r="AN221" i="33"/>
  <c r="AO221" i="33"/>
  <c r="AP221" i="33"/>
  <c r="AQ221" i="33"/>
  <c r="AG222" i="33"/>
  <c r="AH222" i="33"/>
  <c r="AI222" i="33"/>
  <c r="AJ222" i="33"/>
  <c r="AK222" i="33"/>
  <c r="AL222" i="33"/>
  <c r="AM222" i="33"/>
  <c r="AN222" i="33"/>
  <c r="AO222" i="33"/>
  <c r="AP222" i="33"/>
  <c r="AQ222" i="33"/>
  <c r="AG223" i="33"/>
  <c r="AH223" i="33"/>
  <c r="AI223" i="33"/>
  <c r="AJ223" i="33"/>
  <c r="AK223" i="33"/>
  <c r="AL223" i="33"/>
  <c r="AM223" i="33"/>
  <c r="AN223" i="33"/>
  <c r="AO223" i="33"/>
  <c r="AP223" i="33"/>
  <c r="AQ223" i="33"/>
  <c r="AG224" i="33"/>
  <c r="AH224" i="33"/>
  <c r="AI224" i="33"/>
  <c r="AJ224" i="33"/>
  <c r="AK224" i="33"/>
  <c r="AL224" i="33"/>
  <c r="AM224" i="33"/>
  <c r="AN224" i="33"/>
  <c r="AO224" i="33"/>
  <c r="AP224" i="33"/>
  <c r="AQ224" i="33"/>
  <c r="AG225" i="33"/>
  <c r="AH225" i="33"/>
  <c r="AI225" i="33"/>
  <c r="AJ225" i="33"/>
  <c r="AK225" i="33"/>
  <c r="AL225" i="33"/>
  <c r="AM225" i="33"/>
  <c r="AN225" i="33"/>
  <c r="AO225" i="33"/>
  <c r="AP225" i="33"/>
  <c r="AQ225" i="33"/>
  <c r="AG226" i="33"/>
  <c r="AH226" i="33"/>
  <c r="AI226" i="33"/>
  <c r="AJ226" i="33"/>
  <c r="AK226" i="33"/>
  <c r="AL226" i="33"/>
  <c r="AM226" i="33"/>
  <c r="AN226" i="33"/>
  <c r="AO226" i="33"/>
  <c r="AP226" i="33"/>
  <c r="AQ226" i="33"/>
  <c r="AG227" i="33"/>
  <c r="AH227" i="33"/>
  <c r="AI227" i="33"/>
  <c r="AJ227" i="33"/>
  <c r="AK227" i="33"/>
  <c r="AL227" i="33"/>
  <c r="AM227" i="33"/>
  <c r="AN227" i="33"/>
  <c r="AO227" i="33"/>
  <c r="AP227" i="33"/>
  <c r="AQ227" i="33"/>
  <c r="AG228" i="33"/>
  <c r="AH228" i="33"/>
  <c r="AI228" i="33"/>
  <c r="AJ228" i="33"/>
  <c r="AK228" i="33"/>
  <c r="AL228" i="33"/>
  <c r="AM228" i="33"/>
  <c r="AN228" i="33"/>
  <c r="AO228" i="33"/>
  <c r="AP228" i="33"/>
  <c r="AQ228" i="33"/>
  <c r="AG229" i="33"/>
  <c r="AH229" i="33"/>
  <c r="AI229" i="33"/>
  <c r="AJ229" i="33"/>
  <c r="AK229" i="33"/>
  <c r="AL229" i="33"/>
  <c r="AM229" i="33"/>
  <c r="AN229" i="33"/>
  <c r="AO229" i="33"/>
  <c r="AP229" i="33"/>
  <c r="AQ229" i="33"/>
  <c r="AG230" i="33"/>
  <c r="AH230" i="33"/>
  <c r="AI230" i="33"/>
  <c r="AJ230" i="33"/>
  <c r="AK230" i="33"/>
  <c r="AL230" i="33"/>
  <c r="AM230" i="33"/>
  <c r="AN230" i="33"/>
  <c r="AO230" i="33"/>
  <c r="AP230" i="33"/>
  <c r="AQ230" i="33"/>
  <c r="AG232" i="33"/>
  <c r="AH232" i="33"/>
  <c r="AI232" i="33"/>
  <c r="AJ232" i="33"/>
  <c r="AK232" i="33"/>
  <c r="AL232" i="33"/>
  <c r="AM232" i="33"/>
  <c r="AN232" i="33"/>
  <c r="AO232" i="33"/>
  <c r="AP232" i="33"/>
  <c r="AQ232" i="33"/>
  <c r="AG233" i="33"/>
  <c r="AH233" i="33"/>
  <c r="AI233" i="33"/>
  <c r="AJ233" i="33"/>
  <c r="AK233" i="33"/>
  <c r="AL233" i="33"/>
  <c r="AM233" i="33"/>
  <c r="AN233" i="33"/>
  <c r="AO233" i="33"/>
  <c r="AP233" i="33"/>
  <c r="AQ233" i="33"/>
  <c r="AG234" i="33"/>
  <c r="AH234" i="33"/>
  <c r="AI234" i="33"/>
  <c r="AJ234" i="33"/>
  <c r="AK234" i="33"/>
  <c r="AL234" i="33"/>
  <c r="AM234" i="33"/>
  <c r="AN234" i="33"/>
  <c r="AN235" i="33" s="1"/>
  <c r="AO234" i="33"/>
  <c r="AP234" i="33"/>
  <c r="AQ234" i="33"/>
  <c r="AK235" i="33"/>
  <c r="AG239" i="33"/>
  <c r="AH239" i="33"/>
  <c r="AI239" i="33"/>
  <c r="AJ239" i="33"/>
  <c r="AK239" i="33"/>
  <c r="AL239" i="33"/>
  <c r="AM239" i="33"/>
  <c r="AN239" i="33"/>
  <c r="AO239" i="33"/>
  <c r="AP239" i="33"/>
  <c r="AQ239" i="33"/>
  <c r="AG241" i="33"/>
  <c r="AH241" i="33"/>
  <c r="AI241" i="33"/>
  <c r="AJ241" i="33"/>
  <c r="AK241" i="33"/>
  <c r="AL241" i="33"/>
  <c r="AM241" i="33"/>
  <c r="AN241" i="33"/>
  <c r="AO241" i="33"/>
  <c r="AP241" i="33"/>
  <c r="AQ241" i="33"/>
  <c r="AG242" i="33"/>
  <c r="AH242" i="33"/>
  <c r="AI242" i="33"/>
  <c r="AJ242" i="33"/>
  <c r="AK242" i="33"/>
  <c r="AL242" i="33"/>
  <c r="AM242" i="33"/>
  <c r="AN242" i="33"/>
  <c r="AO242" i="33"/>
  <c r="AP242" i="33"/>
  <c r="AQ242" i="33"/>
  <c r="AG243" i="33"/>
  <c r="AH243" i="33"/>
  <c r="AI243" i="33"/>
  <c r="AJ243" i="33"/>
  <c r="AK243" i="33"/>
  <c r="AL243" i="33"/>
  <c r="AM243" i="33"/>
  <c r="AN243" i="33"/>
  <c r="AO243" i="33"/>
  <c r="AP243" i="33"/>
  <c r="AQ243" i="33"/>
  <c r="AG244" i="33"/>
  <c r="AH244" i="33"/>
  <c r="AI244" i="33"/>
  <c r="AJ244" i="33"/>
  <c r="AK244" i="33"/>
  <c r="AL244" i="33"/>
  <c r="AM244" i="33"/>
  <c r="AN244" i="33"/>
  <c r="AO244" i="33"/>
  <c r="AP244" i="33"/>
  <c r="AQ244" i="33"/>
  <c r="AG245" i="33"/>
  <c r="AH245" i="33"/>
  <c r="AI245" i="33"/>
  <c r="AJ245" i="33"/>
  <c r="AK245" i="33"/>
  <c r="AL245" i="33"/>
  <c r="AM245" i="33"/>
  <c r="AN245" i="33"/>
  <c r="AO245" i="33"/>
  <c r="AP245" i="33"/>
  <c r="AQ245" i="33"/>
  <c r="AG246" i="33"/>
  <c r="AH246" i="33"/>
  <c r="AI246" i="33"/>
  <c r="AJ246" i="33"/>
  <c r="AK246" i="33"/>
  <c r="AL246" i="33"/>
  <c r="AM246" i="33"/>
  <c r="AN246" i="33"/>
  <c r="AO246" i="33"/>
  <c r="AP246" i="33"/>
  <c r="AQ246" i="33"/>
  <c r="AG247" i="33"/>
  <c r="AH247" i="33"/>
  <c r="AI247" i="33"/>
  <c r="AJ247" i="33"/>
  <c r="AK247" i="33"/>
  <c r="AL247" i="33"/>
  <c r="AM247" i="33"/>
  <c r="AN247" i="33"/>
  <c r="AO247" i="33"/>
  <c r="AP247" i="33"/>
  <c r="AQ247" i="33"/>
  <c r="AG248" i="33"/>
  <c r="AH248" i="33"/>
  <c r="AI248" i="33"/>
  <c r="AJ248" i="33"/>
  <c r="AK248" i="33"/>
  <c r="AL248" i="33"/>
  <c r="AM248" i="33"/>
  <c r="AN248" i="33"/>
  <c r="AO248" i="33"/>
  <c r="AP248" i="33"/>
  <c r="AQ248" i="33"/>
  <c r="AK171" i="33" l="1"/>
  <c r="AP101" i="33"/>
  <c r="AM69" i="33"/>
  <c r="AM207" i="33"/>
  <c r="AO235" i="33"/>
  <c r="AP249" i="33"/>
  <c r="AH249" i="33"/>
  <c r="AL184" i="33"/>
  <c r="AJ113" i="33"/>
  <c r="AM86" i="33"/>
  <c r="AJ145" i="33"/>
  <c r="AN220" i="33"/>
  <c r="AJ153" i="33"/>
  <c r="AP145" i="33"/>
  <c r="AH145" i="33"/>
  <c r="AK145" i="33"/>
  <c r="AK76" i="33"/>
  <c r="AN24" i="33"/>
  <c r="AQ9" i="33"/>
  <c r="AL231" i="33"/>
  <c r="AO231" i="33"/>
  <c r="AG231" i="33"/>
  <c r="AJ231" i="33"/>
  <c r="AM231" i="33"/>
  <c r="AP153" i="33"/>
  <c r="AH153" i="33"/>
  <c r="AO86" i="33"/>
  <c r="AG86" i="33"/>
  <c r="AJ86" i="33"/>
  <c r="AN81" i="33"/>
  <c r="AL9" i="33"/>
  <c r="AO9" i="33"/>
  <c r="AG9" i="33"/>
  <c r="AJ9" i="33"/>
  <c r="AJ17" i="33" s="1"/>
  <c r="AM9" i="33"/>
  <c r="AM17" i="33" s="1"/>
  <c r="AP9" i="33"/>
  <c r="AH9" i="33"/>
  <c r="AQ235" i="33"/>
  <c r="AI235" i="33"/>
  <c r="AH162" i="33"/>
  <c r="AK162" i="33"/>
  <c r="AL81" i="33"/>
  <c r="AO81" i="33"/>
  <c r="AG81" i="33"/>
  <c r="AM37" i="33"/>
  <c r="AL16" i="33"/>
  <c r="AH76" i="33"/>
  <c r="AJ46" i="33"/>
  <c r="AQ20" i="33"/>
  <c r="AQ25" i="33" s="1"/>
  <c r="AI20" i="33"/>
  <c r="AI25" i="33" s="1"/>
  <c r="AL25" i="33"/>
  <c r="AJ16" i="33"/>
  <c r="AM16" i="33"/>
  <c r="AK9" i="33"/>
  <c r="AK17" i="33" s="1"/>
  <c r="AO195" i="33"/>
  <c r="AO197" i="33" s="1"/>
  <c r="AG195" i="33"/>
  <c r="AJ162" i="33"/>
  <c r="AM145" i="33"/>
  <c r="AN145" i="33"/>
  <c r="AQ145" i="33"/>
  <c r="AI145" i="33"/>
  <c r="AL145" i="33"/>
  <c r="AO101" i="33"/>
  <c r="AG101" i="33"/>
  <c r="AJ101" i="33"/>
  <c r="AM46" i="33"/>
  <c r="AM47" i="33" s="1"/>
  <c r="AO16" i="33"/>
  <c r="AG16" i="33"/>
  <c r="AP16" i="33"/>
  <c r="AH16" i="33"/>
  <c r="AH17" i="33" s="1"/>
  <c r="AK16" i="33"/>
  <c r="AN16" i="33"/>
  <c r="AP220" i="33"/>
  <c r="AN69" i="33"/>
  <c r="AL235" i="33"/>
  <c r="AG235" i="33"/>
  <c r="AJ235" i="33"/>
  <c r="AQ231" i="33"/>
  <c r="AI231" i="33"/>
  <c r="AK184" i="33"/>
  <c r="AK197" i="33" s="1"/>
  <c r="AP138" i="33"/>
  <c r="AH138" i="33"/>
  <c r="AK138" i="33"/>
  <c r="AN9" i="33"/>
  <c r="AP231" i="33"/>
  <c r="AJ138" i="33"/>
  <c r="AO17" i="33"/>
  <c r="AM220" i="33"/>
  <c r="AQ171" i="33"/>
  <c r="AI171" i="33"/>
  <c r="AL171" i="33"/>
  <c r="AO171" i="33"/>
  <c r="AG171" i="33"/>
  <c r="AJ171" i="33"/>
  <c r="AM171" i="33"/>
  <c r="AP171" i="33"/>
  <c r="AH171" i="33"/>
  <c r="AO153" i="33"/>
  <c r="AG153" i="33"/>
  <c r="AG145" i="33"/>
  <c r="AP113" i="33"/>
  <c r="AH113" i="33"/>
  <c r="AK113" i="33"/>
  <c r="AK146" i="33" s="1"/>
  <c r="AN113" i="33"/>
  <c r="AN146" i="33" s="1"/>
  <c r="AQ113" i="33"/>
  <c r="AQ146" i="33" s="1"/>
  <c r="AI113" i="33"/>
  <c r="AL113" i="33"/>
  <c r="AO113" i="33"/>
  <c r="AG113" i="33"/>
  <c r="AN76" i="33"/>
  <c r="AQ76" i="33"/>
  <c r="AI76" i="33"/>
  <c r="AL76" i="33"/>
  <c r="AO76" i="33"/>
  <c r="AG76" i="33"/>
  <c r="AO25" i="33"/>
  <c r="AG25" i="33"/>
  <c r="AJ24" i="33"/>
  <c r="AJ25" i="33" s="1"/>
  <c r="AM24" i="33"/>
  <c r="AM25" i="33" s="1"/>
  <c r="AQ16" i="33"/>
  <c r="AI16" i="33"/>
  <c r="AI17" i="33" s="1"/>
  <c r="AK231" i="33"/>
  <c r="AM138" i="33"/>
  <c r="AN249" i="33"/>
  <c r="AO249" i="33"/>
  <c r="AG249" i="33"/>
  <c r="AJ249" i="33"/>
  <c r="AM249" i="33"/>
  <c r="AP235" i="33"/>
  <c r="AH235" i="33"/>
  <c r="AK207" i="33"/>
  <c r="AN207" i="33"/>
  <c r="AQ207" i="33"/>
  <c r="AI207" i="33"/>
  <c r="AL207" i="33"/>
  <c r="AO207" i="33"/>
  <c r="AG207" i="33"/>
  <c r="AJ207" i="33"/>
  <c r="AL195" i="33"/>
  <c r="AO162" i="33"/>
  <c r="AG162" i="33"/>
  <c r="AK86" i="33"/>
  <c r="AN86" i="33"/>
  <c r="AJ81" i="33"/>
  <c r="AM81" i="33"/>
  <c r="AM59" i="33"/>
  <c r="AP59" i="33"/>
  <c r="AH59" i="33"/>
  <c r="AN59" i="33"/>
  <c r="AN70" i="33" s="1"/>
  <c r="AQ59" i="33"/>
  <c r="AI59" i="33"/>
  <c r="AL59" i="33"/>
  <c r="AL17" i="33"/>
  <c r="AL249" i="33"/>
  <c r="AN231" i="33"/>
  <c r="AQ184" i="33"/>
  <c r="AI184" i="33"/>
  <c r="AO184" i="33"/>
  <c r="AG184" i="33"/>
  <c r="AJ184" i="33"/>
  <c r="AM184" i="33"/>
  <c r="AP184" i="33"/>
  <c r="AH184" i="33"/>
  <c r="AN171" i="33"/>
  <c r="AP127" i="33"/>
  <c r="AH127" i="33"/>
  <c r="AK127" i="33"/>
  <c r="AN127" i="33"/>
  <c r="AQ127" i="33"/>
  <c r="AI127" i="33"/>
  <c r="AL127" i="33"/>
  <c r="AO127" i="33"/>
  <c r="AG127" i="33"/>
  <c r="AM113" i="33"/>
  <c r="AJ76" i="33"/>
  <c r="AM76" i="33"/>
  <c r="AO37" i="33"/>
  <c r="AG37" i="33"/>
  <c r="AJ37" i="33"/>
  <c r="AP37" i="33"/>
  <c r="AH37" i="33"/>
  <c r="AK37" i="33"/>
  <c r="AN37" i="33"/>
  <c r="AP24" i="33"/>
  <c r="AP25" i="33" s="1"/>
  <c r="AH24" i="33"/>
  <c r="AH25" i="33" s="1"/>
  <c r="AK24" i="33"/>
  <c r="AH220" i="33"/>
  <c r="AP17" i="33"/>
  <c r="AQ249" i="33"/>
  <c r="AK249" i="33"/>
  <c r="AK220" i="33"/>
  <c r="AQ220" i="33"/>
  <c r="AI220" i="33"/>
  <c r="AL220" i="33"/>
  <c r="AO220" i="33"/>
  <c r="AG220" i="33"/>
  <c r="AJ220" i="33"/>
  <c r="AP207" i="33"/>
  <c r="AH207" i="33"/>
  <c r="AM162" i="33"/>
  <c r="AN153" i="33"/>
  <c r="AQ153" i="33"/>
  <c r="AI153" i="33"/>
  <c r="AL153" i="33"/>
  <c r="AO145" i="33"/>
  <c r="AQ86" i="33"/>
  <c r="AI86" i="33"/>
  <c r="AL86" i="33"/>
  <c r="AP81" i="33"/>
  <c r="AH81" i="33"/>
  <c r="AK81" i="33"/>
  <c r="AK69" i="33"/>
  <c r="AK70" i="33" s="1"/>
  <c r="AQ69" i="33"/>
  <c r="AI69" i="33"/>
  <c r="AL69" i="33"/>
  <c r="AO69" i="33"/>
  <c r="AG69" i="33"/>
  <c r="AJ69" i="33"/>
  <c r="AP69" i="33"/>
  <c r="AH69" i="33"/>
  <c r="AO59" i="33"/>
  <c r="AG59" i="33"/>
  <c r="AJ59" i="33"/>
  <c r="AJ70" i="33" s="1"/>
  <c r="AK20" i="33"/>
  <c r="AN20" i="33"/>
  <c r="AN25" i="33" s="1"/>
  <c r="AH231" i="33"/>
  <c r="AI249" i="33"/>
  <c r="AM235" i="33"/>
  <c r="AJ195" i="33"/>
  <c r="AM195" i="33"/>
  <c r="AM197" i="33" s="1"/>
  <c r="AM237" i="33" s="1"/>
  <c r="AM251" i="33" s="1"/>
  <c r="AM254" i="33" s="1"/>
  <c r="AP195" i="33"/>
  <c r="AP197" i="33" s="1"/>
  <c r="AP237" i="33" s="1"/>
  <c r="AP251" i="33" s="1"/>
  <c r="AP254" i="33" s="1"/>
  <c r="AH195" i="33"/>
  <c r="AH197" i="33" s="1"/>
  <c r="AH237" i="33" s="1"/>
  <c r="AH251" i="33" s="1"/>
  <c r="AH254" i="33" s="1"/>
  <c r="AN195" i="33"/>
  <c r="AQ195" i="33"/>
  <c r="AI195" i="33"/>
  <c r="AI197" i="33" s="1"/>
  <c r="AN184" i="33"/>
  <c r="AJ127" i="33"/>
  <c r="AM127" i="33"/>
  <c r="AM101" i="33"/>
  <c r="AK101" i="33"/>
  <c r="AN101" i="33"/>
  <c r="AQ101" i="33"/>
  <c r="AI101" i="33"/>
  <c r="AL101" i="33"/>
  <c r="AP46" i="33"/>
  <c r="AH46" i="33"/>
  <c r="AK46" i="33"/>
  <c r="AN46" i="33"/>
  <c r="AN47" i="33" s="1"/>
  <c r="AQ46" i="33"/>
  <c r="AI46" i="33"/>
  <c r="AL46" i="33"/>
  <c r="AO46" i="33"/>
  <c r="AG46" i="33"/>
  <c r="AQ37" i="33"/>
  <c r="AQ47" i="33" s="1"/>
  <c r="AI37" i="33"/>
  <c r="AL37" i="33"/>
  <c r="AI146" i="33"/>
  <c r="AM146" i="33"/>
  <c r="AG70" i="33"/>
  <c r="AN197" i="33"/>
  <c r="AN237" i="33" s="1"/>
  <c r="AN251" i="33" s="1"/>
  <c r="AN254" i="33" s="1"/>
  <c r="BA377" i="7"/>
  <c r="AQ17" i="33" l="1"/>
  <c r="AJ87" i="33"/>
  <c r="AJ103" i="33" s="1"/>
  <c r="AH146" i="33"/>
  <c r="AJ146" i="33"/>
  <c r="AO70" i="33"/>
  <c r="AH47" i="33"/>
  <c r="AG146" i="33"/>
  <c r="AP146" i="33"/>
  <c r="AJ197" i="33"/>
  <c r="AJ237" i="33" s="1"/>
  <c r="AJ251" i="33" s="1"/>
  <c r="AJ254" i="33" s="1"/>
  <c r="AI237" i="33"/>
  <c r="AI251" i="33" s="1"/>
  <c r="AI254" i="33" s="1"/>
  <c r="AO146" i="33"/>
  <c r="AI47" i="33"/>
  <c r="AQ197" i="33"/>
  <c r="AQ237" i="33" s="1"/>
  <c r="AQ251" i="33" s="1"/>
  <c r="AQ254" i="33" s="1"/>
  <c r="AJ47" i="33"/>
  <c r="AL197" i="33"/>
  <c r="AL237" i="33" s="1"/>
  <c r="AL251" i="33" s="1"/>
  <c r="AL254" i="33" s="1"/>
  <c r="AL146" i="33"/>
  <c r="AL47" i="33"/>
  <c r="AP47" i="33"/>
  <c r="AN17" i="33"/>
  <c r="AG17" i="33"/>
  <c r="AG47" i="33"/>
  <c r="AM70" i="33"/>
  <c r="AM87" i="33"/>
  <c r="AM103" i="33" s="1"/>
  <c r="AO237" i="33"/>
  <c r="AO251" i="33" s="1"/>
  <c r="AO254" i="33" s="1"/>
  <c r="AO87" i="33"/>
  <c r="AO103" i="33" s="1"/>
  <c r="AJ155" i="33"/>
  <c r="AJ157" i="33" s="1"/>
  <c r="AN87" i="33"/>
  <c r="AN103" i="33" s="1"/>
  <c r="AN155" i="33" s="1"/>
  <c r="AP70" i="33"/>
  <c r="AO47" i="33"/>
  <c r="AM155" i="33"/>
  <c r="AM157" i="33" s="1"/>
  <c r="AG87" i="33"/>
  <c r="AG103" i="33" s="1"/>
  <c r="AG155" i="33" s="1"/>
  <c r="AK25" i="33"/>
  <c r="AK87" i="33" s="1"/>
  <c r="AK103" i="33" s="1"/>
  <c r="AK155" i="33" s="1"/>
  <c r="AK157" i="33" s="1"/>
  <c r="AK237" i="33"/>
  <c r="AK251" i="33" s="1"/>
  <c r="AK254" i="33" s="1"/>
  <c r="AL70" i="33"/>
  <c r="AQ70" i="33"/>
  <c r="AQ87" i="33" s="1"/>
  <c r="AQ103" i="33" s="1"/>
  <c r="AQ155" i="33" s="1"/>
  <c r="AH70" i="33"/>
  <c r="AH87" i="33" s="1"/>
  <c r="AH103" i="33" s="1"/>
  <c r="AH155" i="33" s="1"/>
  <c r="AH157" i="33" s="1"/>
  <c r="AK47" i="33"/>
  <c r="AI70" i="33"/>
  <c r="AG197" i="33"/>
  <c r="AG237" i="33" s="1"/>
  <c r="AG251" i="33" s="1"/>
  <c r="AG254" i="33" s="1"/>
  <c r="AT337" i="7"/>
  <c r="AT338" i="7"/>
  <c r="AT339" i="7"/>
  <c r="AT340" i="7"/>
  <c r="AT341" i="7"/>
  <c r="AT342" i="7"/>
  <c r="AT343" i="7"/>
  <c r="AT344" i="7"/>
  <c r="AT345" i="7"/>
  <c r="AT336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20" i="7"/>
  <c r="AT310" i="7"/>
  <c r="AT311" i="7"/>
  <c r="AT312" i="7"/>
  <c r="AT313" i="7"/>
  <c r="AT314" i="7"/>
  <c r="AT315" i="7"/>
  <c r="AT316" i="7"/>
  <c r="AT309" i="7"/>
  <c r="AT284" i="7"/>
  <c r="AT285" i="7"/>
  <c r="AT286" i="7"/>
  <c r="AT287" i="7"/>
  <c r="AT288" i="7"/>
  <c r="AT289" i="7"/>
  <c r="AT290" i="7"/>
  <c r="AT291" i="7"/>
  <c r="AT292" i="7"/>
  <c r="AT283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67" i="7"/>
  <c r="AT257" i="7"/>
  <c r="AT258" i="7"/>
  <c r="AT259" i="7"/>
  <c r="AT260" i="7"/>
  <c r="AT261" i="7"/>
  <c r="AT262" i="7"/>
  <c r="AT263" i="7"/>
  <c r="AT256" i="7"/>
  <c r="AT204" i="7"/>
  <c r="AT205" i="7"/>
  <c r="AT206" i="7"/>
  <c r="AT207" i="7"/>
  <c r="AT208" i="7"/>
  <c r="AT209" i="7"/>
  <c r="AT210" i="7"/>
  <c r="AT211" i="7"/>
  <c r="AT212" i="7"/>
  <c r="AT203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187" i="7"/>
  <c r="AT169" i="7"/>
  <c r="AT170" i="7"/>
  <c r="AT171" i="7"/>
  <c r="AT172" i="7"/>
  <c r="AT173" i="7"/>
  <c r="AT174" i="7"/>
  <c r="AT175" i="7"/>
  <c r="AT168" i="7"/>
  <c r="AT73" i="7"/>
  <c r="AT84" i="7"/>
  <c r="AT85" i="7"/>
  <c r="AT86" i="7"/>
  <c r="AT87" i="7"/>
  <c r="AT88" i="7"/>
  <c r="AT89" i="7"/>
  <c r="AT90" i="7"/>
  <c r="AT91" i="7"/>
  <c r="AT83" i="7"/>
  <c r="AT71" i="7"/>
  <c r="AT72" i="7"/>
  <c r="AT74" i="7"/>
  <c r="AT75" i="7"/>
  <c r="AT76" i="7"/>
  <c r="AT77" i="7"/>
  <c r="AT78" i="7"/>
  <c r="AT79" i="7"/>
  <c r="AT80" i="7"/>
  <c r="AT70" i="7"/>
  <c r="AS337" i="7"/>
  <c r="AS338" i="7"/>
  <c r="AS339" i="7"/>
  <c r="AS340" i="7"/>
  <c r="AS341" i="7"/>
  <c r="AS342" i="7"/>
  <c r="AS343" i="7"/>
  <c r="AS344" i="7"/>
  <c r="AS345" i="7"/>
  <c r="AS336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20" i="7"/>
  <c r="AS311" i="7"/>
  <c r="AS310" i="7"/>
  <c r="AS312" i="7"/>
  <c r="AS313" i="7"/>
  <c r="AS314" i="7"/>
  <c r="AS315" i="7"/>
  <c r="AS316" i="7"/>
  <c r="AS309" i="7"/>
  <c r="AS284" i="7"/>
  <c r="AS285" i="7"/>
  <c r="AS286" i="7"/>
  <c r="AS287" i="7"/>
  <c r="AS288" i="7"/>
  <c r="AS289" i="7"/>
  <c r="AS290" i="7"/>
  <c r="AS291" i="7"/>
  <c r="AS292" i="7"/>
  <c r="AS283" i="7"/>
  <c r="AS269" i="7"/>
  <c r="AS268" i="7"/>
  <c r="AS270" i="7"/>
  <c r="AS271" i="7"/>
  <c r="AS272" i="7"/>
  <c r="AS273" i="7"/>
  <c r="AS274" i="7"/>
  <c r="AS275" i="7"/>
  <c r="AS276" i="7"/>
  <c r="AS277" i="7"/>
  <c r="AS278" i="7"/>
  <c r="AS279" i="7"/>
  <c r="AS267" i="7"/>
  <c r="AS257" i="7"/>
  <c r="AS258" i="7"/>
  <c r="AS259" i="7"/>
  <c r="AS260" i="7"/>
  <c r="AS261" i="7"/>
  <c r="AS262" i="7"/>
  <c r="AS263" i="7"/>
  <c r="AS256" i="7"/>
  <c r="AS204" i="7"/>
  <c r="AS205" i="7"/>
  <c r="AS206" i="7"/>
  <c r="AS207" i="7"/>
  <c r="AS208" i="7"/>
  <c r="AS209" i="7"/>
  <c r="AS210" i="7"/>
  <c r="AS211" i="7"/>
  <c r="AS212" i="7"/>
  <c r="AS203" i="7"/>
  <c r="AS189" i="7"/>
  <c r="AS188" i="7"/>
  <c r="AS190" i="7"/>
  <c r="AS191" i="7"/>
  <c r="AS192" i="7"/>
  <c r="AS193" i="7"/>
  <c r="AS194" i="7"/>
  <c r="AS195" i="7"/>
  <c r="AS196" i="7"/>
  <c r="AS197" i="7"/>
  <c r="AS198" i="7"/>
  <c r="AS199" i="7"/>
  <c r="AS187" i="7"/>
  <c r="AS172" i="7"/>
  <c r="AO339" i="7"/>
  <c r="AO337" i="7"/>
  <c r="AO338" i="7"/>
  <c r="AO340" i="7"/>
  <c r="AO341" i="7"/>
  <c r="AO342" i="7"/>
  <c r="AO343" i="7"/>
  <c r="AO344" i="7"/>
  <c r="AO345" i="7"/>
  <c r="AO336" i="7"/>
  <c r="AN337" i="7"/>
  <c r="AN338" i="7"/>
  <c r="AN339" i="7"/>
  <c r="AN340" i="7"/>
  <c r="AN341" i="7"/>
  <c r="AN342" i="7"/>
  <c r="AN343" i="7"/>
  <c r="AN344" i="7"/>
  <c r="AN345" i="7"/>
  <c r="AN336" i="7"/>
  <c r="AO322" i="7"/>
  <c r="AO321" i="7"/>
  <c r="AO323" i="7"/>
  <c r="AO324" i="7"/>
  <c r="AO325" i="7"/>
  <c r="AO326" i="7"/>
  <c r="AO327" i="7"/>
  <c r="AO328" i="7"/>
  <c r="AO329" i="7"/>
  <c r="AO330" i="7"/>
  <c r="AO331" i="7"/>
  <c r="AO332" i="7"/>
  <c r="AO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20" i="7"/>
  <c r="AO310" i="7"/>
  <c r="AO311" i="7"/>
  <c r="AO312" i="7"/>
  <c r="AO313" i="7"/>
  <c r="AO314" i="7"/>
  <c r="AO315" i="7"/>
  <c r="AO316" i="7"/>
  <c r="AO309" i="7"/>
  <c r="AN310" i="7"/>
  <c r="AN311" i="7"/>
  <c r="AN312" i="7"/>
  <c r="AN313" i="7"/>
  <c r="AN314" i="7"/>
  <c r="AN315" i="7"/>
  <c r="AN316" i="7"/>
  <c r="AN309" i="7"/>
  <c r="AO284" i="7"/>
  <c r="AO285" i="7"/>
  <c r="AO286" i="7"/>
  <c r="AO287" i="7"/>
  <c r="AO288" i="7"/>
  <c r="AO289" i="7"/>
  <c r="AO290" i="7"/>
  <c r="AO291" i="7"/>
  <c r="AO292" i="7"/>
  <c r="AO283" i="7"/>
  <c r="AN284" i="7"/>
  <c r="AN285" i="7"/>
  <c r="AN286" i="7"/>
  <c r="AN287" i="7"/>
  <c r="AN288" i="7"/>
  <c r="AN289" i="7"/>
  <c r="AN290" i="7"/>
  <c r="AN291" i="7"/>
  <c r="AN292" i="7"/>
  <c r="AN283" i="7"/>
  <c r="AO269" i="7"/>
  <c r="AO268" i="7"/>
  <c r="AO270" i="7"/>
  <c r="AO271" i="7"/>
  <c r="AO272" i="7"/>
  <c r="AO273" i="7"/>
  <c r="AO274" i="7"/>
  <c r="AO275" i="7"/>
  <c r="AO276" i="7"/>
  <c r="AO277" i="7"/>
  <c r="AO278" i="7"/>
  <c r="AO279" i="7"/>
  <c r="AO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67" i="7"/>
  <c r="AO257" i="7"/>
  <c r="AO258" i="7"/>
  <c r="AO259" i="7"/>
  <c r="AO260" i="7"/>
  <c r="AO261" i="7"/>
  <c r="AO262" i="7"/>
  <c r="AO263" i="7"/>
  <c r="AO256" i="7"/>
  <c r="AN257" i="7"/>
  <c r="AN258" i="7"/>
  <c r="AN259" i="7"/>
  <c r="AN260" i="7"/>
  <c r="AN261" i="7"/>
  <c r="AN262" i="7"/>
  <c r="AN263" i="7"/>
  <c r="AN256" i="7"/>
  <c r="AO204" i="7"/>
  <c r="AO205" i="7"/>
  <c r="AO206" i="7"/>
  <c r="AO207" i="7"/>
  <c r="AO208" i="7"/>
  <c r="AO209" i="7"/>
  <c r="AO210" i="7"/>
  <c r="AO211" i="7"/>
  <c r="AO212" i="7"/>
  <c r="AO203" i="7"/>
  <c r="AO189" i="7"/>
  <c r="AO188" i="7"/>
  <c r="AO190" i="7"/>
  <c r="AO191" i="7"/>
  <c r="AO192" i="7"/>
  <c r="AO193" i="7"/>
  <c r="AO194" i="7"/>
  <c r="AO195" i="7"/>
  <c r="AO196" i="7"/>
  <c r="AO197" i="7"/>
  <c r="AO198" i="7"/>
  <c r="AO199" i="7"/>
  <c r="AO187" i="7"/>
  <c r="AN205" i="7"/>
  <c r="AN204" i="7"/>
  <c r="AN206" i="7"/>
  <c r="AN207" i="7"/>
  <c r="AN208" i="7"/>
  <c r="AN209" i="7"/>
  <c r="AN210" i="7"/>
  <c r="AN211" i="7"/>
  <c r="AN212" i="7"/>
  <c r="AN203" i="7"/>
  <c r="AN189" i="7"/>
  <c r="AN188" i="7"/>
  <c r="AN190" i="7"/>
  <c r="AN191" i="7"/>
  <c r="AN192" i="7"/>
  <c r="AN193" i="7"/>
  <c r="AN194" i="7"/>
  <c r="AN195" i="7"/>
  <c r="AN196" i="7"/>
  <c r="AN197" i="7"/>
  <c r="AN198" i="7"/>
  <c r="AN199" i="7"/>
  <c r="AN187" i="7"/>
  <c r="AM339" i="7"/>
  <c r="AM337" i="7"/>
  <c r="AM338" i="7"/>
  <c r="AM340" i="7"/>
  <c r="AM341" i="7"/>
  <c r="AM342" i="7"/>
  <c r="AM343" i="7"/>
  <c r="AM344" i="7"/>
  <c r="AM345" i="7"/>
  <c r="AM336" i="7"/>
  <c r="AI87" i="33" l="1"/>
  <c r="AI103" i="33" s="1"/>
  <c r="AI155" i="33" s="1"/>
  <c r="AI157" i="33" s="1"/>
  <c r="AQ157" i="33"/>
  <c r="AN157" i="33"/>
  <c r="AG157" i="33"/>
  <c r="AO155" i="33"/>
  <c r="AO157" i="33" s="1"/>
  <c r="AP87" i="33"/>
  <c r="AP103" i="33" s="1"/>
  <c r="AP155" i="33" s="1"/>
  <c r="AP157" i="33" s="1"/>
  <c r="AL87" i="33"/>
  <c r="AL103" i="33" s="1"/>
  <c r="AL155" i="33" s="1"/>
  <c r="AL157" i="33" s="1"/>
  <c r="AM321" i="7" l="1"/>
  <c r="AM322" i="7"/>
  <c r="AM323" i="7"/>
  <c r="AM324" i="7"/>
  <c r="AM325" i="7"/>
  <c r="AM326" i="7"/>
  <c r="AM327" i="7"/>
  <c r="AM328" i="7"/>
  <c r="AM329" i="7"/>
  <c r="AM330" i="7"/>
  <c r="AM331" i="7"/>
  <c r="AM332" i="7"/>
  <c r="AM320" i="7"/>
  <c r="AM311" i="7"/>
  <c r="AM310" i="7"/>
  <c r="AM312" i="7"/>
  <c r="AM313" i="7"/>
  <c r="AM314" i="7"/>
  <c r="AM315" i="7"/>
  <c r="AM316" i="7"/>
  <c r="AM309" i="7"/>
  <c r="AM284" i="7"/>
  <c r="AM285" i="7"/>
  <c r="AM286" i="7"/>
  <c r="AM287" i="7"/>
  <c r="AM288" i="7"/>
  <c r="AM289" i="7"/>
  <c r="AM290" i="7"/>
  <c r="AM291" i="7"/>
  <c r="AM292" i="7"/>
  <c r="AM283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67" i="7"/>
  <c r="AM258" i="7"/>
  <c r="AM257" i="7"/>
  <c r="AM259" i="7"/>
  <c r="AM260" i="7"/>
  <c r="AM261" i="7"/>
  <c r="AM262" i="7"/>
  <c r="AM263" i="7"/>
  <c r="AM256" i="7"/>
  <c r="AM205" i="7"/>
  <c r="AM204" i="7"/>
  <c r="AM206" i="7"/>
  <c r="AM207" i="7"/>
  <c r="AM208" i="7"/>
  <c r="AM209" i="7"/>
  <c r="AM210" i="7"/>
  <c r="AM211" i="7"/>
  <c r="AM212" i="7"/>
  <c r="AM203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187" i="7"/>
  <c r="AL73" i="7"/>
  <c r="AL84" i="7"/>
  <c r="AL85" i="7"/>
  <c r="AL86" i="7"/>
  <c r="AL87" i="7"/>
  <c r="AL88" i="7"/>
  <c r="AL89" i="7"/>
  <c r="AL90" i="7"/>
  <c r="AL91" i="7"/>
  <c r="AL83" i="7"/>
  <c r="AL71" i="7"/>
  <c r="AL72" i="7"/>
  <c r="AL74" i="7"/>
  <c r="AL75" i="7"/>
  <c r="AL76" i="7"/>
  <c r="AL77" i="7"/>
  <c r="AL78" i="7"/>
  <c r="AL79" i="7"/>
  <c r="AL80" i="7"/>
  <c r="AL70" i="7"/>
  <c r="AE107" i="7"/>
  <c r="AE108" i="7"/>
  <c r="AE106" i="7"/>
  <c r="AE98" i="7"/>
  <c r="AE99" i="7"/>
  <c r="AE100" i="7"/>
  <c r="AE101" i="7"/>
  <c r="AE97" i="7"/>
  <c r="AE73" i="7"/>
  <c r="AE86" i="7"/>
  <c r="AE84" i="7"/>
  <c r="AE85" i="7"/>
  <c r="AE87" i="7"/>
  <c r="AE88" i="7"/>
  <c r="AE89" i="7"/>
  <c r="AE90" i="7"/>
  <c r="AE91" i="7"/>
  <c r="AE83" i="7"/>
  <c r="AE71" i="7"/>
  <c r="AE72" i="7"/>
  <c r="AE74" i="7"/>
  <c r="AE75" i="7"/>
  <c r="AE76" i="7"/>
  <c r="AE77" i="7"/>
  <c r="AE78" i="7"/>
  <c r="AE79" i="7"/>
  <c r="AE80" i="7"/>
  <c r="AE70" i="7"/>
  <c r="AC107" i="7"/>
  <c r="AC108" i="7"/>
  <c r="AC106" i="7"/>
  <c r="AC99" i="7"/>
  <c r="AC98" i="7"/>
  <c r="AC100" i="7"/>
  <c r="AC101" i="7"/>
  <c r="AC97" i="7"/>
  <c r="AC73" i="7"/>
  <c r="AC84" i="7"/>
  <c r="AC85" i="7"/>
  <c r="AC86" i="7"/>
  <c r="AC87" i="7"/>
  <c r="AC88" i="7"/>
  <c r="AC89" i="7"/>
  <c r="AC90" i="7"/>
  <c r="AC91" i="7"/>
  <c r="AC83" i="7"/>
  <c r="AC70" i="7"/>
  <c r="AC71" i="7"/>
  <c r="AC72" i="7"/>
  <c r="AC74" i="7"/>
  <c r="AC75" i="7"/>
  <c r="AC76" i="7"/>
  <c r="AC77" i="7"/>
  <c r="AC78" i="7"/>
  <c r="AC79" i="7"/>
  <c r="AC80" i="7"/>
  <c r="AC81" i="7" l="1"/>
  <c r="AC94" i="7" s="1"/>
  <c r="X338" i="7"/>
  <c r="X337" i="7"/>
  <c r="X339" i="7"/>
  <c r="X340" i="7"/>
  <c r="X341" i="7"/>
  <c r="X342" i="7"/>
  <c r="X343" i="7"/>
  <c r="X344" i="7"/>
  <c r="X345" i="7"/>
  <c r="X336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20" i="7"/>
  <c r="X311" i="7"/>
  <c r="X310" i="7"/>
  <c r="X312" i="7"/>
  <c r="X313" i="7"/>
  <c r="X314" i="7"/>
  <c r="X315" i="7"/>
  <c r="X316" i="7"/>
  <c r="X309" i="7"/>
  <c r="X284" i="7"/>
  <c r="X285" i="7"/>
  <c r="X286" i="7"/>
  <c r="X287" i="7"/>
  <c r="X288" i="7"/>
  <c r="X289" i="7"/>
  <c r="X290" i="7"/>
  <c r="X291" i="7"/>
  <c r="X292" i="7"/>
  <c r="X283" i="7"/>
  <c r="X269" i="7"/>
  <c r="X267" i="7"/>
  <c r="X268" i="7"/>
  <c r="X270" i="7"/>
  <c r="X271" i="7"/>
  <c r="X272" i="7"/>
  <c r="X273" i="7"/>
  <c r="X274" i="7"/>
  <c r="X275" i="7"/>
  <c r="X276" i="7"/>
  <c r="X277" i="7"/>
  <c r="X278" i="7"/>
  <c r="X279" i="7"/>
  <c r="X257" i="7"/>
  <c r="X258" i="7"/>
  <c r="X259" i="7"/>
  <c r="X260" i="7"/>
  <c r="X261" i="7"/>
  <c r="X262" i="7"/>
  <c r="X263" i="7"/>
  <c r="X256" i="7"/>
  <c r="AQ382" i="7" l="1"/>
  <c r="AF403" i="7"/>
  <c r="AG403" i="7"/>
  <c r="AH403" i="7"/>
  <c r="AF401" i="7"/>
  <c r="AG401" i="7"/>
  <c r="AH401" i="7"/>
  <c r="AF392" i="7"/>
  <c r="AG392" i="7"/>
  <c r="AH392" i="7"/>
  <c r="AF380" i="7"/>
  <c r="AF382" i="7" s="1"/>
  <c r="AG380" i="7"/>
  <c r="AG382" i="7" s="1"/>
  <c r="AH380" i="7"/>
  <c r="AH382" i="7" s="1"/>
  <c r="AF378" i="7"/>
  <c r="AG378" i="7"/>
  <c r="AH378" i="7"/>
  <c r="AF362" i="7"/>
  <c r="AG362" i="7"/>
  <c r="AH362" i="7"/>
  <c r="AF363" i="7"/>
  <c r="AG363" i="7"/>
  <c r="AH363" i="7"/>
  <c r="AF364" i="7"/>
  <c r="AG364" i="7"/>
  <c r="AH364" i="7"/>
  <c r="AF365" i="7"/>
  <c r="AG365" i="7"/>
  <c r="AH365" i="7"/>
  <c r="AF354" i="7"/>
  <c r="AF356" i="7" s="1"/>
  <c r="AG354" i="7"/>
  <c r="AG356" i="7" s="1"/>
  <c r="AH354" i="7"/>
  <c r="AH356" i="7" s="1"/>
  <c r="AF346" i="7"/>
  <c r="AF348" i="7" s="1"/>
  <c r="AG346" i="7"/>
  <c r="AG348" i="7" s="1"/>
  <c r="AH346" i="7"/>
  <c r="AH348" i="7" s="1"/>
  <c r="AF333" i="7"/>
  <c r="AG333" i="7"/>
  <c r="AH333" i="7"/>
  <c r="AF317" i="7"/>
  <c r="AG317" i="7"/>
  <c r="AH317" i="7"/>
  <c r="AF302" i="7"/>
  <c r="AG302" i="7"/>
  <c r="AH302" i="7"/>
  <c r="AF303" i="7"/>
  <c r="AG303" i="7"/>
  <c r="AH303" i="7"/>
  <c r="AF304" i="7"/>
  <c r="AG304" i="7"/>
  <c r="AH304" i="7"/>
  <c r="AF305" i="7"/>
  <c r="AG305" i="7"/>
  <c r="AH305" i="7"/>
  <c r="AF293" i="7"/>
  <c r="AF295" i="7" s="1"/>
  <c r="AG293" i="7"/>
  <c r="AG295" i="7" s="1"/>
  <c r="AH293" i="7"/>
  <c r="AH295" i="7" s="1"/>
  <c r="AF280" i="7"/>
  <c r="AG280" i="7"/>
  <c r="AH280" i="7"/>
  <c r="AF264" i="7"/>
  <c r="AG264" i="7"/>
  <c r="AH264" i="7"/>
  <c r="AF253" i="7"/>
  <c r="AG253" i="7"/>
  <c r="AH253" i="7"/>
  <c r="AF242" i="7"/>
  <c r="AG242" i="7"/>
  <c r="AH242" i="7"/>
  <c r="AF243" i="7"/>
  <c r="AG243" i="7"/>
  <c r="AH243" i="7"/>
  <c r="AF244" i="7"/>
  <c r="AG244" i="7"/>
  <c r="AH244" i="7"/>
  <c r="AF245" i="7"/>
  <c r="AG245" i="7"/>
  <c r="AH245" i="7"/>
  <c r="AF226" i="7"/>
  <c r="AG226" i="7"/>
  <c r="AH226" i="7"/>
  <c r="AF224" i="7"/>
  <c r="AG224" i="7"/>
  <c r="AH224" i="7"/>
  <c r="AF213" i="7"/>
  <c r="AF215" i="7" s="1"/>
  <c r="AG213" i="7"/>
  <c r="AG215" i="7" s="1"/>
  <c r="AH213" i="7"/>
  <c r="AH215" i="7" s="1"/>
  <c r="AF200" i="7"/>
  <c r="AG200" i="7"/>
  <c r="AH200" i="7"/>
  <c r="AF182" i="7"/>
  <c r="AG182" i="7"/>
  <c r="AH182" i="7"/>
  <c r="AF183" i="7"/>
  <c r="AG183" i="7"/>
  <c r="AH183" i="7"/>
  <c r="AF184" i="7"/>
  <c r="AG184" i="7"/>
  <c r="AH184" i="7"/>
  <c r="AF185" i="7"/>
  <c r="AG185" i="7"/>
  <c r="AH185" i="7"/>
  <c r="AF176" i="7"/>
  <c r="AG176" i="7"/>
  <c r="AH176" i="7"/>
  <c r="AF164" i="7"/>
  <c r="AG164" i="7"/>
  <c r="AH164" i="7"/>
  <c r="AF159" i="7"/>
  <c r="AG159" i="7"/>
  <c r="AH159" i="7"/>
  <c r="AF150" i="7"/>
  <c r="AG150" i="7"/>
  <c r="AH150" i="7"/>
  <c r="AH142" i="7"/>
  <c r="AH228" i="7" s="1"/>
  <c r="AH236" i="7" s="1"/>
  <c r="AF140" i="7"/>
  <c r="AF142" i="7" s="1"/>
  <c r="AF228" i="7" s="1"/>
  <c r="AF236" i="7" s="1"/>
  <c r="AG140" i="7"/>
  <c r="AH140" i="7"/>
  <c r="AF123" i="7"/>
  <c r="AG123" i="7"/>
  <c r="AH123" i="7"/>
  <c r="AF124" i="7"/>
  <c r="AG124" i="7"/>
  <c r="AH124" i="7"/>
  <c r="AF125" i="7"/>
  <c r="AG125" i="7"/>
  <c r="AH125" i="7"/>
  <c r="AF126" i="7"/>
  <c r="AG126" i="7"/>
  <c r="AH126" i="7"/>
  <c r="AF118" i="7"/>
  <c r="AH118" i="7"/>
  <c r="AF116" i="7"/>
  <c r="AG116" i="7"/>
  <c r="AH116" i="7"/>
  <c r="AF109" i="7"/>
  <c r="AG109" i="7"/>
  <c r="AH109" i="7"/>
  <c r="AF102" i="7"/>
  <c r="AG102" i="7"/>
  <c r="AH102" i="7"/>
  <c r="AF94" i="7"/>
  <c r="AG94" i="7"/>
  <c r="AH94" i="7"/>
  <c r="AF92" i="7"/>
  <c r="AG92" i="7"/>
  <c r="AH92" i="7"/>
  <c r="AF81" i="7"/>
  <c r="AG81" i="7"/>
  <c r="AH81" i="7"/>
  <c r="AF64" i="7"/>
  <c r="AG64" i="7"/>
  <c r="AH64" i="7"/>
  <c r="AF65" i="7"/>
  <c r="AG65" i="7"/>
  <c r="AH65" i="7"/>
  <c r="AF66" i="7"/>
  <c r="AG66" i="7"/>
  <c r="AH66" i="7"/>
  <c r="AF67" i="7"/>
  <c r="AG67" i="7"/>
  <c r="AH67" i="7"/>
  <c r="AF55" i="7"/>
  <c r="AG55" i="7"/>
  <c r="AH55" i="7"/>
  <c r="AF32" i="7"/>
  <c r="AG32" i="7"/>
  <c r="AH32" i="7"/>
  <c r="AF28" i="7"/>
  <c r="AG28" i="7"/>
  <c r="AH28" i="7"/>
  <c r="AN403" i="7"/>
  <c r="AO403" i="7"/>
  <c r="AP403" i="7"/>
  <c r="AQ403" i="7"/>
  <c r="AR403" i="7"/>
  <c r="AN401" i="7"/>
  <c r="AO401" i="7"/>
  <c r="AP401" i="7"/>
  <c r="AQ401" i="7"/>
  <c r="AR401" i="7"/>
  <c r="AN392" i="7"/>
  <c r="AO392" i="7"/>
  <c r="AP392" i="7"/>
  <c r="AQ392" i="7"/>
  <c r="AR392" i="7"/>
  <c r="AP380" i="7"/>
  <c r="AQ380" i="7"/>
  <c r="AR380" i="7"/>
  <c r="AR382" i="7"/>
  <c r="AN378" i="7"/>
  <c r="AO378" i="7"/>
  <c r="AP378" i="7"/>
  <c r="AQ378" i="7"/>
  <c r="AR378" i="7"/>
  <c r="AN362" i="7"/>
  <c r="AO362" i="7"/>
  <c r="AP362" i="7"/>
  <c r="AQ362" i="7"/>
  <c r="AR362" i="7"/>
  <c r="AN363" i="7"/>
  <c r="AO363" i="7"/>
  <c r="AP363" i="7"/>
  <c r="AQ363" i="7"/>
  <c r="AR363" i="7"/>
  <c r="AN364" i="7"/>
  <c r="AO364" i="7"/>
  <c r="AP364" i="7"/>
  <c r="AQ364" i="7"/>
  <c r="AR364" i="7"/>
  <c r="AN365" i="7"/>
  <c r="AO365" i="7"/>
  <c r="AP365" i="7"/>
  <c r="AQ365" i="7"/>
  <c r="AR365" i="7"/>
  <c r="AP356" i="7"/>
  <c r="AQ356" i="7"/>
  <c r="AR356" i="7"/>
  <c r="AN354" i="7"/>
  <c r="AO354" i="7"/>
  <c r="AP354" i="7"/>
  <c r="AQ354" i="7"/>
  <c r="AR354" i="7"/>
  <c r="AP348" i="7"/>
  <c r="AQ348" i="7"/>
  <c r="AR348" i="7"/>
  <c r="AN346" i="7"/>
  <c r="AO346" i="7"/>
  <c r="AP346" i="7"/>
  <c r="AQ346" i="7"/>
  <c r="AR346" i="7"/>
  <c r="AN333" i="7"/>
  <c r="AO333" i="7"/>
  <c r="AP333" i="7"/>
  <c r="AQ333" i="7"/>
  <c r="AR333" i="7"/>
  <c r="AN317" i="7"/>
  <c r="AO317" i="7"/>
  <c r="AP317" i="7"/>
  <c r="AQ317" i="7"/>
  <c r="AR317" i="7"/>
  <c r="AN302" i="7"/>
  <c r="AO302" i="7"/>
  <c r="AP302" i="7"/>
  <c r="AQ302" i="7"/>
  <c r="AR302" i="7"/>
  <c r="AN303" i="7"/>
  <c r="AO303" i="7"/>
  <c r="AP303" i="7"/>
  <c r="AQ303" i="7"/>
  <c r="AR303" i="7"/>
  <c r="AN304" i="7"/>
  <c r="AO304" i="7"/>
  <c r="AP304" i="7"/>
  <c r="AQ304" i="7"/>
  <c r="AR304" i="7"/>
  <c r="AN305" i="7"/>
  <c r="AO305" i="7"/>
  <c r="AP305" i="7"/>
  <c r="AQ305" i="7"/>
  <c r="AR305" i="7"/>
  <c r="AP295" i="7"/>
  <c r="AQ295" i="7"/>
  <c r="AR295" i="7"/>
  <c r="AN293" i="7"/>
  <c r="AO293" i="7"/>
  <c r="AP293" i="7"/>
  <c r="AQ293" i="7"/>
  <c r="AR293" i="7"/>
  <c r="AN280" i="7"/>
  <c r="AO280" i="7"/>
  <c r="AP280" i="7"/>
  <c r="AQ280" i="7"/>
  <c r="AR280" i="7"/>
  <c r="AN264" i="7"/>
  <c r="AO264" i="7"/>
  <c r="AP264" i="7"/>
  <c r="AQ264" i="7"/>
  <c r="AR264" i="7"/>
  <c r="AN253" i="7"/>
  <c r="AO253" i="7"/>
  <c r="AP253" i="7"/>
  <c r="AQ253" i="7"/>
  <c r="AR253" i="7"/>
  <c r="AN242" i="7"/>
  <c r="AO242" i="7"/>
  <c r="AP242" i="7"/>
  <c r="AQ242" i="7"/>
  <c r="AR242" i="7"/>
  <c r="AN243" i="7"/>
  <c r="AO243" i="7"/>
  <c r="AP243" i="7"/>
  <c r="AQ243" i="7"/>
  <c r="AR243" i="7"/>
  <c r="AN244" i="7"/>
  <c r="AO244" i="7"/>
  <c r="AP244" i="7"/>
  <c r="AQ244" i="7"/>
  <c r="AR244" i="7"/>
  <c r="AN245" i="7"/>
  <c r="AO245" i="7"/>
  <c r="AP245" i="7"/>
  <c r="AQ245" i="7"/>
  <c r="AR245" i="7"/>
  <c r="AQ226" i="7"/>
  <c r="AR226" i="7"/>
  <c r="AN224" i="7"/>
  <c r="AO224" i="7"/>
  <c r="AP224" i="7"/>
  <c r="AP226" i="7" s="1"/>
  <c r="AP228" i="7" s="1"/>
  <c r="AP236" i="7" s="1"/>
  <c r="AP405" i="7" s="1"/>
  <c r="AP408" i="7" s="1"/>
  <c r="AQ224" i="7"/>
  <c r="AR224" i="7"/>
  <c r="AP215" i="7"/>
  <c r="AQ215" i="7"/>
  <c r="AR215" i="7"/>
  <c r="AN213" i="7"/>
  <c r="AO213" i="7"/>
  <c r="AP213" i="7"/>
  <c r="AQ213" i="7"/>
  <c r="AR213" i="7"/>
  <c r="AN200" i="7"/>
  <c r="AO200" i="7"/>
  <c r="AP200" i="7"/>
  <c r="AQ200" i="7"/>
  <c r="AR200" i="7"/>
  <c r="AN182" i="7"/>
  <c r="AO182" i="7"/>
  <c r="AP182" i="7"/>
  <c r="AQ182" i="7"/>
  <c r="AR182" i="7"/>
  <c r="AN183" i="7"/>
  <c r="AO183" i="7"/>
  <c r="AP183" i="7"/>
  <c r="AQ183" i="7"/>
  <c r="AR183" i="7"/>
  <c r="AN184" i="7"/>
  <c r="AO184" i="7"/>
  <c r="AP184" i="7"/>
  <c r="AQ184" i="7"/>
  <c r="AR184" i="7"/>
  <c r="AN185" i="7"/>
  <c r="AO185" i="7"/>
  <c r="AP185" i="7"/>
  <c r="AQ185" i="7"/>
  <c r="AR185" i="7"/>
  <c r="AN176" i="7"/>
  <c r="AO176" i="7"/>
  <c r="AP176" i="7"/>
  <c r="AQ176" i="7"/>
  <c r="AR176" i="7"/>
  <c r="AN164" i="7"/>
  <c r="AO164" i="7"/>
  <c r="AP164" i="7"/>
  <c r="AQ164" i="7"/>
  <c r="AR164" i="7"/>
  <c r="AN159" i="7"/>
  <c r="AO159" i="7"/>
  <c r="AP159" i="7"/>
  <c r="AQ159" i="7"/>
  <c r="AR159" i="7"/>
  <c r="AN150" i="7"/>
  <c r="AO150" i="7"/>
  <c r="AP150" i="7"/>
  <c r="AQ150" i="7"/>
  <c r="AR150" i="7"/>
  <c r="AN142" i="7"/>
  <c r="AO142" i="7"/>
  <c r="AP142" i="7"/>
  <c r="AN140" i="7"/>
  <c r="AO140" i="7"/>
  <c r="AP140" i="7"/>
  <c r="AQ140" i="7"/>
  <c r="AQ142" i="7" s="1"/>
  <c r="AQ228" i="7" s="1"/>
  <c r="AQ236" i="7" s="1"/>
  <c r="AQ405" i="7" s="1"/>
  <c r="AQ408" i="7" s="1"/>
  <c r="AR140" i="7"/>
  <c r="AR142" i="7" s="1"/>
  <c r="AR228" i="7" s="1"/>
  <c r="AR236" i="7" s="1"/>
  <c r="AR405" i="7" s="1"/>
  <c r="AR408" i="7" s="1"/>
  <c r="AN123" i="7"/>
  <c r="AO123" i="7"/>
  <c r="AP123" i="7"/>
  <c r="AQ123" i="7"/>
  <c r="AR123" i="7"/>
  <c r="AN124" i="7"/>
  <c r="AO124" i="7"/>
  <c r="AP124" i="7"/>
  <c r="AQ124" i="7"/>
  <c r="AR124" i="7"/>
  <c r="AN125" i="7"/>
  <c r="AO125" i="7"/>
  <c r="AP125" i="7"/>
  <c r="AQ125" i="7"/>
  <c r="AR125" i="7"/>
  <c r="AN126" i="7"/>
  <c r="AO126" i="7"/>
  <c r="AP126" i="7"/>
  <c r="AQ126" i="7"/>
  <c r="AR126" i="7"/>
  <c r="AN118" i="7"/>
  <c r="AO118" i="7"/>
  <c r="AP118" i="7"/>
  <c r="AQ118" i="7"/>
  <c r="AR118" i="7"/>
  <c r="AN116" i="7"/>
  <c r="AO116" i="7"/>
  <c r="AP116" i="7"/>
  <c r="AQ116" i="7"/>
  <c r="AR116" i="7"/>
  <c r="AN109" i="7"/>
  <c r="AO109" i="7"/>
  <c r="AP109" i="7"/>
  <c r="AQ109" i="7"/>
  <c r="AR109" i="7"/>
  <c r="AN102" i="7"/>
  <c r="AO102" i="7"/>
  <c r="AP102" i="7"/>
  <c r="AQ102" i="7"/>
  <c r="AR102" i="7"/>
  <c r="AN94" i="7"/>
  <c r="AO94" i="7"/>
  <c r="AP94" i="7"/>
  <c r="AQ94" i="7"/>
  <c r="AR94" i="7"/>
  <c r="AN92" i="7"/>
  <c r="AO92" i="7"/>
  <c r="AP92" i="7"/>
  <c r="AQ92" i="7"/>
  <c r="AR92" i="7"/>
  <c r="AN81" i="7"/>
  <c r="AO81" i="7"/>
  <c r="AP81" i="7"/>
  <c r="AQ81" i="7"/>
  <c r="AR81" i="7"/>
  <c r="AN64" i="7"/>
  <c r="AO64" i="7"/>
  <c r="AP64" i="7"/>
  <c r="AQ64" i="7"/>
  <c r="AR64" i="7"/>
  <c r="AN65" i="7"/>
  <c r="AO65" i="7"/>
  <c r="AP65" i="7"/>
  <c r="AQ65" i="7"/>
  <c r="AR65" i="7"/>
  <c r="AN66" i="7"/>
  <c r="AO66" i="7"/>
  <c r="AP66" i="7"/>
  <c r="AQ66" i="7"/>
  <c r="AR66" i="7"/>
  <c r="AN67" i="7"/>
  <c r="AO67" i="7"/>
  <c r="AP67" i="7"/>
  <c r="AQ67" i="7"/>
  <c r="AR67" i="7"/>
  <c r="AN55" i="7"/>
  <c r="AO55" i="7"/>
  <c r="AP55" i="7"/>
  <c r="AQ55" i="7"/>
  <c r="AR55" i="7"/>
  <c r="AN32" i="7"/>
  <c r="AO32" i="7"/>
  <c r="AP32" i="7"/>
  <c r="AQ32" i="7"/>
  <c r="AR32" i="7"/>
  <c r="AN28" i="7"/>
  <c r="AO28" i="7"/>
  <c r="AP28" i="7"/>
  <c r="AQ28" i="7"/>
  <c r="AR28" i="7"/>
  <c r="AM28" i="7"/>
  <c r="F218" i="7"/>
  <c r="AO348" i="7" l="1"/>
  <c r="AN348" i="7"/>
  <c r="AO295" i="7"/>
  <c r="AN295" i="7"/>
  <c r="AO215" i="7"/>
  <c r="AO226" i="7" s="1"/>
  <c r="AO228" i="7" s="1"/>
  <c r="AO236" i="7" s="1"/>
  <c r="AO405" i="7" s="1"/>
  <c r="AO408" i="7" s="1"/>
  <c r="AN215" i="7"/>
  <c r="AN226" i="7" s="1"/>
  <c r="AN228" i="7" s="1"/>
  <c r="AN236" i="7" s="1"/>
  <c r="AN405" i="7" s="1"/>
  <c r="AN408" i="7" s="1"/>
  <c r="AH405" i="7"/>
  <c r="AH408" i="7" s="1"/>
  <c r="AG118" i="7"/>
  <c r="AG142" i="7" s="1"/>
  <c r="AG228" i="7" s="1"/>
  <c r="AG236" i="7" s="1"/>
  <c r="AG405" i="7" s="1"/>
  <c r="AG408" i="7" s="1"/>
  <c r="AF405" i="7"/>
  <c r="AF408" i="7" s="1"/>
  <c r="AP382" i="7"/>
  <c r="AN356" i="7" l="1"/>
  <c r="AN380" i="7" s="1"/>
  <c r="AN382" i="7" s="1"/>
  <c r="AO356" i="7"/>
  <c r="AO380" i="7" s="1"/>
  <c r="AO382" i="7" s="1"/>
  <c r="F251" i="7"/>
  <c r="F351" i="7" l="1"/>
  <c r="G333" i="7" l="1"/>
  <c r="BR342" i="1" l="1"/>
  <c r="D16" i="22" l="1"/>
  <c r="D37" i="22" s="1"/>
  <c r="E16" i="22"/>
  <c r="D81" i="21"/>
  <c r="H30" i="22" l="1"/>
  <c r="G30" i="22"/>
  <c r="F30" i="22"/>
  <c r="E30" i="22"/>
  <c r="D30" i="22"/>
  <c r="H10" i="22"/>
  <c r="G10" i="22"/>
  <c r="F10" i="22"/>
  <c r="E10" i="22"/>
  <c r="D10" i="22"/>
  <c r="H7" i="22"/>
  <c r="G7" i="22"/>
  <c r="F7" i="22"/>
  <c r="E7" i="22"/>
  <c r="D7" i="22"/>
  <c r="T2" i="39"/>
  <c r="R2" i="39"/>
  <c r="B2" i="39" l="1"/>
  <c r="C43" i="13" l="1"/>
  <c r="C44" i="13"/>
  <c r="C45" i="13"/>
  <c r="C46" i="13"/>
  <c r="C42" i="13"/>
  <c r="C38" i="13"/>
  <c r="M10" i="13" l="1"/>
  <c r="C45" i="14"/>
  <c r="C46" i="14"/>
  <c r="C44" i="14"/>
  <c r="C38" i="14"/>
  <c r="D6" i="3"/>
  <c r="E24" i="3" s="1"/>
  <c r="E57" i="21" l="1"/>
  <c r="F57" i="21"/>
  <c r="G57" i="21"/>
  <c r="H57" i="21"/>
  <c r="D57" i="21"/>
  <c r="E56" i="21"/>
  <c r="F56" i="21"/>
  <c r="G56" i="21"/>
  <c r="H56" i="21"/>
  <c r="D56" i="21"/>
  <c r="D77" i="21" s="1"/>
  <c r="K33" i="21"/>
  <c r="H30" i="21"/>
  <c r="G30" i="21"/>
  <c r="F30" i="21"/>
  <c r="E30" i="21"/>
  <c r="D30" i="21"/>
  <c r="H29" i="21"/>
  <c r="G29" i="21"/>
  <c r="F29" i="21"/>
  <c r="E29" i="21"/>
  <c r="D29" i="21"/>
  <c r="H28" i="21"/>
  <c r="G28" i="21"/>
  <c r="F28" i="21"/>
  <c r="E28" i="21"/>
  <c r="D28" i="21"/>
  <c r="H27" i="21"/>
  <c r="H4" i="21" s="1"/>
  <c r="G27" i="21"/>
  <c r="F27" i="21"/>
  <c r="E27" i="21"/>
  <c r="D27" i="21"/>
  <c r="E38" i="20"/>
  <c r="E86" i="20"/>
  <c r="E132" i="20"/>
  <c r="E180" i="20"/>
  <c r="E229" i="20"/>
  <c r="E230" i="20"/>
  <c r="E231" i="20"/>
  <c r="E232" i="20"/>
  <c r="E228" i="20"/>
  <c r="B205" i="20"/>
  <c r="B157" i="20"/>
  <c r="B109" i="20"/>
  <c r="B62" i="20"/>
  <c r="D232" i="20"/>
  <c r="D231" i="20"/>
  <c r="D230" i="20"/>
  <c r="D229" i="20"/>
  <c r="D228" i="20"/>
  <c r="D184" i="20"/>
  <c r="E184" i="20" s="1"/>
  <c r="D183" i="20"/>
  <c r="E183" i="20" s="1"/>
  <c r="D182" i="20"/>
  <c r="E182" i="20" s="1"/>
  <c r="D181" i="20"/>
  <c r="E181" i="20" s="1"/>
  <c r="D180" i="20"/>
  <c r="D136" i="20"/>
  <c r="E136" i="20" s="1"/>
  <c r="D135" i="20"/>
  <c r="E135" i="20" s="1"/>
  <c r="D134" i="20"/>
  <c r="E134" i="20" s="1"/>
  <c r="D133" i="20"/>
  <c r="E133" i="20" s="1"/>
  <c r="D132" i="20"/>
  <c r="D90" i="20"/>
  <c r="E90" i="20" s="1"/>
  <c r="D89" i="20"/>
  <c r="E89" i="20" s="1"/>
  <c r="D88" i="20"/>
  <c r="E88" i="20" s="1"/>
  <c r="D87" i="20"/>
  <c r="E87" i="20" s="1"/>
  <c r="D86" i="20"/>
  <c r="B211" i="20"/>
  <c r="B241" i="20" s="1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C210" i="20"/>
  <c r="B210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C162" i="20"/>
  <c r="B162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C114" i="20"/>
  <c r="B114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C68" i="20"/>
  <c r="B68" i="20"/>
  <c r="D242" i="20"/>
  <c r="E206" i="20"/>
  <c r="E207" i="20" s="1"/>
  <c r="H39" i="21"/>
  <c r="E15" i="20"/>
  <c r="E16" i="20" s="1"/>
  <c r="D52" i="20"/>
  <c r="D38" i="20"/>
  <c r="D42" i="20"/>
  <c r="E42" i="20" s="1"/>
  <c r="D41" i="20"/>
  <c r="E41" i="20" s="1"/>
  <c r="G39" i="21" s="1"/>
  <c r="D40" i="20"/>
  <c r="E40" i="20" s="1"/>
  <c r="F39" i="21" s="1"/>
  <c r="D39" i="20"/>
  <c r="E39" i="20" s="1"/>
  <c r="E39" i="21" s="1"/>
  <c r="K28" i="21" l="1"/>
  <c r="D75" i="21"/>
  <c r="D4" i="21"/>
  <c r="E75" i="21"/>
  <c r="E4" i="21"/>
  <c r="F4" i="21"/>
  <c r="G4" i="21"/>
  <c r="K30" i="21"/>
  <c r="K29" i="21"/>
  <c r="I29" i="21"/>
  <c r="I30" i="21"/>
  <c r="D241" i="20"/>
  <c r="C241" i="20"/>
  <c r="E241" i="20"/>
  <c r="D51" i="20"/>
  <c r="D39" i="21"/>
  <c r="D76" i="21" s="1"/>
  <c r="E51" i="20"/>
  <c r="U9" i="37" l="1"/>
  <c r="U8" i="37"/>
  <c r="V7" i="37"/>
  <c r="R34" i="37"/>
  <c r="S34" i="37"/>
  <c r="V34" i="37" s="1"/>
  <c r="T34" i="37"/>
  <c r="U34" i="37"/>
  <c r="R35" i="37"/>
  <c r="S35" i="37"/>
  <c r="T35" i="37"/>
  <c r="U35" i="37"/>
  <c r="V35" i="37"/>
  <c r="R36" i="37"/>
  <c r="S36" i="37"/>
  <c r="T36" i="37"/>
  <c r="U36" i="37"/>
  <c r="R6" i="37"/>
  <c r="R9" i="37" s="1"/>
  <c r="R27" i="37"/>
  <c r="S27" i="37"/>
  <c r="V27" i="37" s="1"/>
  <c r="T27" i="37"/>
  <c r="U27" i="37"/>
  <c r="R28" i="37"/>
  <c r="S28" i="37"/>
  <c r="V28" i="37" s="1"/>
  <c r="T28" i="37"/>
  <c r="U28" i="37"/>
  <c r="R29" i="37"/>
  <c r="S29" i="37"/>
  <c r="T29" i="37"/>
  <c r="U29" i="37"/>
  <c r="V29" i="37" s="1"/>
  <c r="R20" i="37"/>
  <c r="S20" i="37"/>
  <c r="V20" i="37" s="1"/>
  <c r="T20" i="37"/>
  <c r="U20" i="37"/>
  <c r="R21" i="37"/>
  <c r="S21" i="37"/>
  <c r="T21" i="37"/>
  <c r="U21" i="37"/>
  <c r="V21" i="37"/>
  <c r="R22" i="37"/>
  <c r="S22" i="37"/>
  <c r="T22" i="37"/>
  <c r="U22" i="37"/>
  <c r="R13" i="37"/>
  <c r="S13" i="37"/>
  <c r="V13" i="37" s="1"/>
  <c r="T13" i="37"/>
  <c r="U13" i="37"/>
  <c r="R14" i="37"/>
  <c r="S14" i="37"/>
  <c r="T14" i="37"/>
  <c r="U14" i="37"/>
  <c r="V14" i="37" s="1"/>
  <c r="R15" i="37"/>
  <c r="S15" i="37"/>
  <c r="T15" i="37"/>
  <c r="U15" i="37"/>
  <c r="U12" i="37"/>
  <c r="V12" i="37" s="1"/>
  <c r="S12" i="37"/>
  <c r="U33" i="37"/>
  <c r="T33" i="37"/>
  <c r="S33" i="37"/>
  <c r="V33" i="37" s="1"/>
  <c r="R33" i="37"/>
  <c r="U26" i="37"/>
  <c r="T26" i="37"/>
  <c r="S26" i="37"/>
  <c r="V26" i="37" s="1"/>
  <c r="R26" i="37"/>
  <c r="U19" i="37"/>
  <c r="T19" i="37"/>
  <c r="S19" i="37"/>
  <c r="V19" i="37" s="1"/>
  <c r="R19" i="37"/>
  <c r="T12" i="37"/>
  <c r="R12" i="37"/>
  <c r="V5" i="37"/>
  <c r="U6" i="37"/>
  <c r="U7" i="37"/>
  <c r="U5" i="37"/>
  <c r="T6" i="37"/>
  <c r="T7" i="37"/>
  <c r="T8" i="37"/>
  <c r="T5" i="37"/>
  <c r="S6" i="37"/>
  <c r="S7" i="37"/>
  <c r="S8" i="37"/>
  <c r="S5" i="37"/>
  <c r="R7" i="37"/>
  <c r="R8" i="37"/>
  <c r="R5" i="37"/>
  <c r="D37" i="37"/>
  <c r="D36" i="12" l="1"/>
  <c r="E15" i="17" l="1"/>
  <c r="B23" i="41"/>
  <c r="B22" i="41"/>
  <c r="B20" i="41"/>
  <c r="L35" i="42" l="1"/>
  <c r="K35" i="42"/>
  <c r="H35" i="42"/>
  <c r="I29" i="42"/>
  <c r="I24" i="42"/>
  <c r="E158" i="20"/>
  <c r="E159" i="20" s="1"/>
  <c r="I35" i="42" l="1"/>
  <c r="B68" i="13"/>
  <c r="B67" i="13"/>
  <c r="B66" i="13"/>
  <c r="I30" i="42"/>
  <c r="E33" i="42"/>
  <c r="C53" i="13" l="1"/>
  <c r="C54" i="13"/>
  <c r="C55" i="13"/>
  <c r="C56" i="13"/>
  <c r="C52" i="13"/>
  <c r="B53" i="13"/>
  <c r="B54" i="13"/>
  <c r="B55" i="13"/>
  <c r="B56" i="13"/>
  <c r="B52" i="13"/>
  <c r="E3" i="21" l="1"/>
  <c r="F3" i="21"/>
  <c r="G3" i="21"/>
  <c r="H3" i="21"/>
  <c r="D3" i="21"/>
  <c r="O366" i="39" l="1"/>
  <c r="T366" i="39" s="1"/>
  <c r="M366" i="39"/>
  <c r="S366" i="39" s="1"/>
  <c r="K366" i="39"/>
  <c r="R366" i="39" s="1"/>
  <c r="O365" i="39"/>
  <c r="T365" i="39" s="1"/>
  <c r="M365" i="39"/>
  <c r="S365" i="39" s="1"/>
  <c r="K365" i="39"/>
  <c r="R365" i="39" s="1"/>
  <c r="O364" i="39"/>
  <c r="T364" i="39" s="1"/>
  <c r="M364" i="39"/>
  <c r="S364" i="39" s="1"/>
  <c r="K364" i="39"/>
  <c r="R364" i="39" s="1"/>
  <c r="O363" i="39"/>
  <c r="T363" i="39" s="1"/>
  <c r="M363" i="39"/>
  <c r="S363" i="39" s="1"/>
  <c r="K363" i="39"/>
  <c r="R363" i="39" s="1"/>
  <c r="O362" i="39"/>
  <c r="T362" i="39" s="1"/>
  <c r="M362" i="39"/>
  <c r="S362" i="39" s="1"/>
  <c r="K362" i="39"/>
  <c r="R362" i="39" s="1"/>
  <c r="O361" i="39"/>
  <c r="T361" i="39" s="1"/>
  <c r="M361" i="39"/>
  <c r="S361" i="39" s="1"/>
  <c r="K361" i="39"/>
  <c r="R361" i="39" s="1"/>
  <c r="O360" i="39"/>
  <c r="T360" i="39" s="1"/>
  <c r="M360" i="39"/>
  <c r="S360" i="39" s="1"/>
  <c r="K360" i="39"/>
  <c r="R360" i="39" s="1"/>
  <c r="T359" i="39"/>
  <c r="S359" i="39"/>
  <c r="O359" i="39"/>
  <c r="M359" i="39"/>
  <c r="K359" i="39"/>
  <c r="R359" i="39" s="1"/>
  <c r="T358" i="39"/>
  <c r="S358" i="39"/>
  <c r="O358" i="39"/>
  <c r="M358" i="39"/>
  <c r="K358" i="39"/>
  <c r="R358" i="39" s="1"/>
  <c r="T357" i="39"/>
  <c r="O357" i="39"/>
  <c r="M357" i="39"/>
  <c r="S357" i="39" s="1"/>
  <c r="K357" i="39"/>
  <c r="R357" i="39" s="1"/>
  <c r="O356" i="39"/>
  <c r="T356" i="39" s="1"/>
  <c r="M356" i="39"/>
  <c r="S356" i="39" s="1"/>
  <c r="K356" i="39"/>
  <c r="R356" i="39" s="1"/>
  <c r="O355" i="39"/>
  <c r="T355" i="39" s="1"/>
  <c r="M355" i="39"/>
  <c r="S355" i="39" s="1"/>
  <c r="K355" i="39"/>
  <c r="R355" i="39" s="1"/>
  <c r="O354" i="39"/>
  <c r="T354" i="39" s="1"/>
  <c r="M354" i="39"/>
  <c r="S354" i="39" s="1"/>
  <c r="K354" i="39"/>
  <c r="R354" i="39" s="1"/>
  <c r="O353" i="39"/>
  <c r="T353" i="39" s="1"/>
  <c r="M353" i="39"/>
  <c r="S353" i="39" s="1"/>
  <c r="K353" i="39"/>
  <c r="R353" i="39" s="1"/>
  <c r="S352" i="39"/>
  <c r="R352" i="39"/>
  <c r="O352" i="39"/>
  <c r="T352" i="39" s="1"/>
  <c r="M352" i="39"/>
  <c r="K352" i="39"/>
  <c r="S351" i="39"/>
  <c r="R351" i="39"/>
  <c r="O351" i="39"/>
  <c r="T351" i="39" s="1"/>
  <c r="M351" i="39"/>
  <c r="K351" i="39"/>
  <c r="T350" i="39"/>
  <c r="S350" i="39"/>
  <c r="O350" i="39"/>
  <c r="M350" i="39"/>
  <c r="K350" i="39"/>
  <c r="R350" i="39" s="1"/>
  <c r="T349" i="39"/>
  <c r="O349" i="39"/>
  <c r="M349" i="39"/>
  <c r="S349" i="39" s="1"/>
  <c r="K349" i="39"/>
  <c r="R349" i="39" s="1"/>
  <c r="O348" i="39"/>
  <c r="T348" i="39" s="1"/>
  <c r="M348" i="39"/>
  <c r="S348" i="39" s="1"/>
  <c r="K348" i="39"/>
  <c r="R348" i="39" s="1"/>
  <c r="O347" i="39"/>
  <c r="T347" i="39" s="1"/>
  <c r="M347" i="39"/>
  <c r="S347" i="39" s="1"/>
  <c r="K347" i="39"/>
  <c r="R347" i="39" s="1"/>
  <c r="O346" i="39"/>
  <c r="T346" i="39" s="1"/>
  <c r="M346" i="39"/>
  <c r="S346" i="39" s="1"/>
  <c r="K346" i="39"/>
  <c r="R346" i="39" s="1"/>
  <c r="O345" i="39"/>
  <c r="T345" i="39" s="1"/>
  <c r="M345" i="39"/>
  <c r="S345" i="39" s="1"/>
  <c r="K345" i="39"/>
  <c r="R345" i="39" s="1"/>
  <c r="S344" i="39"/>
  <c r="O344" i="39"/>
  <c r="T344" i="39" s="1"/>
  <c r="M344" i="39"/>
  <c r="K344" i="39"/>
  <c r="R344" i="39" s="1"/>
  <c r="T343" i="39"/>
  <c r="O343" i="39"/>
  <c r="M343" i="39"/>
  <c r="S343" i="39" s="1"/>
  <c r="K343" i="39"/>
  <c r="R343" i="39" s="1"/>
  <c r="T342" i="39"/>
  <c r="O342" i="39"/>
  <c r="M342" i="39"/>
  <c r="S342" i="39" s="1"/>
  <c r="K342" i="39"/>
  <c r="R342" i="39" s="1"/>
  <c r="T341" i="39"/>
  <c r="O341" i="39"/>
  <c r="M341" i="39"/>
  <c r="S341" i="39" s="1"/>
  <c r="K341" i="39"/>
  <c r="R341" i="39" s="1"/>
  <c r="O340" i="39"/>
  <c r="T340" i="39" s="1"/>
  <c r="M340" i="39"/>
  <c r="S340" i="39" s="1"/>
  <c r="K340" i="39"/>
  <c r="R340" i="39" s="1"/>
  <c r="O339" i="39"/>
  <c r="T339" i="39" s="1"/>
  <c r="M339" i="39"/>
  <c r="S339" i="39" s="1"/>
  <c r="K339" i="39"/>
  <c r="R339" i="39" s="1"/>
  <c r="O338" i="39"/>
  <c r="T338" i="39" s="1"/>
  <c r="M338" i="39"/>
  <c r="S338" i="39" s="1"/>
  <c r="K338" i="39"/>
  <c r="R338" i="39" s="1"/>
  <c r="O337" i="39"/>
  <c r="T337" i="39" s="1"/>
  <c r="M337" i="39"/>
  <c r="S337" i="39" s="1"/>
  <c r="K337" i="39"/>
  <c r="R337" i="39" s="1"/>
  <c r="S336" i="39"/>
  <c r="R336" i="39"/>
  <c r="O336" i="39"/>
  <c r="T336" i="39" s="1"/>
  <c r="M336" i="39"/>
  <c r="K336" i="39"/>
  <c r="S335" i="39"/>
  <c r="R335" i="39"/>
  <c r="O335" i="39"/>
  <c r="T335" i="39" s="1"/>
  <c r="M335" i="39"/>
  <c r="K335" i="39"/>
  <c r="O334" i="39"/>
  <c r="T334" i="39" s="1"/>
  <c r="M334" i="39"/>
  <c r="S334" i="39" s="1"/>
  <c r="K334" i="39"/>
  <c r="R334" i="39" s="1"/>
  <c r="O333" i="39"/>
  <c r="T333" i="39" s="1"/>
  <c r="M333" i="39"/>
  <c r="S333" i="39" s="1"/>
  <c r="K333" i="39"/>
  <c r="R333" i="39" s="1"/>
  <c r="O332" i="39"/>
  <c r="T332" i="39" s="1"/>
  <c r="M332" i="39"/>
  <c r="S332" i="39" s="1"/>
  <c r="K332" i="39"/>
  <c r="R332" i="39" s="1"/>
  <c r="O331" i="39"/>
  <c r="T331" i="39" s="1"/>
  <c r="M331" i="39"/>
  <c r="S331" i="39" s="1"/>
  <c r="K331" i="39"/>
  <c r="R331" i="39" s="1"/>
  <c r="O330" i="39"/>
  <c r="T330" i="39" s="1"/>
  <c r="M330" i="39"/>
  <c r="S330" i="39" s="1"/>
  <c r="K330" i="39"/>
  <c r="R330" i="39" s="1"/>
  <c r="O329" i="39"/>
  <c r="T329" i="39" s="1"/>
  <c r="M329" i="39"/>
  <c r="S329" i="39" s="1"/>
  <c r="K329" i="39"/>
  <c r="R329" i="39" s="1"/>
  <c r="O328" i="39"/>
  <c r="T328" i="39" s="1"/>
  <c r="M328" i="39"/>
  <c r="S328" i="39" s="1"/>
  <c r="K328" i="39"/>
  <c r="R328" i="39" s="1"/>
  <c r="T327" i="39"/>
  <c r="O327" i="39"/>
  <c r="M327" i="39"/>
  <c r="S327" i="39" s="1"/>
  <c r="K327" i="39"/>
  <c r="R327" i="39" s="1"/>
  <c r="S326" i="39"/>
  <c r="O326" i="39"/>
  <c r="T326" i="39" s="1"/>
  <c r="M326" i="39"/>
  <c r="K326" i="39"/>
  <c r="R326" i="39" s="1"/>
  <c r="O325" i="39"/>
  <c r="T325" i="39" s="1"/>
  <c r="M325" i="39"/>
  <c r="S325" i="39" s="1"/>
  <c r="K325" i="39"/>
  <c r="R325" i="39" s="1"/>
  <c r="O324" i="39"/>
  <c r="T324" i="39" s="1"/>
  <c r="M324" i="39"/>
  <c r="S324" i="39" s="1"/>
  <c r="K324" i="39"/>
  <c r="R324" i="39" s="1"/>
  <c r="O323" i="39"/>
  <c r="T323" i="39" s="1"/>
  <c r="M323" i="39"/>
  <c r="S323" i="39" s="1"/>
  <c r="K323" i="39"/>
  <c r="R323" i="39" s="1"/>
  <c r="O322" i="39"/>
  <c r="T322" i="39" s="1"/>
  <c r="M322" i="39"/>
  <c r="S322" i="39" s="1"/>
  <c r="K322" i="39"/>
  <c r="R322" i="39" s="1"/>
  <c r="O321" i="39"/>
  <c r="T321" i="39" s="1"/>
  <c r="M321" i="39"/>
  <c r="S321" i="39" s="1"/>
  <c r="K321" i="39"/>
  <c r="R321" i="39" s="1"/>
  <c r="S320" i="39"/>
  <c r="O320" i="39"/>
  <c r="T320" i="39" s="1"/>
  <c r="M320" i="39"/>
  <c r="K320" i="39"/>
  <c r="R320" i="39" s="1"/>
  <c r="O319" i="39"/>
  <c r="T319" i="39" s="1"/>
  <c r="M319" i="39"/>
  <c r="S319" i="39" s="1"/>
  <c r="K319" i="39"/>
  <c r="R319" i="39" s="1"/>
  <c r="O318" i="39"/>
  <c r="T318" i="39" s="1"/>
  <c r="M318" i="39"/>
  <c r="S318" i="39" s="1"/>
  <c r="K318" i="39"/>
  <c r="R318" i="39" s="1"/>
  <c r="O317" i="39"/>
  <c r="T317" i="39" s="1"/>
  <c r="M317" i="39"/>
  <c r="S317" i="39" s="1"/>
  <c r="K317" i="39"/>
  <c r="R317" i="39" s="1"/>
  <c r="O316" i="39"/>
  <c r="T316" i="39" s="1"/>
  <c r="M316" i="39"/>
  <c r="S316" i="39" s="1"/>
  <c r="K316" i="39"/>
  <c r="R316" i="39" s="1"/>
  <c r="O315" i="39"/>
  <c r="T315" i="39" s="1"/>
  <c r="M315" i="39"/>
  <c r="S315" i="39" s="1"/>
  <c r="K315" i="39"/>
  <c r="R315" i="39" s="1"/>
  <c r="O314" i="39"/>
  <c r="T314" i="39" s="1"/>
  <c r="M314" i="39"/>
  <c r="S314" i="39" s="1"/>
  <c r="K314" i="39"/>
  <c r="R314" i="39" s="1"/>
  <c r="R313" i="39"/>
  <c r="O313" i="39"/>
  <c r="T313" i="39" s="1"/>
  <c r="M313" i="39"/>
  <c r="S313" i="39" s="1"/>
  <c r="K313" i="39"/>
  <c r="O312" i="39"/>
  <c r="T312" i="39" s="1"/>
  <c r="M312" i="39"/>
  <c r="S312" i="39" s="1"/>
  <c r="K312" i="39"/>
  <c r="R312" i="39" s="1"/>
  <c r="S311" i="39"/>
  <c r="O311" i="39"/>
  <c r="T311" i="39" s="1"/>
  <c r="M311" i="39"/>
  <c r="K311" i="39"/>
  <c r="R311" i="39" s="1"/>
  <c r="T310" i="39"/>
  <c r="O310" i="39"/>
  <c r="M310" i="39"/>
  <c r="S310" i="39" s="1"/>
  <c r="K310" i="39"/>
  <c r="R310" i="39" s="1"/>
  <c r="T309" i="39"/>
  <c r="O309" i="39"/>
  <c r="M309" i="39"/>
  <c r="S309" i="39" s="1"/>
  <c r="K309" i="39"/>
  <c r="R309" i="39" s="1"/>
  <c r="T308" i="39"/>
  <c r="O308" i="39"/>
  <c r="M308" i="39"/>
  <c r="S308" i="39" s="1"/>
  <c r="K308" i="39"/>
  <c r="R308" i="39" s="1"/>
  <c r="O307" i="39"/>
  <c r="T307" i="39" s="1"/>
  <c r="M307" i="39"/>
  <c r="S307" i="39" s="1"/>
  <c r="K307" i="39"/>
  <c r="R307" i="39" s="1"/>
  <c r="O306" i="39"/>
  <c r="T306" i="39" s="1"/>
  <c r="M306" i="39"/>
  <c r="S306" i="39" s="1"/>
  <c r="K306" i="39"/>
  <c r="R306" i="39" s="1"/>
  <c r="O305" i="39"/>
  <c r="T305" i="39" s="1"/>
  <c r="M305" i="39"/>
  <c r="S305" i="39" s="1"/>
  <c r="K305" i="39"/>
  <c r="R305" i="39" s="1"/>
  <c r="S304" i="39"/>
  <c r="O304" i="39"/>
  <c r="T304" i="39" s="1"/>
  <c r="M304" i="39"/>
  <c r="K304" i="39"/>
  <c r="R304" i="39" s="1"/>
  <c r="T303" i="39"/>
  <c r="S303" i="39"/>
  <c r="O303" i="39"/>
  <c r="M303" i="39"/>
  <c r="K303" i="39"/>
  <c r="R303" i="39" s="1"/>
  <c r="S302" i="39"/>
  <c r="O302" i="39"/>
  <c r="T302" i="39" s="1"/>
  <c r="M302" i="39"/>
  <c r="K302" i="39"/>
  <c r="R302" i="39" s="1"/>
  <c r="O301" i="39"/>
  <c r="T301" i="39" s="1"/>
  <c r="M301" i="39"/>
  <c r="S301" i="39" s="1"/>
  <c r="K301" i="39"/>
  <c r="R301" i="39" s="1"/>
  <c r="O300" i="39"/>
  <c r="T300" i="39" s="1"/>
  <c r="M300" i="39"/>
  <c r="S300" i="39" s="1"/>
  <c r="K300" i="39"/>
  <c r="R300" i="39" s="1"/>
  <c r="O299" i="39"/>
  <c r="T299" i="39" s="1"/>
  <c r="M299" i="39"/>
  <c r="S299" i="39" s="1"/>
  <c r="K299" i="39"/>
  <c r="R299" i="39" s="1"/>
  <c r="O298" i="39"/>
  <c r="T298" i="39" s="1"/>
  <c r="M298" i="39"/>
  <c r="S298" i="39" s="1"/>
  <c r="K298" i="39"/>
  <c r="R298" i="39" s="1"/>
  <c r="R297" i="39"/>
  <c r="O297" i="39"/>
  <c r="T297" i="39" s="1"/>
  <c r="M297" i="39"/>
  <c r="S297" i="39" s="1"/>
  <c r="K297" i="39"/>
  <c r="S296" i="39"/>
  <c r="O296" i="39"/>
  <c r="T296" i="39" s="1"/>
  <c r="M296" i="39"/>
  <c r="K296" i="39"/>
  <c r="R296" i="39" s="1"/>
  <c r="O295" i="39"/>
  <c r="T295" i="39" s="1"/>
  <c r="M295" i="39"/>
  <c r="S295" i="39" s="1"/>
  <c r="K295" i="39"/>
  <c r="R295" i="39" s="1"/>
  <c r="O294" i="39"/>
  <c r="T294" i="39" s="1"/>
  <c r="M294" i="39"/>
  <c r="S294" i="39" s="1"/>
  <c r="K294" i="39"/>
  <c r="R294" i="39" s="1"/>
  <c r="S293" i="39"/>
  <c r="O293" i="39"/>
  <c r="T293" i="39" s="1"/>
  <c r="M293" i="39"/>
  <c r="K293" i="39"/>
  <c r="R293" i="39" s="1"/>
  <c r="T292" i="39"/>
  <c r="O292" i="39"/>
  <c r="M292" i="39"/>
  <c r="S292" i="39" s="1"/>
  <c r="K292" i="39"/>
  <c r="R292" i="39" s="1"/>
  <c r="O291" i="39"/>
  <c r="T291" i="39" s="1"/>
  <c r="M291" i="39"/>
  <c r="S291" i="39" s="1"/>
  <c r="K291" i="39"/>
  <c r="R291" i="39" s="1"/>
  <c r="O290" i="39"/>
  <c r="T290" i="39" s="1"/>
  <c r="M290" i="39"/>
  <c r="S290" i="39" s="1"/>
  <c r="K290" i="39"/>
  <c r="R290" i="39" s="1"/>
  <c r="R289" i="39"/>
  <c r="O289" i="39"/>
  <c r="T289" i="39" s="1"/>
  <c r="M289" i="39"/>
  <c r="S289" i="39" s="1"/>
  <c r="K289" i="39"/>
  <c r="O288" i="39"/>
  <c r="T288" i="39" s="1"/>
  <c r="M288" i="39"/>
  <c r="S288" i="39" s="1"/>
  <c r="K288" i="39"/>
  <c r="R288" i="39" s="1"/>
  <c r="O287" i="39"/>
  <c r="T287" i="39" s="1"/>
  <c r="M287" i="39"/>
  <c r="S287" i="39" s="1"/>
  <c r="K287" i="39"/>
  <c r="R287" i="39" s="1"/>
  <c r="S286" i="39"/>
  <c r="O286" i="39"/>
  <c r="T286" i="39" s="1"/>
  <c r="M286" i="39"/>
  <c r="K286" i="39"/>
  <c r="R286" i="39" s="1"/>
  <c r="T285" i="39"/>
  <c r="S285" i="39"/>
  <c r="O285" i="39"/>
  <c r="M285" i="39"/>
  <c r="K285" i="39"/>
  <c r="R285" i="39" s="1"/>
  <c r="O284" i="39"/>
  <c r="T284" i="39" s="1"/>
  <c r="M284" i="39"/>
  <c r="S284" i="39" s="1"/>
  <c r="K284" i="39"/>
  <c r="R284" i="39" s="1"/>
  <c r="O283" i="39"/>
  <c r="T283" i="39" s="1"/>
  <c r="M283" i="39"/>
  <c r="S283" i="39" s="1"/>
  <c r="K283" i="39"/>
  <c r="R283" i="39" s="1"/>
  <c r="O282" i="39"/>
  <c r="T282" i="39" s="1"/>
  <c r="M282" i="39"/>
  <c r="S282" i="39" s="1"/>
  <c r="K282" i="39"/>
  <c r="R282" i="39" s="1"/>
  <c r="R281" i="39"/>
  <c r="O281" i="39"/>
  <c r="T281" i="39" s="1"/>
  <c r="M281" i="39"/>
  <c r="S281" i="39" s="1"/>
  <c r="K281" i="39"/>
  <c r="O280" i="39"/>
  <c r="T280" i="39" s="1"/>
  <c r="M280" i="39"/>
  <c r="S280" i="39" s="1"/>
  <c r="K280" i="39"/>
  <c r="R280" i="39" s="1"/>
  <c r="R279" i="39"/>
  <c r="O279" i="39"/>
  <c r="T279" i="39" s="1"/>
  <c r="M279" i="39"/>
  <c r="S279" i="39" s="1"/>
  <c r="K279" i="39"/>
  <c r="O278" i="39"/>
  <c r="T278" i="39" s="1"/>
  <c r="M278" i="39"/>
  <c r="S278" i="39" s="1"/>
  <c r="K278" i="39"/>
  <c r="R278" i="39" s="1"/>
  <c r="O277" i="39"/>
  <c r="T277" i="39" s="1"/>
  <c r="M277" i="39"/>
  <c r="S277" i="39" s="1"/>
  <c r="K277" i="39"/>
  <c r="R277" i="39" s="1"/>
  <c r="O276" i="39"/>
  <c r="T276" i="39" s="1"/>
  <c r="M276" i="39"/>
  <c r="S276" i="39" s="1"/>
  <c r="K276" i="39"/>
  <c r="R276" i="39" s="1"/>
  <c r="O275" i="39"/>
  <c r="T275" i="39" s="1"/>
  <c r="M275" i="39"/>
  <c r="S275" i="39" s="1"/>
  <c r="K275" i="39"/>
  <c r="R275" i="39" s="1"/>
  <c r="O274" i="39"/>
  <c r="T274" i="39" s="1"/>
  <c r="M274" i="39"/>
  <c r="S274" i="39" s="1"/>
  <c r="K274" i="39"/>
  <c r="R274" i="39" s="1"/>
  <c r="R273" i="39"/>
  <c r="O273" i="39"/>
  <c r="T273" i="39" s="1"/>
  <c r="M273" i="39"/>
  <c r="S273" i="39" s="1"/>
  <c r="K273" i="39"/>
  <c r="S272" i="39"/>
  <c r="O272" i="39"/>
  <c r="T272" i="39" s="1"/>
  <c r="M272" i="39"/>
  <c r="K272" i="39"/>
  <c r="R272" i="39" s="1"/>
  <c r="R271" i="39"/>
  <c r="O271" i="39"/>
  <c r="T271" i="39" s="1"/>
  <c r="M271" i="39"/>
  <c r="S271" i="39" s="1"/>
  <c r="K271" i="39"/>
  <c r="T270" i="39"/>
  <c r="S270" i="39"/>
  <c r="O270" i="39"/>
  <c r="M270" i="39"/>
  <c r="K270" i="39"/>
  <c r="R270" i="39" s="1"/>
  <c r="S269" i="39"/>
  <c r="R269" i="39"/>
  <c r="O269" i="39"/>
  <c r="T269" i="39" s="1"/>
  <c r="M269" i="39"/>
  <c r="K269" i="39"/>
  <c r="O268" i="39"/>
  <c r="T268" i="39" s="1"/>
  <c r="M268" i="39"/>
  <c r="S268" i="39" s="1"/>
  <c r="K268" i="39"/>
  <c r="R268" i="39" s="1"/>
  <c r="O267" i="39"/>
  <c r="T267" i="39" s="1"/>
  <c r="M267" i="39"/>
  <c r="S267" i="39" s="1"/>
  <c r="K267" i="39"/>
  <c r="R267" i="39" s="1"/>
  <c r="O266" i="39"/>
  <c r="T266" i="39" s="1"/>
  <c r="M266" i="39"/>
  <c r="S266" i="39" s="1"/>
  <c r="K266" i="39"/>
  <c r="R266" i="39" s="1"/>
  <c r="O265" i="39"/>
  <c r="T265" i="39" s="1"/>
  <c r="M265" i="39"/>
  <c r="S265" i="39" s="1"/>
  <c r="K265" i="39"/>
  <c r="R265" i="39" s="1"/>
  <c r="R264" i="39"/>
  <c r="O264" i="39"/>
  <c r="T264" i="39" s="1"/>
  <c r="M264" i="39"/>
  <c r="S264" i="39" s="1"/>
  <c r="K264" i="39"/>
  <c r="S263" i="39"/>
  <c r="O263" i="39"/>
  <c r="T263" i="39" s="1"/>
  <c r="M263" i="39"/>
  <c r="K263" i="39"/>
  <c r="R263" i="39" s="1"/>
  <c r="S262" i="39"/>
  <c r="R262" i="39"/>
  <c r="O262" i="39"/>
  <c r="T262" i="39" s="1"/>
  <c r="M262" i="39"/>
  <c r="K262" i="39"/>
  <c r="O261" i="39"/>
  <c r="T261" i="39" s="1"/>
  <c r="M261" i="39"/>
  <c r="S261" i="39" s="1"/>
  <c r="K261" i="39"/>
  <c r="R261" i="39" s="1"/>
  <c r="O260" i="39"/>
  <c r="T260" i="39" s="1"/>
  <c r="M260" i="39"/>
  <c r="S260" i="39" s="1"/>
  <c r="K260" i="39"/>
  <c r="R260" i="39" s="1"/>
  <c r="O259" i="39"/>
  <c r="T259" i="39" s="1"/>
  <c r="M259" i="39"/>
  <c r="S259" i="39" s="1"/>
  <c r="K259" i="39"/>
  <c r="R259" i="39" s="1"/>
  <c r="O258" i="39"/>
  <c r="T258" i="39" s="1"/>
  <c r="M258" i="39"/>
  <c r="S258" i="39" s="1"/>
  <c r="K258" i="39"/>
  <c r="R258" i="39" s="1"/>
  <c r="O257" i="39"/>
  <c r="T257" i="39" s="1"/>
  <c r="M257" i="39"/>
  <c r="S257" i="39" s="1"/>
  <c r="K257" i="39"/>
  <c r="R257" i="39" s="1"/>
  <c r="R256" i="39"/>
  <c r="O256" i="39"/>
  <c r="T256" i="39" s="1"/>
  <c r="M256" i="39"/>
  <c r="S256" i="39" s="1"/>
  <c r="K256" i="39"/>
  <c r="S255" i="39"/>
  <c r="O255" i="39"/>
  <c r="T255" i="39" s="1"/>
  <c r="M255" i="39"/>
  <c r="K255" i="39"/>
  <c r="R255" i="39" s="1"/>
  <c r="R254" i="39"/>
  <c r="O254" i="39"/>
  <c r="T254" i="39" s="1"/>
  <c r="M254" i="39"/>
  <c r="S254" i="39" s="1"/>
  <c r="K254" i="39"/>
  <c r="O253" i="39"/>
  <c r="T253" i="39" s="1"/>
  <c r="M253" i="39"/>
  <c r="S253" i="39" s="1"/>
  <c r="K253" i="39"/>
  <c r="R253" i="39" s="1"/>
  <c r="O252" i="39"/>
  <c r="T252" i="39" s="1"/>
  <c r="M252" i="39"/>
  <c r="S252" i="39" s="1"/>
  <c r="K252" i="39"/>
  <c r="R252" i="39" s="1"/>
  <c r="R251" i="39"/>
  <c r="O251" i="39"/>
  <c r="T251" i="39" s="1"/>
  <c r="M251" i="39"/>
  <c r="S251" i="39" s="1"/>
  <c r="K251" i="39"/>
  <c r="O250" i="39"/>
  <c r="T250" i="39" s="1"/>
  <c r="M250" i="39"/>
  <c r="S250" i="39" s="1"/>
  <c r="K250" i="39"/>
  <c r="R250" i="39" s="1"/>
  <c r="O249" i="39"/>
  <c r="T249" i="39" s="1"/>
  <c r="M249" i="39"/>
  <c r="S249" i="39" s="1"/>
  <c r="K249" i="39"/>
  <c r="R249" i="39" s="1"/>
  <c r="O248" i="39"/>
  <c r="T248" i="39" s="1"/>
  <c r="M248" i="39"/>
  <c r="S248" i="39" s="1"/>
  <c r="K248" i="39"/>
  <c r="R248" i="39" s="1"/>
  <c r="O247" i="39"/>
  <c r="T247" i="39" s="1"/>
  <c r="M247" i="39"/>
  <c r="S247" i="39" s="1"/>
  <c r="K247" i="39"/>
  <c r="R247" i="39" s="1"/>
  <c r="O246" i="39"/>
  <c r="T246" i="39" s="1"/>
  <c r="M246" i="39"/>
  <c r="S246" i="39" s="1"/>
  <c r="K246" i="39"/>
  <c r="R246" i="39" s="1"/>
  <c r="T245" i="39"/>
  <c r="O245" i="39"/>
  <c r="M245" i="39"/>
  <c r="S245" i="39" s="1"/>
  <c r="K245" i="39"/>
  <c r="R245" i="39" s="1"/>
  <c r="O244" i="39"/>
  <c r="T244" i="39" s="1"/>
  <c r="M244" i="39"/>
  <c r="S244" i="39" s="1"/>
  <c r="K244" i="39"/>
  <c r="R244" i="39" s="1"/>
  <c r="R243" i="39"/>
  <c r="O243" i="39"/>
  <c r="T243" i="39" s="1"/>
  <c r="M243" i="39"/>
  <c r="S243" i="39" s="1"/>
  <c r="K243" i="39"/>
  <c r="O242" i="39"/>
  <c r="T242" i="39" s="1"/>
  <c r="M242" i="39"/>
  <c r="S242" i="39" s="1"/>
  <c r="K242" i="39"/>
  <c r="R242" i="39" s="1"/>
  <c r="T241" i="39"/>
  <c r="O241" i="39"/>
  <c r="M241" i="39"/>
  <c r="S241" i="39" s="1"/>
  <c r="K241" i="39"/>
  <c r="R241" i="39" s="1"/>
  <c r="O240" i="39"/>
  <c r="T240" i="39" s="1"/>
  <c r="M240" i="39"/>
  <c r="S240" i="39" s="1"/>
  <c r="K240" i="39"/>
  <c r="R240" i="39" s="1"/>
  <c r="O239" i="39"/>
  <c r="T239" i="39" s="1"/>
  <c r="M239" i="39"/>
  <c r="S239" i="39" s="1"/>
  <c r="K239" i="39"/>
  <c r="R239" i="39" s="1"/>
  <c r="O238" i="39"/>
  <c r="T238" i="39" s="1"/>
  <c r="M238" i="39"/>
  <c r="S238" i="39" s="1"/>
  <c r="K238" i="39"/>
  <c r="R238" i="39" s="1"/>
  <c r="T237" i="39"/>
  <c r="O237" i="39"/>
  <c r="M237" i="39"/>
  <c r="S237" i="39" s="1"/>
  <c r="K237" i="39"/>
  <c r="R237" i="39" s="1"/>
  <c r="O236" i="39"/>
  <c r="T236" i="39" s="1"/>
  <c r="M236" i="39"/>
  <c r="S236" i="39" s="1"/>
  <c r="K236" i="39"/>
  <c r="R236" i="39" s="1"/>
  <c r="R235" i="39"/>
  <c r="O235" i="39"/>
  <c r="T235" i="39" s="1"/>
  <c r="M235" i="39"/>
  <c r="S235" i="39" s="1"/>
  <c r="K235" i="39"/>
  <c r="O234" i="39"/>
  <c r="T234" i="39" s="1"/>
  <c r="M234" i="39"/>
  <c r="S234" i="39" s="1"/>
  <c r="K234" i="39"/>
  <c r="R234" i="39" s="1"/>
  <c r="T233" i="39"/>
  <c r="O233" i="39"/>
  <c r="M233" i="39"/>
  <c r="S233" i="39" s="1"/>
  <c r="K233" i="39"/>
  <c r="R233" i="39" s="1"/>
  <c r="T232" i="39"/>
  <c r="O232" i="39"/>
  <c r="M232" i="39"/>
  <c r="S232" i="39" s="1"/>
  <c r="K232" i="39"/>
  <c r="R232" i="39" s="1"/>
  <c r="T231" i="39"/>
  <c r="O231" i="39"/>
  <c r="M231" i="39"/>
  <c r="S231" i="39" s="1"/>
  <c r="K231" i="39"/>
  <c r="R231" i="39" s="1"/>
  <c r="O230" i="39"/>
  <c r="T230" i="39" s="1"/>
  <c r="M230" i="39"/>
  <c r="S230" i="39" s="1"/>
  <c r="K230" i="39"/>
  <c r="R230" i="39" s="1"/>
  <c r="O229" i="39"/>
  <c r="T229" i="39" s="1"/>
  <c r="M229" i="39"/>
  <c r="S229" i="39" s="1"/>
  <c r="K229" i="39"/>
  <c r="R229" i="39" s="1"/>
  <c r="O228" i="39"/>
  <c r="T228" i="39" s="1"/>
  <c r="M228" i="39"/>
  <c r="S228" i="39" s="1"/>
  <c r="K228" i="39"/>
  <c r="R228" i="39" s="1"/>
  <c r="O227" i="39"/>
  <c r="T227" i="39" s="1"/>
  <c r="M227" i="39"/>
  <c r="S227" i="39" s="1"/>
  <c r="K227" i="39"/>
  <c r="R227" i="39" s="1"/>
  <c r="S226" i="39"/>
  <c r="O226" i="39"/>
  <c r="T226" i="39" s="1"/>
  <c r="M226" i="39"/>
  <c r="K226" i="39"/>
  <c r="R226" i="39" s="1"/>
  <c r="O225" i="39"/>
  <c r="T225" i="39" s="1"/>
  <c r="M225" i="39"/>
  <c r="S225" i="39" s="1"/>
  <c r="K225" i="39"/>
  <c r="R225" i="39" s="1"/>
  <c r="O224" i="39"/>
  <c r="T224" i="39" s="1"/>
  <c r="M224" i="39"/>
  <c r="S224" i="39" s="1"/>
  <c r="K224" i="39"/>
  <c r="R224" i="39" s="1"/>
  <c r="R223" i="39"/>
  <c r="O223" i="39"/>
  <c r="T223" i="39" s="1"/>
  <c r="M223" i="39"/>
  <c r="S223" i="39" s="1"/>
  <c r="K223" i="39"/>
  <c r="O222" i="39"/>
  <c r="T222" i="39" s="1"/>
  <c r="M222" i="39"/>
  <c r="S222" i="39" s="1"/>
  <c r="K222" i="39"/>
  <c r="R222" i="39" s="1"/>
  <c r="T221" i="39"/>
  <c r="O221" i="39"/>
  <c r="M221" i="39"/>
  <c r="S221" i="39" s="1"/>
  <c r="K221" i="39"/>
  <c r="R221" i="39" s="1"/>
  <c r="O220" i="39"/>
  <c r="T220" i="39" s="1"/>
  <c r="M220" i="39"/>
  <c r="S220" i="39" s="1"/>
  <c r="K220" i="39"/>
  <c r="R220" i="39" s="1"/>
  <c r="O219" i="39"/>
  <c r="T219" i="39" s="1"/>
  <c r="M219" i="39"/>
  <c r="S219" i="39" s="1"/>
  <c r="K219" i="39"/>
  <c r="R219" i="39" s="1"/>
  <c r="S218" i="39"/>
  <c r="R218" i="39"/>
  <c r="O218" i="39"/>
  <c r="T218" i="39" s="1"/>
  <c r="M218" i="39"/>
  <c r="K218" i="39"/>
  <c r="O217" i="39"/>
  <c r="T217" i="39" s="1"/>
  <c r="M217" i="39"/>
  <c r="S217" i="39" s="1"/>
  <c r="K217" i="39"/>
  <c r="R217" i="39" s="1"/>
  <c r="O216" i="39"/>
  <c r="T216" i="39" s="1"/>
  <c r="M216" i="39"/>
  <c r="S216" i="39" s="1"/>
  <c r="K216" i="39"/>
  <c r="R216" i="39" s="1"/>
  <c r="T215" i="39"/>
  <c r="O215" i="39"/>
  <c r="M215" i="39"/>
  <c r="S215" i="39" s="1"/>
  <c r="K215" i="39"/>
  <c r="R215" i="39" s="1"/>
  <c r="O214" i="39"/>
  <c r="T214" i="39" s="1"/>
  <c r="M214" i="39"/>
  <c r="S214" i="39" s="1"/>
  <c r="K214" i="39"/>
  <c r="R214" i="39" s="1"/>
  <c r="O213" i="39"/>
  <c r="T213" i="39" s="1"/>
  <c r="M213" i="39"/>
  <c r="S213" i="39" s="1"/>
  <c r="K213" i="39"/>
  <c r="R213" i="39" s="1"/>
  <c r="O212" i="39"/>
  <c r="T212" i="39" s="1"/>
  <c r="M212" i="39"/>
  <c r="S212" i="39" s="1"/>
  <c r="K212" i="39"/>
  <c r="R212" i="39" s="1"/>
  <c r="O211" i="39"/>
  <c r="T211" i="39" s="1"/>
  <c r="M211" i="39"/>
  <c r="S211" i="39" s="1"/>
  <c r="K211" i="39"/>
  <c r="R211" i="39" s="1"/>
  <c r="S210" i="39"/>
  <c r="O210" i="39"/>
  <c r="T210" i="39" s="1"/>
  <c r="M210" i="39"/>
  <c r="K210" i="39"/>
  <c r="R210" i="39" s="1"/>
  <c r="O209" i="39"/>
  <c r="T209" i="39" s="1"/>
  <c r="M209" i="39"/>
  <c r="S209" i="39" s="1"/>
  <c r="K209" i="39"/>
  <c r="R209" i="39" s="1"/>
  <c r="S208" i="39"/>
  <c r="O208" i="39"/>
  <c r="T208" i="39" s="1"/>
  <c r="M208" i="39"/>
  <c r="K208" i="39"/>
  <c r="R208" i="39" s="1"/>
  <c r="T207" i="39"/>
  <c r="R207" i="39"/>
  <c r="O207" i="39"/>
  <c r="M207" i="39"/>
  <c r="S207" i="39" s="1"/>
  <c r="K207" i="39"/>
  <c r="O206" i="39"/>
  <c r="T206" i="39" s="1"/>
  <c r="M206" i="39"/>
  <c r="S206" i="39" s="1"/>
  <c r="K206" i="39"/>
  <c r="R206" i="39" s="1"/>
  <c r="T205" i="39"/>
  <c r="O205" i="39"/>
  <c r="M205" i="39"/>
  <c r="S205" i="39" s="1"/>
  <c r="K205" i="39"/>
  <c r="R205" i="39" s="1"/>
  <c r="O204" i="39"/>
  <c r="T204" i="39" s="1"/>
  <c r="M204" i="39"/>
  <c r="S204" i="39" s="1"/>
  <c r="K204" i="39"/>
  <c r="R204" i="39" s="1"/>
  <c r="R203" i="39"/>
  <c r="O203" i="39"/>
  <c r="T203" i="39" s="1"/>
  <c r="M203" i="39"/>
  <c r="S203" i="39" s="1"/>
  <c r="K203" i="39"/>
  <c r="S202" i="39"/>
  <c r="O202" i="39"/>
  <c r="T202" i="39" s="1"/>
  <c r="M202" i="39"/>
  <c r="K202" i="39"/>
  <c r="R202" i="39" s="1"/>
  <c r="O201" i="39"/>
  <c r="T201" i="39" s="1"/>
  <c r="M201" i="39"/>
  <c r="S201" i="39" s="1"/>
  <c r="K201" i="39"/>
  <c r="R201" i="39" s="1"/>
  <c r="O200" i="39"/>
  <c r="T200" i="39" s="1"/>
  <c r="M200" i="39"/>
  <c r="S200" i="39" s="1"/>
  <c r="K200" i="39"/>
  <c r="R200" i="39" s="1"/>
  <c r="T199" i="39"/>
  <c r="O199" i="39"/>
  <c r="M199" i="39"/>
  <c r="S199" i="39" s="1"/>
  <c r="K199" i="39"/>
  <c r="R199" i="39" s="1"/>
  <c r="O198" i="39"/>
  <c r="T198" i="39" s="1"/>
  <c r="M198" i="39"/>
  <c r="S198" i="39" s="1"/>
  <c r="K198" i="39"/>
  <c r="R198" i="39" s="1"/>
  <c r="O197" i="39"/>
  <c r="T197" i="39" s="1"/>
  <c r="M197" i="39"/>
  <c r="S197" i="39" s="1"/>
  <c r="K197" i="39"/>
  <c r="R197" i="39" s="1"/>
  <c r="O196" i="39"/>
  <c r="T196" i="39" s="1"/>
  <c r="M196" i="39"/>
  <c r="S196" i="39" s="1"/>
  <c r="K196" i="39"/>
  <c r="R196" i="39" s="1"/>
  <c r="O195" i="39"/>
  <c r="T195" i="39" s="1"/>
  <c r="M195" i="39"/>
  <c r="S195" i="39" s="1"/>
  <c r="K195" i="39"/>
  <c r="R195" i="39" s="1"/>
  <c r="R194" i="39"/>
  <c r="O194" i="39"/>
  <c r="T194" i="39" s="1"/>
  <c r="M194" i="39"/>
  <c r="S194" i="39" s="1"/>
  <c r="K194" i="39"/>
  <c r="O193" i="39"/>
  <c r="T193" i="39" s="1"/>
  <c r="M193" i="39"/>
  <c r="S193" i="39" s="1"/>
  <c r="K193" i="39"/>
  <c r="R193" i="39" s="1"/>
  <c r="O192" i="39"/>
  <c r="T192" i="39" s="1"/>
  <c r="M192" i="39"/>
  <c r="S192" i="39" s="1"/>
  <c r="K192" i="39"/>
  <c r="R192" i="39" s="1"/>
  <c r="O191" i="39"/>
  <c r="T191" i="39" s="1"/>
  <c r="M191" i="39"/>
  <c r="S191" i="39" s="1"/>
  <c r="K191" i="39"/>
  <c r="R191" i="39" s="1"/>
  <c r="O190" i="39"/>
  <c r="T190" i="39" s="1"/>
  <c r="M190" i="39"/>
  <c r="S190" i="39" s="1"/>
  <c r="K190" i="39"/>
  <c r="R190" i="39" s="1"/>
  <c r="T189" i="39"/>
  <c r="O189" i="39"/>
  <c r="M189" i="39"/>
  <c r="S189" i="39" s="1"/>
  <c r="K189" i="39"/>
  <c r="R189" i="39" s="1"/>
  <c r="O188" i="39"/>
  <c r="T188" i="39" s="1"/>
  <c r="M188" i="39"/>
  <c r="S188" i="39" s="1"/>
  <c r="K188" i="39"/>
  <c r="R188" i="39" s="1"/>
  <c r="R187" i="39"/>
  <c r="O187" i="39"/>
  <c r="T187" i="39" s="1"/>
  <c r="M187" i="39"/>
  <c r="S187" i="39" s="1"/>
  <c r="K187" i="39"/>
  <c r="S186" i="39"/>
  <c r="O186" i="39"/>
  <c r="T186" i="39" s="1"/>
  <c r="M186" i="39"/>
  <c r="K186" i="39"/>
  <c r="R186" i="39" s="1"/>
  <c r="O185" i="39"/>
  <c r="T185" i="39" s="1"/>
  <c r="M185" i="39"/>
  <c r="S185" i="39" s="1"/>
  <c r="K185" i="39"/>
  <c r="R185" i="39" s="1"/>
  <c r="O184" i="39"/>
  <c r="T184" i="39" s="1"/>
  <c r="M184" i="39"/>
  <c r="S184" i="39" s="1"/>
  <c r="K184" i="39"/>
  <c r="R184" i="39" s="1"/>
  <c r="T183" i="39"/>
  <c r="R183" i="39"/>
  <c r="O183" i="39"/>
  <c r="M183" i="39"/>
  <c r="S183" i="39" s="1"/>
  <c r="K183" i="39"/>
  <c r="S182" i="39"/>
  <c r="O182" i="39"/>
  <c r="T182" i="39" s="1"/>
  <c r="M182" i="39"/>
  <c r="K182" i="39"/>
  <c r="R182" i="39" s="1"/>
  <c r="O181" i="39"/>
  <c r="T181" i="39" s="1"/>
  <c r="M181" i="39"/>
  <c r="S181" i="39" s="1"/>
  <c r="K181" i="39"/>
  <c r="R181" i="39" s="1"/>
  <c r="O180" i="39"/>
  <c r="T180" i="39" s="1"/>
  <c r="M180" i="39"/>
  <c r="S180" i="39" s="1"/>
  <c r="K180" i="39"/>
  <c r="R180" i="39" s="1"/>
  <c r="R179" i="39"/>
  <c r="O179" i="39"/>
  <c r="T179" i="39" s="1"/>
  <c r="M179" i="39"/>
  <c r="S179" i="39" s="1"/>
  <c r="K179" i="39"/>
  <c r="O178" i="39"/>
  <c r="T178" i="39" s="1"/>
  <c r="M178" i="39"/>
  <c r="S178" i="39" s="1"/>
  <c r="K178" i="39"/>
  <c r="R178" i="39" s="1"/>
  <c r="R177" i="39"/>
  <c r="O177" i="39"/>
  <c r="T177" i="39" s="1"/>
  <c r="M177" i="39"/>
  <c r="S177" i="39" s="1"/>
  <c r="K177" i="39"/>
  <c r="T176" i="39"/>
  <c r="S176" i="39"/>
  <c r="O176" i="39"/>
  <c r="M176" i="39"/>
  <c r="K176" i="39"/>
  <c r="R176" i="39" s="1"/>
  <c r="T175" i="39"/>
  <c r="O175" i="39"/>
  <c r="M175" i="39"/>
  <c r="S175" i="39" s="1"/>
  <c r="K175" i="39"/>
  <c r="R175" i="39" s="1"/>
  <c r="S174" i="39"/>
  <c r="O174" i="39"/>
  <c r="T174" i="39" s="1"/>
  <c r="M174" i="39"/>
  <c r="K174" i="39"/>
  <c r="R174" i="39" s="1"/>
  <c r="T173" i="39"/>
  <c r="O173" i="39"/>
  <c r="M173" i="39"/>
  <c r="S173" i="39" s="1"/>
  <c r="K173" i="39"/>
  <c r="R173" i="39" s="1"/>
  <c r="S172" i="39"/>
  <c r="O172" i="39"/>
  <c r="T172" i="39" s="1"/>
  <c r="M172" i="39"/>
  <c r="K172" i="39"/>
  <c r="R172" i="39" s="1"/>
  <c r="T171" i="39"/>
  <c r="O171" i="39"/>
  <c r="M171" i="39"/>
  <c r="S171" i="39" s="1"/>
  <c r="K171" i="39"/>
  <c r="R171" i="39" s="1"/>
  <c r="S170" i="39"/>
  <c r="R170" i="39"/>
  <c r="O170" i="39"/>
  <c r="T170" i="39" s="1"/>
  <c r="M170" i="39"/>
  <c r="K170" i="39"/>
  <c r="R169" i="39"/>
  <c r="O169" i="39"/>
  <c r="T169" i="39" s="1"/>
  <c r="M169" i="39"/>
  <c r="S169" i="39" s="1"/>
  <c r="K169" i="39"/>
  <c r="O168" i="39"/>
  <c r="T168" i="39" s="1"/>
  <c r="M168" i="39"/>
  <c r="S168" i="39" s="1"/>
  <c r="K168" i="39"/>
  <c r="R168" i="39" s="1"/>
  <c r="T167" i="39"/>
  <c r="O167" i="39"/>
  <c r="M167" i="39"/>
  <c r="S167" i="39" s="1"/>
  <c r="K167" i="39"/>
  <c r="R167" i="39" s="1"/>
  <c r="O166" i="39"/>
  <c r="T166" i="39" s="1"/>
  <c r="M166" i="39"/>
  <c r="S166" i="39" s="1"/>
  <c r="K166" i="39"/>
  <c r="R166" i="39" s="1"/>
  <c r="T165" i="39"/>
  <c r="O165" i="39"/>
  <c r="M165" i="39"/>
  <c r="S165" i="39" s="1"/>
  <c r="K165" i="39"/>
  <c r="R165" i="39" s="1"/>
  <c r="O164" i="39"/>
  <c r="T164" i="39" s="1"/>
  <c r="M164" i="39"/>
  <c r="S164" i="39" s="1"/>
  <c r="K164" i="39"/>
  <c r="R164" i="39" s="1"/>
  <c r="T163" i="39"/>
  <c r="S163" i="39"/>
  <c r="R163" i="39"/>
  <c r="O163" i="39"/>
  <c r="M163" i="39"/>
  <c r="K163" i="39"/>
  <c r="S162" i="39"/>
  <c r="O162" i="39"/>
  <c r="T162" i="39" s="1"/>
  <c r="M162" i="39"/>
  <c r="K162" i="39"/>
  <c r="R162" i="39" s="1"/>
  <c r="O161" i="39"/>
  <c r="T161" i="39" s="1"/>
  <c r="M161" i="39"/>
  <c r="S161" i="39" s="1"/>
  <c r="K161" i="39"/>
  <c r="R161" i="39" s="1"/>
  <c r="O160" i="39"/>
  <c r="T160" i="39" s="1"/>
  <c r="M160" i="39"/>
  <c r="S160" i="39" s="1"/>
  <c r="K160" i="39"/>
  <c r="R160" i="39" s="1"/>
  <c r="O159" i="39"/>
  <c r="T159" i="39" s="1"/>
  <c r="M159" i="39"/>
  <c r="S159" i="39" s="1"/>
  <c r="K159" i="39"/>
  <c r="R159" i="39" s="1"/>
  <c r="O158" i="39"/>
  <c r="T158" i="39" s="1"/>
  <c r="M158" i="39"/>
  <c r="S158" i="39" s="1"/>
  <c r="K158" i="39"/>
  <c r="R158" i="39" s="1"/>
  <c r="O157" i="39"/>
  <c r="T157" i="39" s="1"/>
  <c r="M157" i="39"/>
  <c r="S157" i="39" s="1"/>
  <c r="K157" i="39"/>
  <c r="R157" i="39" s="1"/>
  <c r="O156" i="39"/>
  <c r="T156" i="39" s="1"/>
  <c r="M156" i="39"/>
  <c r="S156" i="39" s="1"/>
  <c r="K156" i="39"/>
  <c r="R156" i="39" s="1"/>
  <c r="R155" i="39"/>
  <c r="O155" i="39"/>
  <c r="T155" i="39" s="1"/>
  <c r="M155" i="39"/>
  <c r="S155" i="39" s="1"/>
  <c r="K155" i="39"/>
  <c r="S154" i="39"/>
  <c r="O154" i="39"/>
  <c r="T154" i="39" s="1"/>
  <c r="M154" i="39"/>
  <c r="K154" i="39"/>
  <c r="R154" i="39" s="1"/>
  <c r="T153" i="39"/>
  <c r="O153" i="39"/>
  <c r="M153" i="39"/>
  <c r="S153" i="39" s="1"/>
  <c r="K153" i="39"/>
  <c r="R153" i="39" s="1"/>
  <c r="S152" i="39"/>
  <c r="O152" i="39"/>
  <c r="T152" i="39" s="1"/>
  <c r="M152" i="39"/>
  <c r="K152" i="39"/>
  <c r="R152" i="39" s="1"/>
  <c r="O151" i="39"/>
  <c r="T151" i="39" s="1"/>
  <c r="M151" i="39"/>
  <c r="S151" i="39" s="1"/>
  <c r="K151" i="39"/>
  <c r="R151" i="39" s="1"/>
  <c r="R150" i="39"/>
  <c r="O150" i="39"/>
  <c r="T150" i="39" s="1"/>
  <c r="M150" i="39"/>
  <c r="S150" i="39" s="1"/>
  <c r="K150" i="39"/>
  <c r="S149" i="39"/>
  <c r="R149" i="39"/>
  <c r="O149" i="39"/>
  <c r="T149" i="39" s="1"/>
  <c r="M149" i="39"/>
  <c r="K149" i="39"/>
  <c r="S148" i="39"/>
  <c r="R148" i="39"/>
  <c r="O148" i="39"/>
  <c r="T148" i="39" s="1"/>
  <c r="M148" i="39"/>
  <c r="K148" i="39"/>
  <c r="S147" i="39"/>
  <c r="O147" i="39"/>
  <c r="T147" i="39" s="1"/>
  <c r="M147" i="39"/>
  <c r="K147" i="39"/>
  <c r="R147" i="39" s="1"/>
  <c r="T146" i="39"/>
  <c r="O146" i="39"/>
  <c r="M146" i="39"/>
  <c r="S146" i="39" s="1"/>
  <c r="K146" i="39"/>
  <c r="R146" i="39" s="1"/>
  <c r="O145" i="39"/>
  <c r="T145" i="39" s="1"/>
  <c r="M145" i="39"/>
  <c r="S145" i="39" s="1"/>
  <c r="K145" i="39"/>
  <c r="R145" i="39" s="1"/>
  <c r="O144" i="39"/>
  <c r="T144" i="39" s="1"/>
  <c r="M144" i="39"/>
  <c r="S144" i="39" s="1"/>
  <c r="K144" i="39"/>
  <c r="R144" i="39" s="1"/>
  <c r="O143" i="39"/>
  <c r="T143" i="39" s="1"/>
  <c r="M143" i="39"/>
  <c r="S143" i="39" s="1"/>
  <c r="K143" i="39"/>
  <c r="R143" i="39" s="1"/>
  <c r="T142" i="39"/>
  <c r="O142" i="39"/>
  <c r="M142" i="39"/>
  <c r="S142" i="39" s="1"/>
  <c r="K142" i="39"/>
  <c r="R142" i="39" s="1"/>
  <c r="R141" i="39"/>
  <c r="O141" i="39"/>
  <c r="T141" i="39" s="1"/>
  <c r="M141" i="39"/>
  <c r="S141" i="39" s="1"/>
  <c r="K141" i="39"/>
  <c r="S140" i="39"/>
  <c r="R140" i="39"/>
  <c r="O140" i="39"/>
  <c r="T140" i="39" s="1"/>
  <c r="M140" i="39"/>
  <c r="K140" i="39"/>
  <c r="O139" i="39"/>
  <c r="T139" i="39" s="1"/>
  <c r="M139" i="39"/>
  <c r="S139" i="39" s="1"/>
  <c r="K139" i="39"/>
  <c r="R139" i="39" s="1"/>
  <c r="O138" i="39"/>
  <c r="T138" i="39" s="1"/>
  <c r="M138" i="39"/>
  <c r="S138" i="39" s="1"/>
  <c r="K138" i="39"/>
  <c r="R138" i="39" s="1"/>
  <c r="O137" i="39"/>
  <c r="T137" i="39" s="1"/>
  <c r="M137" i="39"/>
  <c r="S137" i="39" s="1"/>
  <c r="K137" i="39"/>
  <c r="R137" i="39" s="1"/>
  <c r="R136" i="39"/>
  <c r="O136" i="39"/>
  <c r="T136" i="39" s="1"/>
  <c r="M136" i="39"/>
  <c r="S136" i="39" s="1"/>
  <c r="K136" i="39"/>
  <c r="O135" i="39"/>
  <c r="T135" i="39" s="1"/>
  <c r="M135" i="39"/>
  <c r="S135" i="39" s="1"/>
  <c r="K135" i="39"/>
  <c r="R135" i="39" s="1"/>
  <c r="R134" i="39"/>
  <c r="O134" i="39"/>
  <c r="T134" i="39" s="1"/>
  <c r="M134" i="39"/>
  <c r="S134" i="39" s="1"/>
  <c r="K134" i="39"/>
  <c r="O133" i="39"/>
  <c r="T133" i="39" s="1"/>
  <c r="M133" i="39"/>
  <c r="S133" i="39" s="1"/>
  <c r="K133" i="39"/>
  <c r="R133" i="39" s="1"/>
  <c r="S132" i="39"/>
  <c r="O132" i="39"/>
  <c r="T132" i="39" s="1"/>
  <c r="M132" i="39"/>
  <c r="K132" i="39"/>
  <c r="R132" i="39" s="1"/>
  <c r="T131" i="39"/>
  <c r="S131" i="39"/>
  <c r="O131" i="39"/>
  <c r="M131" i="39"/>
  <c r="K131" i="39"/>
  <c r="R131" i="39" s="1"/>
  <c r="O130" i="39"/>
  <c r="T130" i="39" s="1"/>
  <c r="M130" i="39"/>
  <c r="S130" i="39" s="1"/>
  <c r="K130" i="39"/>
  <c r="R130" i="39" s="1"/>
  <c r="O129" i="39"/>
  <c r="T129" i="39" s="1"/>
  <c r="M129" i="39"/>
  <c r="S129" i="39" s="1"/>
  <c r="K129" i="39"/>
  <c r="R129" i="39" s="1"/>
  <c r="O128" i="39"/>
  <c r="T128" i="39" s="1"/>
  <c r="M128" i="39"/>
  <c r="S128" i="39" s="1"/>
  <c r="K128" i="39"/>
  <c r="R128" i="39" s="1"/>
  <c r="O127" i="39"/>
  <c r="T127" i="39" s="1"/>
  <c r="M127" i="39"/>
  <c r="S127" i="39" s="1"/>
  <c r="K127" i="39"/>
  <c r="R127" i="39" s="1"/>
  <c r="O126" i="39"/>
  <c r="T126" i="39" s="1"/>
  <c r="M126" i="39"/>
  <c r="S126" i="39" s="1"/>
  <c r="K126" i="39"/>
  <c r="R126" i="39" s="1"/>
  <c r="R125" i="39"/>
  <c r="O125" i="39"/>
  <c r="T125" i="39" s="1"/>
  <c r="M125" i="39"/>
  <c r="S125" i="39" s="1"/>
  <c r="K125" i="39"/>
  <c r="S124" i="39"/>
  <c r="O124" i="39"/>
  <c r="T124" i="39" s="1"/>
  <c r="M124" i="39"/>
  <c r="K124" i="39"/>
  <c r="R124" i="39" s="1"/>
  <c r="T123" i="39"/>
  <c r="S123" i="39"/>
  <c r="O123" i="39"/>
  <c r="M123" i="39"/>
  <c r="K123" i="39"/>
  <c r="R123" i="39" s="1"/>
  <c r="R122" i="39"/>
  <c r="O122" i="39"/>
  <c r="T122" i="39" s="1"/>
  <c r="M122" i="39"/>
  <c r="S122" i="39" s="1"/>
  <c r="K122" i="39"/>
  <c r="O121" i="39"/>
  <c r="T121" i="39" s="1"/>
  <c r="M121" i="39"/>
  <c r="S121" i="39" s="1"/>
  <c r="K121" i="39"/>
  <c r="R121" i="39" s="1"/>
  <c r="R120" i="39"/>
  <c r="O120" i="39"/>
  <c r="T120" i="39" s="1"/>
  <c r="M120" i="39"/>
  <c r="S120" i="39" s="1"/>
  <c r="K120" i="39"/>
  <c r="O119" i="39"/>
  <c r="T119" i="39" s="1"/>
  <c r="M119" i="39"/>
  <c r="S119" i="39" s="1"/>
  <c r="K119" i="39"/>
  <c r="R119" i="39" s="1"/>
  <c r="R118" i="39"/>
  <c r="O118" i="39"/>
  <c r="T118" i="39" s="1"/>
  <c r="M118" i="39"/>
  <c r="S118" i="39" s="1"/>
  <c r="K118" i="39"/>
  <c r="R117" i="39"/>
  <c r="O117" i="39"/>
  <c r="T117" i="39" s="1"/>
  <c r="M117" i="39"/>
  <c r="S117" i="39" s="1"/>
  <c r="K117" i="39"/>
  <c r="R116" i="39"/>
  <c r="O116" i="39"/>
  <c r="T116" i="39" s="1"/>
  <c r="M116" i="39"/>
  <c r="S116" i="39" s="1"/>
  <c r="K116" i="39"/>
  <c r="S115" i="39"/>
  <c r="O115" i="39"/>
  <c r="T115" i="39" s="1"/>
  <c r="M115" i="39"/>
  <c r="K115" i="39"/>
  <c r="R115" i="39" s="1"/>
  <c r="S114" i="39"/>
  <c r="O114" i="39"/>
  <c r="T114" i="39" s="1"/>
  <c r="M114" i="39"/>
  <c r="K114" i="39"/>
  <c r="R114" i="39" s="1"/>
  <c r="O113" i="39"/>
  <c r="T113" i="39" s="1"/>
  <c r="M113" i="39"/>
  <c r="S113" i="39" s="1"/>
  <c r="K113" i="39"/>
  <c r="R113" i="39" s="1"/>
  <c r="O112" i="39"/>
  <c r="T112" i="39" s="1"/>
  <c r="M112" i="39"/>
  <c r="S112" i="39" s="1"/>
  <c r="K112" i="39"/>
  <c r="R112" i="39" s="1"/>
  <c r="O111" i="39"/>
  <c r="T111" i="39" s="1"/>
  <c r="M111" i="39"/>
  <c r="S111" i="39" s="1"/>
  <c r="K111" i="39"/>
  <c r="R111" i="39" s="1"/>
  <c r="O110" i="39"/>
  <c r="T110" i="39" s="1"/>
  <c r="M110" i="39"/>
  <c r="S110" i="39" s="1"/>
  <c r="K110" i="39"/>
  <c r="R110" i="39" s="1"/>
  <c r="R109" i="39"/>
  <c r="O109" i="39"/>
  <c r="T109" i="39" s="1"/>
  <c r="M109" i="39"/>
  <c r="S109" i="39" s="1"/>
  <c r="K109" i="39"/>
  <c r="S108" i="39"/>
  <c r="R108" i="39"/>
  <c r="O108" i="39"/>
  <c r="T108" i="39" s="1"/>
  <c r="M108" i="39"/>
  <c r="K108" i="39"/>
  <c r="T107" i="39"/>
  <c r="O107" i="39"/>
  <c r="M107" i="39"/>
  <c r="S107" i="39" s="1"/>
  <c r="K107" i="39"/>
  <c r="R107" i="39" s="1"/>
  <c r="S106" i="39"/>
  <c r="R106" i="39"/>
  <c r="O106" i="39"/>
  <c r="T106" i="39" s="1"/>
  <c r="M106" i="39"/>
  <c r="K106" i="39"/>
  <c r="S105" i="39"/>
  <c r="O105" i="39"/>
  <c r="T105" i="39" s="1"/>
  <c r="M105" i="39"/>
  <c r="K105" i="39"/>
  <c r="R105" i="39" s="1"/>
  <c r="O104" i="39"/>
  <c r="T104" i="39" s="1"/>
  <c r="M104" i="39"/>
  <c r="S104" i="39" s="1"/>
  <c r="K104" i="39"/>
  <c r="R104" i="39" s="1"/>
  <c r="S103" i="39"/>
  <c r="O103" i="39"/>
  <c r="T103" i="39" s="1"/>
  <c r="M103" i="39"/>
  <c r="K103" i="39"/>
  <c r="R103" i="39" s="1"/>
  <c r="O102" i="39"/>
  <c r="T102" i="39" s="1"/>
  <c r="M102" i="39"/>
  <c r="S102" i="39" s="1"/>
  <c r="K102" i="39"/>
  <c r="R102" i="39" s="1"/>
  <c r="S101" i="39"/>
  <c r="R101" i="39"/>
  <c r="O101" i="39"/>
  <c r="T101" i="39" s="1"/>
  <c r="M101" i="39"/>
  <c r="K101" i="39"/>
  <c r="O100" i="39"/>
  <c r="T100" i="39" s="1"/>
  <c r="M100" i="39"/>
  <c r="S100" i="39" s="1"/>
  <c r="K100" i="39"/>
  <c r="R100" i="39" s="1"/>
  <c r="S99" i="39"/>
  <c r="O99" i="39"/>
  <c r="T99" i="39" s="1"/>
  <c r="M99" i="39"/>
  <c r="K99" i="39"/>
  <c r="R99" i="39" s="1"/>
  <c r="T98" i="39"/>
  <c r="R98" i="39"/>
  <c r="O98" i="39"/>
  <c r="M98" i="39"/>
  <c r="S98" i="39" s="1"/>
  <c r="K98" i="39"/>
  <c r="T97" i="39"/>
  <c r="O97" i="39"/>
  <c r="M97" i="39"/>
  <c r="S97" i="39" s="1"/>
  <c r="K97" i="39"/>
  <c r="R97" i="39" s="1"/>
  <c r="O96" i="39"/>
  <c r="T96" i="39" s="1"/>
  <c r="M96" i="39"/>
  <c r="S96" i="39" s="1"/>
  <c r="K96" i="39"/>
  <c r="R96" i="39" s="1"/>
  <c r="S95" i="39"/>
  <c r="O95" i="39"/>
  <c r="T95" i="39" s="1"/>
  <c r="M95" i="39"/>
  <c r="K95" i="39"/>
  <c r="R95" i="39" s="1"/>
  <c r="T94" i="39"/>
  <c r="O94" i="39"/>
  <c r="M94" i="39"/>
  <c r="S94" i="39" s="1"/>
  <c r="K94" i="39"/>
  <c r="R94" i="39" s="1"/>
  <c r="S93" i="39"/>
  <c r="O93" i="39"/>
  <c r="T93" i="39" s="1"/>
  <c r="M93" i="39"/>
  <c r="K93" i="39"/>
  <c r="R93" i="39" s="1"/>
  <c r="T92" i="39"/>
  <c r="O92" i="39"/>
  <c r="M92" i="39"/>
  <c r="S92" i="39" s="1"/>
  <c r="K92" i="39"/>
  <c r="R92" i="39" s="1"/>
  <c r="O91" i="39"/>
  <c r="T91" i="39" s="1"/>
  <c r="M91" i="39"/>
  <c r="S91" i="39" s="1"/>
  <c r="K91" i="39"/>
  <c r="R91" i="39" s="1"/>
  <c r="T90" i="39"/>
  <c r="O90" i="39"/>
  <c r="M90" i="39"/>
  <c r="S90" i="39" s="1"/>
  <c r="K90" i="39"/>
  <c r="R90" i="39" s="1"/>
  <c r="O89" i="39"/>
  <c r="T89" i="39" s="1"/>
  <c r="M89" i="39"/>
  <c r="S89" i="39" s="1"/>
  <c r="K89" i="39"/>
  <c r="R89" i="39" s="1"/>
  <c r="O88" i="39"/>
  <c r="T88" i="39" s="1"/>
  <c r="M88" i="39"/>
  <c r="S88" i="39" s="1"/>
  <c r="K88" i="39"/>
  <c r="R88" i="39" s="1"/>
  <c r="O87" i="39"/>
  <c r="T87" i="39" s="1"/>
  <c r="M87" i="39"/>
  <c r="S87" i="39" s="1"/>
  <c r="K87" i="39"/>
  <c r="R87" i="39" s="1"/>
  <c r="O86" i="39"/>
  <c r="T86" i="39" s="1"/>
  <c r="M86" i="39"/>
  <c r="S86" i="39" s="1"/>
  <c r="K86" i="39"/>
  <c r="R86" i="39" s="1"/>
  <c r="S85" i="39"/>
  <c r="R85" i="39"/>
  <c r="O85" i="39"/>
  <c r="T85" i="39" s="1"/>
  <c r="M85" i="39"/>
  <c r="K85" i="39"/>
  <c r="T84" i="39"/>
  <c r="S84" i="39"/>
  <c r="R84" i="39"/>
  <c r="O84" i="39"/>
  <c r="M84" i="39"/>
  <c r="K84" i="39"/>
  <c r="S83" i="39"/>
  <c r="R83" i="39"/>
  <c r="O83" i="39"/>
  <c r="T83" i="39" s="1"/>
  <c r="M83" i="39"/>
  <c r="K83" i="39"/>
  <c r="O82" i="39"/>
  <c r="T82" i="39" s="1"/>
  <c r="M82" i="39"/>
  <c r="S82" i="39" s="1"/>
  <c r="K82" i="39"/>
  <c r="R82" i="39" s="1"/>
  <c r="O81" i="39"/>
  <c r="T81" i="39" s="1"/>
  <c r="M81" i="39"/>
  <c r="S81" i="39" s="1"/>
  <c r="K81" i="39"/>
  <c r="R81" i="39" s="1"/>
  <c r="O80" i="39"/>
  <c r="T80" i="39" s="1"/>
  <c r="M80" i="39"/>
  <c r="S80" i="39" s="1"/>
  <c r="K80" i="39"/>
  <c r="R80" i="39" s="1"/>
  <c r="O79" i="39"/>
  <c r="T79" i="39" s="1"/>
  <c r="M79" i="39"/>
  <c r="S79" i="39" s="1"/>
  <c r="K79" i="39"/>
  <c r="R79" i="39" s="1"/>
  <c r="O78" i="39"/>
  <c r="T78" i="39" s="1"/>
  <c r="M78" i="39"/>
  <c r="S78" i="39" s="1"/>
  <c r="K78" i="39"/>
  <c r="R78" i="39" s="1"/>
  <c r="S77" i="39"/>
  <c r="R77" i="39"/>
  <c r="O77" i="39"/>
  <c r="T77" i="39" s="1"/>
  <c r="M77" i="39"/>
  <c r="K77" i="39"/>
  <c r="S76" i="39"/>
  <c r="O76" i="39"/>
  <c r="T76" i="39" s="1"/>
  <c r="M76" i="39"/>
  <c r="K76" i="39"/>
  <c r="R76" i="39" s="1"/>
  <c r="S75" i="39"/>
  <c r="R75" i="39"/>
  <c r="O75" i="39"/>
  <c r="T75" i="39" s="1"/>
  <c r="M75" i="39"/>
  <c r="K75" i="39"/>
  <c r="O74" i="39"/>
  <c r="T74" i="39" s="1"/>
  <c r="M74" i="39"/>
  <c r="S74" i="39" s="1"/>
  <c r="K74" i="39"/>
  <c r="R74" i="39" s="1"/>
  <c r="O73" i="39"/>
  <c r="T73" i="39" s="1"/>
  <c r="M73" i="39"/>
  <c r="S73" i="39" s="1"/>
  <c r="K73" i="39"/>
  <c r="R73" i="39" s="1"/>
  <c r="R72" i="39"/>
  <c r="O72" i="39"/>
  <c r="T72" i="39" s="1"/>
  <c r="M72" i="39"/>
  <c r="S72" i="39" s="1"/>
  <c r="K72" i="39"/>
  <c r="S71" i="39"/>
  <c r="R71" i="39"/>
  <c r="O71" i="39"/>
  <c r="T71" i="39" s="1"/>
  <c r="M71" i="39"/>
  <c r="K71" i="39"/>
  <c r="T70" i="39"/>
  <c r="R70" i="39"/>
  <c r="O70" i="39"/>
  <c r="M70" i="39"/>
  <c r="S70" i="39" s="1"/>
  <c r="K70" i="39"/>
  <c r="O69" i="39"/>
  <c r="T69" i="39" s="1"/>
  <c r="M69" i="39"/>
  <c r="S69" i="39" s="1"/>
  <c r="K69" i="39"/>
  <c r="R69" i="39" s="1"/>
  <c r="T68" i="39"/>
  <c r="O68" i="39"/>
  <c r="M68" i="39"/>
  <c r="S68" i="39" s="1"/>
  <c r="K68" i="39"/>
  <c r="R68" i="39" s="1"/>
  <c r="O67" i="39"/>
  <c r="T67" i="39" s="1"/>
  <c r="M67" i="39"/>
  <c r="S67" i="39" s="1"/>
  <c r="K67" i="39"/>
  <c r="R67" i="39" s="1"/>
  <c r="T66" i="39"/>
  <c r="O66" i="39"/>
  <c r="M66" i="39"/>
  <c r="S66" i="39" s="1"/>
  <c r="K66" i="39"/>
  <c r="R66" i="39" s="1"/>
  <c r="O65" i="39"/>
  <c r="T65" i="39" s="1"/>
  <c r="M65" i="39"/>
  <c r="S65" i="39" s="1"/>
  <c r="K65" i="39"/>
  <c r="R65" i="39" s="1"/>
  <c r="R64" i="39"/>
  <c r="O64" i="39"/>
  <c r="T64" i="39" s="1"/>
  <c r="M64" i="39"/>
  <c r="S64" i="39" s="1"/>
  <c r="K64" i="39"/>
  <c r="R63" i="39"/>
  <c r="O63" i="39"/>
  <c r="T63" i="39" s="1"/>
  <c r="M63" i="39"/>
  <c r="S63" i="39" s="1"/>
  <c r="K63" i="39"/>
  <c r="R62" i="39"/>
  <c r="O62" i="39"/>
  <c r="T62" i="39" s="1"/>
  <c r="M62" i="39"/>
  <c r="S62" i="39" s="1"/>
  <c r="K62" i="39"/>
  <c r="T61" i="39"/>
  <c r="S61" i="39"/>
  <c r="O61" i="39"/>
  <c r="M61" i="39"/>
  <c r="K61" i="39"/>
  <c r="R61" i="39" s="1"/>
  <c r="T60" i="39"/>
  <c r="R60" i="39"/>
  <c r="O60" i="39"/>
  <c r="M60" i="39"/>
  <c r="S60" i="39" s="1"/>
  <c r="K60" i="39"/>
  <c r="O59" i="39"/>
  <c r="T59" i="39" s="1"/>
  <c r="M59" i="39"/>
  <c r="S59" i="39" s="1"/>
  <c r="K59" i="39"/>
  <c r="R59" i="39" s="1"/>
  <c r="T58" i="39"/>
  <c r="O58" i="39"/>
  <c r="M58" i="39"/>
  <c r="S58" i="39" s="1"/>
  <c r="K58" i="39"/>
  <c r="R58" i="39" s="1"/>
  <c r="O57" i="39"/>
  <c r="T57" i="39" s="1"/>
  <c r="M57" i="39"/>
  <c r="S57" i="39" s="1"/>
  <c r="K57" i="39"/>
  <c r="R57" i="39" s="1"/>
  <c r="O56" i="39"/>
  <c r="T56" i="39" s="1"/>
  <c r="M56" i="39"/>
  <c r="S56" i="39" s="1"/>
  <c r="K56" i="39"/>
  <c r="R56" i="39" s="1"/>
  <c r="S55" i="39"/>
  <c r="O55" i="39"/>
  <c r="T55" i="39" s="1"/>
  <c r="M55" i="39"/>
  <c r="K55" i="39"/>
  <c r="R55" i="39" s="1"/>
  <c r="R54" i="39"/>
  <c r="O54" i="39"/>
  <c r="T54" i="39" s="1"/>
  <c r="M54" i="39"/>
  <c r="S54" i="39" s="1"/>
  <c r="K54" i="39"/>
  <c r="O53" i="39"/>
  <c r="T53" i="39" s="1"/>
  <c r="M53" i="39"/>
  <c r="S53" i="39" s="1"/>
  <c r="K53" i="39"/>
  <c r="R53" i="39" s="1"/>
  <c r="T52" i="39"/>
  <c r="R52" i="39"/>
  <c r="O52" i="39"/>
  <c r="M52" i="39"/>
  <c r="S52" i="39" s="1"/>
  <c r="K52" i="39"/>
  <c r="O51" i="39"/>
  <c r="T51" i="39" s="1"/>
  <c r="M51" i="39"/>
  <c r="S51" i="39" s="1"/>
  <c r="K51" i="39"/>
  <c r="R51" i="39" s="1"/>
  <c r="T50" i="39"/>
  <c r="O50" i="39"/>
  <c r="M50" i="39"/>
  <c r="S50" i="39" s="1"/>
  <c r="K50" i="39"/>
  <c r="R50" i="39" s="1"/>
  <c r="O49" i="39"/>
  <c r="T49" i="39" s="1"/>
  <c r="M49" i="39"/>
  <c r="S49" i="39" s="1"/>
  <c r="K49" i="39"/>
  <c r="R49" i="39" s="1"/>
  <c r="R48" i="39"/>
  <c r="O48" i="39"/>
  <c r="T48" i="39" s="1"/>
  <c r="M48" i="39"/>
  <c r="S48" i="39" s="1"/>
  <c r="K48" i="39"/>
  <c r="O47" i="39"/>
  <c r="T47" i="39" s="1"/>
  <c r="M47" i="39"/>
  <c r="S47" i="39" s="1"/>
  <c r="K47" i="39"/>
  <c r="R47" i="39" s="1"/>
  <c r="O46" i="39"/>
  <c r="T46" i="39" s="1"/>
  <c r="M46" i="39"/>
  <c r="S46" i="39" s="1"/>
  <c r="K46" i="39"/>
  <c r="R46" i="39" s="1"/>
  <c r="S45" i="39"/>
  <c r="O45" i="39"/>
  <c r="T45" i="39" s="1"/>
  <c r="M45" i="39"/>
  <c r="K45" i="39"/>
  <c r="R45" i="39" s="1"/>
  <c r="O44" i="39"/>
  <c r="T44" i="39" s="1"/>
  <c r="M44" i="39"/>
  <c r="S44" i="39" s="1"/>
  <c r="K44" i="39"/>
  <c r="R44" i="39" s="1"/>
  <c r="S43" i="39"/>
  <c r="O43" i="39"/>
  <c r="T43" i="39" s="1"/>
  <c r="M43" i="39"/>
  <c r="K43" i="39"/>
  <c r="R43" i="39" s="1"/>
  <c r="O42" i="39"/>
  <c r="T42" i="39" s="1"/>
  <c r="M42" i="39"/>
  <c r="S42" i="39" s="1"/>
  <c r="K42" i="39"/>
  <c r="R42" i="39" s="1"/>
  <c r="O41" i="39"/>
  <c r="T41" i="39" s="1"/>
  <c r="M41" i="39"/>
  <c r="S41" i="39" s="1"/>
  <c r="K41" i="39"/>
  <c r="R41" i="39" s="1"/>
  <c r="R40" i="39"/>
  <c r="O40" i="39"/>
  <c r="T40" i="39" s="1"/>
  <c r="M40" i="39"/>
  <c r="S40" i="39" s="1"/>
  <c r="K40" i="39"/>
  <c r="S39" i="39"/>
  <c r="R39" i="39"/>
  <c r="O39" i="39"/>
  <c r="T39" i="39" s="1"/>
  <c r="M39" i="39"/>
  <c r="K39" i="39"/>
  <c r="T38" i="39"/>
  <c r="R38" i="39"/>
  <c r="O38" i="39"/>
  <c r="M38" i="39"/>
  <c r="S38" i="39" s="1"/>
  <c r="K38" i="39"/>
  <c r="T37" i="39"/>
  <c r="O37" i="39"/>
  <c r="M37" i="39"/>
  <c r="S37" i="39" s="1"/>
  <c r="K37" i="39"/>
  <c r="R37" i="39" s="1"/>
  <c r="T36" i="39"/>
  <c r="R36" i="39"/>
  <c r="O36" i="39"/>
  <c r="M36" i="39"/>
  <c r="S36" i="39" s="1"/>
  <c r="K36" i="39"/>
  <c r="O35" i="39"/>
  <c r="T35" i="39" s="1"/>
  <c r="M35" i="39"/>
  <c r="S35" i="39" s="1"/>
  <c r="K35" i="39"/>
  <c r="R35" i="39" s="1"/>
  <c r="T34" i="39"/>
  <c r="O34" i="39"/>
  <c r="M34" i="39"/>
  <c r="S34" i="39" s="1"/>
  <c r="K34" i="39"/>
  <c r="R34" i="39" s="1"/>
  <c r="O33" i="39"/>
  <c r="T33" i="39" s="1"/>
  <c r="M33" i="39"/>
  <c r="S33" i="39" s="1"/>
  <c r="K33" i="39"/>
  <c r="R33" i="39" s="1"/>
  <c r="O32" i="39"/>
  <c r="T32" i="39" s="1"/>
  <c r="M32" i="39"/>
  <c r="S32" i="39" s="1"/>
  <c r="K32" i="39"/>
  <c r="R32" i="39" s="1"/>
  <c r="S31" i="39"/>
  <c r="O31" i="39"/>
  <c r="T31" i="39" s="1"/>
  <c r="M31" i="39"/>
  <c r="K31" i="39"/>
  <c r="R31" i="39" s="1"/>
  <c r="R30" i="39"/>
  <c r="O30" i="39"/>
  <c r="T30" i="39" s="1"/>
  <c r="M30" i="39"/>
  <c r="S30" i="39" s="1"/>
  <c r="K30" i="39"/>
  <c r="O29" i="39"/>
  <c r="T29" i="39" s="1"/>
  <c r="M29" i="39"/>
  <c r="S29" i="39" s="1"/>
  <c r="K29" i="39"/>
  <c r="R29" i="39" s="1"/>
  <c r="R28" i="39"/>
  <c r="O28" i="39"/>
  <c r="T28" i="39" s="1"/>
  <c r="M28" i="39"/>
  <c r="S28" i="39" s="1"/>
  <c r="K28" i="39"/>
  <c r="S27" i="39"/>
  <c r="O27" i="39"/>
  <c r="T27" i="39" s="1"/>
  <c r="M27" i="39"/>
  <c r="K27" i="39"/>
  <c r="R27" i="39" s="1"/>
  <c r="O26" i="39"/>
  <c r="T26" i="39" s="1"/>
  <c r="M26" i="39"/>
  <c r="S26" i="39" s="1"/>
  <c r="K26" i="39"/>
  <c r="R26" i="39" s="1"/>
  <c r="O25" i="39"/>
  <c r="T25" i="39" s="1"/>
  <c r="M25" i="39"/>
  <c r="S25" i="39" s="1"/>
  <c r="K25" i="39"/>
  <c r="R25" i="39" s="1"/>
  <c r="R24" i="39"/>
  <c r="O24" i="39"/>
  <c r="T24" i="39" s="1"/>
  <c r="M24" i="39"/>
  <c r="S24" i="39" s="1"/>
  <c r="K24" i="39"/>
  <c r="R23" i="39"/>
  <c r="O23" i="39"/>
  <c r="T23" i="39" s="1"/>
  <c r="M23" i="39"/>
  <c r="S23" i="39" s="1"/>
  <c r="K23" i="39"/>
  <c r="O22" i="39"/>
  <c r="T22" i="39" s="1"/>
  <c r="M22" i="39"/>
  <c r="S22" i="39" s="1"/>
  <c r="K22" i="39"/>
  <c r="R22" i="39" s="1"/>
  <c r="S21" i="39"/>
  <c r="O21" i="39"/>
  <c r="T21" i="39" s="1"/>
  <c r="M21" i="39"/>
  <c r="K21" i="39"/>
  <c r="R21" i="39" s="1"/>
  <c r="R20" i="39"/>
  <c r="O20" i="39"/>
  <c r="T20" i="39" s="1"/>
  <c r="M20" i="39"/>
  <c r="S20" i="39" s="1"/>
  <c r="K20" i="39"/>
  <c r="S19" i="39"/>
  <c r="O19" i="39"/>
  <c r="T19" i="39" s="1"/>
  <c r="M19" i="39"/>
  <c r="K19" i="39"/>
  <c r="R19" i="39" s="1"/>
  <c r="O18" i="39"/>
  <c r="T18" i="39" s="1"/>
  <c r="M18" i="39"/>
  <c r="S18" i="39" s="1"/>
  <c r="K18" i="39"/>
  <c r="R18" i="39" s="1"/>
  <c r="O17" i="39"/>
  <c r="T17" i="39" s="1"/>
  <c r="M17" i="39"/>
  <c r="S17" i="39" s="1"/>
  <c r="K17" i="39"/>
  <c r="R17" i="39" s="1"/>
  <c r="O16" i="39"/>
  <c r="T16" i="39" s="1"/>
  <c r="M16" i="39"/>
  <c r="S16" i="39" s="1"/>
  <c r="K16" i="39"/>
  <c r="R16" i="39" s="1"/>
  <c r="S15" i="39"/>
  <c r="R15" i="39"/>
  <c r="O15" i="39"/>
  <c r="T15" i="39" s="1"/>
  <c r="M15" i="39"/>
  <c r="K15" i="39"/>
  <c r="T14" i="39"/>
  <c r="R14" i="39"/>
  <c r="O14" i="39"/>
  <c r="M14" i="39"/>
  <c r="S14" i="39" s="1"/>
  <c r="K14" i="39"/>
  <c r="T13" i="39"/>
  <c r="S13" i="39"/>
  <c r="O13" i="39"/>
  <c r="M13" i="39"/>
  <c r="K13" i="39"/>
  <c r="R13" i="39" s="1"/>
  <c r="R12" i="39"/>
  <c r="O12" i="39"/>
  <c r="T12" i="39" s="1"/>
  <c r="M12" i="39"/>
  <c r="S12" i="39" s="1"/>
  <c r="K12" i="39"/>
  <c r="S11" i="39"/>
  <c r="O11" i="39"/>
  <c r="T11" i="39" s="1"/>
  <c r="M11" i="39"/>
  <c r="K11" i="39"/>
  <c r="R11" i="39" s="1"/>
  <c r="O10" i="39"/>
  <c r="T10" i="39" s="1"/>
  <c r="M10" i="39"/>
  <c r="S10" i="39" s="1"/>
  <c r="K10" i="39"/>
  <c r="R10" i="39" s="1"/>
  <c r="O9" i="39"/>
  <c r="T9" i="39" s="1"/>
  <c r="M9" i="39"/>
  <c r="S9" i="39" s="1"/>
  <c r="K9" i="39"/>
  <c r="R9" i="39" s="1"/>
  <c r="T8" i="39"/>
  <c r="S8" i="39"/>
  <c r="R8" i="39"/>
  <c r="O8" i="39"/>
  <c r="M8" i="39"/>
  <c r="K8" i="39"/>
  <c r="O7" i="39"/>
  <c r="T7" i="39" s="1"/>
  <c r="M7" i="39"/>
  <c r="S7" i="39" s="1"/>
  <c r="K7" i="39"/>
  <c r="R7" i="39" s="1"/>
  <c r="O6" i="39"/>
  <c r="T6" i="39" s="1"/>
  <c r="M6" i="39"/>
  <c r="S6" i="39" s="1"/>
  <c r="K6" i="39"/>
  <c r="R6" i="39" s="1"/>
  <c r="S5" i="39"/>
  <c r="O5" i="39"/>
  <c r="T5" i="39" s="1"/>
  <c r="M5" i="39"/>
  <c r="K5" i="39"/>
  <c r="R5" i="39" s="1"/>
  <c r="O4" i="39"/>
  <c r="T4" i="39" s="1"/>
  <c r="M4" i="39"/>
  <c r="S4" i="39" s="1"/>
  <c r="K4" i="39"/>
  <c r="R4" i="39" s="1"/>
  <c r="R3" i="39"/>
  <c r="O3" i="39"/>
  <c r="T3" i="39" s="1"/>
  <c r="M3" i="39"/>
  <c r="S3" i="39" s="1"/>
  <c r="K3" i="39"/>
  <c r="A3" i="39"/>
  <c r="C3" i="39" s="1"/>
  <c r="S2" i="39"/>
  <c r="C2" i="39"/>
  <c r="A4" i="39" l="1"/>
  <c r="B3" i="39"/>
  <c r="C4" i="39" l="1"/>
  <c r="A5" i="39"/>
  <c r="B4" i="39"/>
  <c r="C5" i="39" l="1"/>
  <c r="A6" i="39"/>
  <c r="B5" i="39"/>
  <c r="C6" i="39" l="1"/>
  <c r="A7" i="39"/>
  <c r="B6" i="39"/>
  <c r="C7" i="39" l="1"/>
  <c r="B7" i="39"/>
  <c r="A8" i="39"/>
  <c r="A9" i="39" l="1"/>
  <c r="B8" i="39"/>
  <c r="C8" i="39"/>
  <c r="C9" i="39" l="1"/>
  <c r="B9" i="39"/>
  <c r="A10" i="39"/>
  <c r="A11" i="39" l="1"/>
  <c r="B10" i="39"/>
  <c r="C10" i="39"/>
  <c r="C11" i="39" l="1"/>
  <c r="B11" i="39"/>
  <c r="A12" i="39"/>
  <c r="C12" i="39" l="1"/>
  <c r="B12" i="39"/>
  <c r="A13" i="39"/>
  <c r="C13" i="39" l="1"/>
  <c r="B13" i="39"/>
  <c r="A14" i="39"/>
  <c r="A15" i="39" l="1"/>
  <c r="B14" i="39"/>
  <c r="C14" i="39"/>
  <c r="C15" i="39" l="1"/>
  <c r="A16" i="39"/>
  <c r="B15" i="39"/>
  <c r="A17" i="39" l="1"/>
  <c r="B16" i="39"/>
  <c r="C16" i="39"/>
  <c r="C17" i="39" l="1"/>
  <c r="B17" i="39"/>
  <c r="A18" i="39"/>
  <c r="A19" i="39" l="1"/>
  <c r="B18" i="39"/>
  <c r="C18" i="39"/>
  <c r="B19" i="39" l="1"/>
  <c r="C19" i="39"/>
  <c r="A20" i="39"/>
  <c r="C20" i="39" l="1"/>
  <c r="A21" i="39"/>
  <c r="B20" i="39"/>
  <c r="C21" i="39" l="1"/>
  <c r="A22" i="39"/>
  <c r="B21" i="39"/>
  <c r="C22" i="39" l="1"/>
  <c r="A23" i="39"/>
  <c r="B22" i="39"/>
  <c r="C23" i="39" l="1"/>
  <c r="A24" i="39"/>
  <c r="B23" i="39"/>
  <c r="A25" i="39" l="1"/>
  <c r="B24" i="39"/>
  <c r="C24" i="39"/>
  <c r="C25" i="39" l="1"/>
  <c r="B25" i="39"/>
  <c r="A26" i="39"/>
  <c r="A27" i="39" l="1"/>
  <c r="B26" i="39"/>
  <c r="C26" i="39"/>
  <c r="B27" i="39" l="1"/>
  <c r="C27" i="39"/>
  <c r="A28" i="39"/>
  <c r="C28" i="39" l="1"/>
  <c r="B28" i="39"/>
  <c r="A29" i="39"/>
  <c r="C29" i="39" l="1"/>
  <c r="A30" i="39"/>
  <c r="B29" i="39"/>
  <c r="C30" i="39" l="1"/>
  <c r="A31" i="39"/>
  <c r="B30" i="39"/>
  <c r="C31" i="39" l="1"/>
  <c r="A32" i="39"/>
  <c r="B31" i="39"/>
  <c r="A33" i="39" l="1"/>
  <c r="B32" i="39"/>
  <c r="C32" i="39"/>
  <c r="C33" i="39" l="1"/>
  <c r="A34" i="39"/>
  <c r="B33" i="39"/>
  <c r="A35" i="39" l="1"/>
  <c r="B34" i="39"/>
  <c r="C34" i="39"/>
  <c r="C35" i="39" l="1"/>
  <c r="B35" i="39"/>
  <c r="A36" i="39"/>
  <c r="C36" i="39" l="1"/>
  <c r="B36" i="39"/>
  <c r="A37" i="39"/>
  <c r="C37" i="39" l="1"/>
  <c r="A38" i="39"/>
  <c r="B37" i="39"/>
  <c r="C38" i="39" l="1"/>
  <c r="A39" i="39"/>
  <c r="B38" i="39"/>
  <c r="C39" i="39" l="1"/>
  <c r="A40" i="39"/>
  <c r="B39" i="39"/>
  <c r="A41" i="39" l="1"/>
  <c r="B40" i="39"/>
  <c r="C40" i="39"/>
  <c r="C41" i="39" l="1"/>
  <c r="B41" i="39"/>
  <c r="A42" i="39"/>
  <c r="A43" i="39" l="1"/>
  <c r="B42" i="39"/>
  <c r="C42" i="39"/>
  <c r="A44" i="39" l="1"/>
  <c r="C43" i="39"/>
  <c r="B43" i="39"/>
  <c r="C44" i="39" l="1"/>
  <c r="A45" i="39"/>
  <c r="B44" i="39"/>
  <c r="C45" i="39" l="1"/>
  <c r="A46" i="39"/>
  <c r="B45" i="39"/>
  <c r="C46" i="39" l="1"/>
  <c r="A47" i="39"/>
  <c r="B46" i="39"/>
  <c r="C47" i="39" l="1"/>
  <c r="A48" i="39"/>
  <c r="B47" i="39"/>
  <c r="A49" i="39" l="1"/>
  <c r="B48" i="39"/>
  <c r="C48" i="39"/>
  <c r="C49" i="39" l="1"/>
  <c r="A50" i="39"/>
  <c r="B49" i="39"/>
  <c r="A51" i="39" l="1"/>
  <c r="B50" i="39"/>
  <c r="C50" i="39"/>
  <c r="C51" i="39" l="1"/>
  <c r="B51" i="39"/>
  <c r="A52" i="39"/>
  <c r="C52" i="39" l="1"/>
  <c r="B52" i="39"/>
  <c r="A53" i="39"/>
  <c r="C53" i="39" l="1"/>
  <c r="A54" i="39"/>
  <c r="B53" i="39"/>
  <c r="C54" i="39" l="1"/>
  <c r="A55" i="39"/>
  <c r="B54" i="39"/>
  <c r="C55" i="39" l="1"/>
  <c r="A56" i="39"/>
  <c r="B55" i="39"/>
  <c r="A57" i="39" l="1"/>
  <c r="B56" i="39"/>
  <c r="C56" i="39"/>
  <c r="C57" i="39" l="1"/>
  <c r="A58" i="39"/>
  <c r="B57" i="39"/>
  <c r="A59" i="39" l="1"/>
  <c r="B58" i="39"/>
  <c r="C58" i="39"/>
  <c r="C59" i="39" l="1"/>
  <c r="B59" i="39"/>
  <c r="A60" i="39"/>
  <c r="C60" i="39" l="1"/>
  <c r="A61" i="39"/>
  <c r="B60" i="39"/>
  <c r="C61" i="39" l="1"/>
  <c r="A62" i="39"/>
  <c r="B61" i="39"/>
  <c r="C62" i="39" l="1"/>
  <c r="A63" i="39"/>
  <c r="B62" i="39"/>
  <c r="C63" i="39" l="1"/>
  <c r="A64" i="39"/>
  <c r="B63" i="39"/>
  <c r="A65" i="39" l="1"/>
  <c r="B64" i="39"/>
  <c r="C64" i="39"/>
  <c r="C65" i="39" l="1"/>
  <c r="B65" i="39"/>
  <c r="A66" i="39"/>
  <c r="A67" i="39" l="1"/>
  <c r="B66" i="39"/>
  <c r="C66" i="39"/>
  <c r="A68" i="39" l="1"/>
  <c r="C67" i="39"/>
  <c r="B67" i="39"/>
  <c r="C68" i="39" l="1"/>
  <c r="B68" i="39"/>
  <c r="A69" i="39"/>
  <c r="C69" i="39" l="1"/>
  <c r="A70" i="39"/>
  <c r="B69" i="39"/>
  <c r="C70" i="39" l="1"/>
  <c r="A71" i="39"/>
  <c r="B70" i="39"/>
  <c r="C71" i="39" l="1"/>
  <c r="A72" i="39"/>
  <c r="B71" i="39"/>
  <c r="B72" i="39" l="1"/>
  <c r="A73" i="39"/>
  <c r="C72" i="39"/>
  <c r="B73" i="39" l="1"/>
  <c r="A74" i="39"/>
  <c r="C73" i="39"/>
  <c r="B74" i="39" l="1"/>
  <c r="A75" i="39"/>
  <c r="C74" i="39"/>
  <c r="C75" i="39" l="1"/>
  <c r="B75" i="39"/>
  <c r="A76" i="39"/>
  <c r="A77" i="39" l="1"/>
  <c r="B76" i="39"/>
  <c r="C76" i="39"/>
  <c r="C77" i="39" l="1"/>
  <c r="B77" i="39"/>
  <c r="A78" i="39"/>
  <c r="C78" i="39" l="1"/>
  <c r="A79" i="39"/>
  <c r="B78" i="39"/>
  <c r="A80" i="39" l="1"/>
  <c r="B79" i="39"/>
  <c r="C79" i="39"/>
  <c r="C80" i="39" l="1"/>
  <c r="A81" i="39"/>
  <c r="B80" i="39"/>
  <c r="B81" i="39" l="1"/>
  <c r="A82" i="39"/>
  <c r="C81" i="39"/>
  <c r="C82" i="39" l="1"/>
  <c r="B82" i="39"/>
  <c r="A83" i="39"/>
  <c r="C83" i="39" l="1"/>
  <c r="B83" i="39"/>
  <c r="A84" i="39"/>
  <c r="A85" i="39" l="1"/>
  <c r="B84" i="39"/>
  <c r="C84" i="39"/>
  <c r="C85" i="39" l="1"/>
  <c r="B85" i="39"/>
  <c r="A86" i="39"/>
  <c r="C86" i="39" l="1"/>
  <c r="A87" i="39"/>
  <c r="B86" i="39"/>
  <c r="A88" i="39" l="1"/>
  <c r="B87" i="39"/>
  <c r="C87" i="39"/>
  <c r="C88" i="39" l="1"/>
  <c r="B88" i="39"/>
  <c r="A89" i="39"/>
  <c r="C89" i="39" l="1"/>
  <c r="B89" i="39"/>
  <c r="A90" i="39"/>
  <c r="C90" i="39" l="1"/>
  <c r="B90" i="39"/>
  <c r="A91" i="39"/>
  <c r="C91" i="39" l="1"/>
  <c r="B91" i="39"/>
  <c r="A92" i="39"/>
  <c r="A93" i="39" l="1"/>
  <c r="B92" i="39"/>
  <c r="C92" i="39"/>
  <c r="C93" i="39" l="1"/>
  <c r="A94" i="39"/>
  <c r="B93" i="39"/>
  <c r="C94" i="39" l="1"/>
  <c r="A95" i="39"/>
  <c r="B94" i="39"/>
  <c r="A96" i="39" l="1"/>
  <c r="B95" i="39"/>
  <c r="C95" i="39"/>
  <c r="C96" i="39" l="1"/>
  <c r="B96" i="39"/>
  <c r="A97" i="39"/>
  <c r="C97" i="39" l="1"/>
  <c r="B97" i="39"/>
  <c r="A98" i="39"/>
  <c r="C98" i="39" l="1"/>
  <c r="B98" i="39"/>
  <c r="A99" i="39"/>
  <c r="C99" i="39" l="1"/>
  <c r="B99" i="39"/>
  <c r="A100" i="39"/>
  <c r="A101" i="39" l="1"/>
  <c r="B100" i="39"/>
  <c r="C100" i="39"/>
  <c r="C101" i="39" l="1"/>
  <c r="A102" i="39"/>
  <c r="B101" i="39"/>
  <c r="C102" i="39" l="1"/>
  <c r="A103" i="39"/>
  <c r="B102" i="39"/>
  <c r="A104" i="39" l="1"/>
  <c r="B103" i="39"/>
  <c r="C103" i="39"/>
  <c r="C104" i="39" l="1"/>
  <c r="B104" i="39"/>
  <c r="A105" i="39"/>
  <c r="C105" i="39" l="1"/>
  <c r="B105" i="39"/>
  <c r="A106" i="39"/>
  <c r="C106" i="39" l="1"/>
  <c r="A107" i="39"/>
  <c r="B106" i="39"/>
  <c r="C107" i="39" l="1"/>
  <c r="B107" i="39"/>
  <c r="A108" i="39"/>
  <c r="A109" i="39" l="1"/>
  <c r="B108" i="39"/>
  <c r="C108" i="39"/>
  <c r="C109" i="39" l="1"/>
  <c r="B109" i="39"/>
  <c r="A110" i="39"/>
  <c r="C110" i="39" l="1"/>
  <c r="A111" i="39"/>
  <c r="B110" i="39"/>
  <c r="A112" i="39" l="1"/>
  <c r="B111" i="39"/>
  <c r="C111" i="39"/>
  <c r="C112" i="39" l="1"/>
  <c r="B112" i="39"/>
  <c r="A113" i="39"/>
  <c r="C113" i="39" l="1"/>
  <c r="B113" i="39"/>
  <c r="A114" i="39"/>
  <c r="C114" i="39" l="1"/>
  <c r="A115" i="39"/>
  <c r="B114" i="39"/>
  <c r="C115" i="39" l="1"/>
  <c r="A116" i="39"/>
  <c r="B115" i="39"/>
  <c r="A117" i="39" l="1"/>
  <c r="B116" i="39"/>
  <c r="C116" i="39"/>
  <c r="C117" i="39" l="1"/>
  <c r="B117" i="39"/>
  <c r="A118" i="39"/>
  <c r="C118" i="39" l="1"/>
  <c r="A119" i="39"/>
  <c r="B118" i="39"/>
  <c r="A120" i="39" l="1"/>
  <c r="B119" i="39"/>
  <c r="C119" i="39"/>
  <c r="C120" i="39" l="1"/>
  <c r="B120" i="39"/>
  <c r="A121" i="39"/>
  <c r="C121" i="39" l="1"/>
  <c r="A122" i="39"/>
  <c r="B121" i="39"/>
  <c r="C122" i="39" l="1"/>
  <c r="A123" i="39"/>
  <c r="B122" i="39"/>
  <c r="C123" i="39" l="1"/>
  <c r="B123" i="39"/>
  <c r="A124" i="39"/>
  <c r="A125" i="39" l="1"/>
  <c r="B124" i="39"/>
  <c r="C124" i="39"/>
  <c r="C125" i="39" l="1"/>
  <c r="A126" i="39"/>
  <c r="B125" i="39"/>
  <c r="C126" i="39" l="1"/>
  <c r="A127" i="39"/>
  <c r="B126" i="39"/>
  <c r="C127" i="39" l="1"/>
  <c r="A128" i="39"/>
  <c r="B127" i="39"/>
  <c r="C128" i="39" l="1"/>
  <c r="A129" i="39"/>
  <c r="B128" i="39"/>
  <c r="A130" i="39" l="1"/>
  <c r="B129" i="39"/>
  <c r="C129" i="39"/>
  <c r="C130" i="39" l="1"/>
  <c r="B130" i="39"/>
  <c r="A131" i="39"/>
  <c r="C131" i="39" l="1"/>
  <c r="A132" i="39"/>
  <c r="B131" i="39"/>
  <c r="A133" i="39" l="1"/>
  <c r="B132" i="39"/>
  <c r="C132" i="39"/>
  <c r="C133" i="39" l="1"/>
  <c r="B133" i="39"/>
  <c r="A134" i="39"/>
  <c r="C134" i="39" l="1"/>
  <c r="A135" i="39"/>
  <c r="B134" i="39"/>
  <c r="C135" i="39" l="1"/>
  <c r="A136" i="39"/>
  <c r="B135" i="39"/>
  <c r="C136" i="39" l="1"/>
  <c r="A137" i="39"/>
  <c r="B136" i="39"/>
  <c r="A138" i="39" l="1"/>
  <c r="B137" i="39"/>
  <c r="C137" i="39"/>
  <c r="A139" i="39" l="1"/>
  <c r="C138" i="39"/>
  <c r="B138" i="39"/>
  <c r="C139" i="39" l="1"/>
  <c r="B139" i="39"/>
  <c r="A140" i="39"/>
  <c r="A141" i="39" l="1"/>
  <c r="B140" i="39"/>
  <c r="C140" i="39"/>
  <c r="C141" i="39" l="1"/>
  <c r="A142" i="39"/>
  <c r="B141" i="39"/>
  <c r="C142" i="39" l="1"/>
  <c r="A143" i="39"/>
  <c r="B142" i="39"/>
  <c r="C143" i="39" l="1"/>
  <c r="A144" i="39"/>
  <c r="B143" i="39"/>
  <c r="C144" i="39" l="1"/>
  <c r="A145" i="39"/>
  <c r="B144" i="39"/>
  <c r="A146" i="39" l="1"/>
  <c r="B145" i="39"/>
  <c r="C145" i="39"/>
  <c r="C146" i="39" l="1"/>
  <c r="A147" i="39"/>
  <c r="B146" i="39"/>
  <c r="C147" i="39" l="1"/>
  <c r="B147" i="39"/>
  <c r="A148" i="39"/>
  <c r="A149" i="39" l="1"/>
  <c r="B148" i="39"/>
  <c r="C148" i="39"/>
  <c r="C149" i="39" l="1"/>
  <c r="B149" i="39"/>
  <c r="A150" i="39"/>
  <c r="C150" i="39" l="1"/>
  <c r="A151" i="39"/>
  <c r="B150" i="39"/>
  <c r="C151" i="39" l="1"/>
  <c r="A152" i="39"/>
  <c r="B151" i="39"/>
  <c r="C152" i="39" l="1"/>
  <c r="B152" i="39"/>
  <c r="A153" i="39"/>
  <c r="C153" i="39" l="1"/>
  <c r="A154" i="39"/>
  <c r="B153" i="39"/>
  <c r="C154" i="39" l="1"/>
  <c r="B154" i="39"/>
  <c r="A155" i="39"/>
  <c r="A156" i="39" l="1"/>
  <c r="B155" i="39"/>
  <c r="C155" i="39"/>
  <c r="C156" i="39" l="1"/>
  <c r="B156" i="39"/>
  <c r="A157" i="39"/>
  <c r="A158" i="39" l="1"/>
  <c r="B157" i="39"/>
  <c r="C157" i="39"/>
  <c r="C158" i="39" l="1"/>
  <c r="B158" i="39"/>
  <c r="A159" i="39"/>
  <c r="B159" i="39" l="1"/>
  <c r="C159" i="39"/>
  <c r="A160" i="39"/>
  <c r="B160" i="39" l="1"/>
  <c r="C160" i="39"/>
  <c r="A161" i="39"/>
  <c r="A162" i="39" l="1"/>
  <c r="B161" i="39"/>
  <c r="C161" i="39"/>
  <c r="C162" i="39" l="1"/>
  <c r="A163" i="39"/>
  <c r="B162" i="39"/>
  <c r="A164" i="39" l="1"/>
  <c r="B163" i="39"/>
  <c r="C163" i="39"/>
  <c r="C164" i="39" l="1"/>
  <c r="B164" i="39"/>
  <c r="A165" i="39"/>
  <c r="A166" i="39" l="1"/>
  <c r="B165" i="39"/>
  <c r="C165" i="39"/>
  <c r="B166" i="39" l="1"/>
  <c r="A167" i="39"/>
  <c r="C166" i="39"/>
  <c r="C167" i="39" l="1"/>
  <c r="B167" i="39"/>
  <c r="A168" i="39"/>
  <c r="C168" i="39" l="1"/>
  <c r="B168" i="39"/>
  <c r="A169" i="39"/>
  <c r="A170" i="39" l="1"/>
  <c r="B169" i="39"/>
  <c r="C169" i="39"/>
  <c r="C170" i="39" l="1"/>
  <c r="B170" i="39"/>
  <c r="A171" i="39"/>
  <c r="A172" i="39" l="1"/>
  <c r="B171" i="39"/>
  <c r="C171" i="39"/>
  <c r="C172" i="39" l="1"/>
  <c r="A173" i="39"/>
  <c r="B172" i="39"/>
  <c r="A174" i="39" l="1"/>
  <c r="B173" i="39"/>
  <c r="C173" i="39"/>
  <c r="C174" i="39" l="1"/>
  <c r="B174" i="39"/>
  <c r="A175" i="39"/>
  <c r="C175" i="39" l="1"/>
  <c r="B175" i="39"/>
  <c r="A176" i="39"/>
  <c r="C176" i="39" l="1"/>
  <c r="A177" i="39"/>
  <c r="B176" i="39"/>
  <c r="A178" i="39" l="1"/>
  <c r="B177" i="39"/>
  <c r="C177" i="39"/>
  <c r="C178" i="39" l="1"/>
  <c r="A179" i="39"/>
  <c r="B178" i="39"/>
  <c r="A180" i="39" l="1"/>
  <c r="B179" i="39"/>
  <c r="C179" i="39"/>
  <c r="C180" i="39" l="1"/>
  <c r="B180" i="39"/>
  <c r="A181" i="39"/>
  <c r="A182" i="39" l="1"/>
  <c r="B181" i="39"/>
  <c r="C181" i="39"/>
  <c r="B182" i="39" l="1"/>
  <c r="A183" i="39"/>
  <c r="C182" i="39"/>
  <c r="C183" i="39" l="1"/>
  <c r="B183" i="39"/>
  <c r="A184" i="39"/>
  <c r="C184" i="39" l="1"/>
  <c r="A185" i="39"/>
  <c r="B184" i="39"/>
  <c r="C185" i="39" l="1"/>
  <c r="A186" i="39"/>
  <c r="B185" i="39"/>
  <c r="C186" i="39" l="1"/>
  <c r="A187" i="39"/>
  <c r="B186" i="39"/>
  <c r="A188" i="39" l="1"/>
  <c r="B187" i="39"/>
  <c r="C187" i="39"/>
  <c r="C188" i="39" l="1"/>
  <c r="A189" i="39"/>
  <c r="B188" i="39"/>
  <c r="A190" i="39" l="1"/>
  <c r="B189" i="39"/>
  <c r="C189" i="39"/>
  <c r="C190" i="39" l="1"/>
  <c r="B190" i="39"/>
  <c r="A191" i="39"/>
  <c r="C191" i="39" l="1"/>
  <c r="B191" i="39"/>
  <c r="A192" i="39"/>
  <c r="C192" i="39" l="1"/>
  <c r="A193" i="39"/>
  <c r="B192" i="39"/>
  <c r="C193" i="39" l="1"/>
  <c r="A194" i="39"/>
  <c r="B193" i="39"/>
  <c r="C194" i="39" l="1"/>
  <c r="A195" i="39"/>
  <c r="B194" i="39"/>
  <c r="A196" i="39" l="1"/>
  <c r="B195" i="39"/>
  <c r="C195" i="39"/>
  <c r="C196" i="39" l="1"/>
  <c r="B196" i="39"/>
  <c r="A197" i="39"/>
  <c r="A198" i="39" l="1"/>
  <c r="B197" i="39"/>
  <c r="C197" i="39"/>
  <c r="A199" i="39" l="1"/>
  <c r="C198" i="39"/>
  <c r="B198" i="39"/>
  <c r="C199" i="39" l="1"/>
  <c r="A200" i="39"/>
  <c r="B199" i="39"/>
  <c r="C200" i="39" l="1"/>
  <c r="A201" i="39"/>
  <c r="B200" i="39"/>
  <c r="C201" i="39" l="1"/>
  <c r="A202" i="39"/>
  <c r="B201" i="39"/>
  <c r="C202" i="39" l="1"/>
  <c r="A203" i="39"/>
  <c r="B202" i="39"/>
  <c r="A204" i="39" l="1"/>
  <c r="B203" i="39"/>
  <c r="C203" i="39"/>
  <c r="C204" i="39" l="1"/>
  <c r="B204" i="39"/>
  <c r="A205" i="39"/>
  <c r="A206" i="39" l="1"/>
  <c r="B205" i="39"/>
  <c r="C205" i="39"/>
  <c r="C206" i="39" l="1"/>
  <c r="B206" i="39"/>
  <c r="A207" i="39"/>
  <c r="C207" i="39" l="1"/>
  <c r="B207" i="39"/>
  <c r="A208" i="39"/>
  <c r="C208" i="39" l="1"/>
  <c r="A209" i="39"/>
  <c r="B208" i="39"/>
  <c r="C209" i="39" l="1"/>
  <c r="A210" i="39"/>
  <c r="B209" i="39"/>
  <c r="C210" i="39" l="1"/>
  <c r="A211" i="39"/>
  <c r="B210" i="39"/>
  <c r="A212" i="39" l="1"/>
  <c r="B211" i="39"/>
  <c r="C211" i="39"/>
  <c r="C212" i="39" l="1"/>
  <c r="A213" i="39"/>
  <c r="B212" i="39"/>
  <c r="A214" i="39" l="1"/>
  <c r="B213" i="39"/>
  <c r="C213" i="39"/>
  <c r="C214" i="39" l="1"/>
  <c r="B214" i="39"/>
  <c r="A215" i="39"/>
  <c r="C215" i="39" l="1"/>
  <c r="B215" i="39"/>
  <c r="A216" i="39"/>
  <c r="C216" i="39" l="1"/>
  <c r="A217" i="39"/>
  <c r="B216" i="39"/>
  <c r="C217" i="39" l="1"/>
  <c r="A218" i="39"/>
  <c r="B217" i="39"/>
  <c r="C218" i="39" l="1"/>
  <c r="A219" i="39"/>
  <c r="B218" i="39"/>
  <c r="A220" i="39" l="1"/>
  <c r="B219" i="39"/>
  <c r="C219" i="39"/>
  <c r="C220" i="39" l="1"/>
  <c r="B220" i="39"/>
  <c r="A221" i="39"/>
  <c r="A222" i="39" l="1"/>
  <c r="B221" i="39"/>
  <c r="C221" i="39"/>
  <c r="A223" i="39" l="1"/>
  <c r="C222" i="39"/>
  <c r="B222" i="39"/>
  <c r="C223" i="39" l="1"/>
  <c r="B223" i="39"/>
  <c r="A224" i="39"/>
  <c r="C224" i="39" l="1"/>
  <c r="A225" i="39"/>
  <c r="B224" i="39"/>
  <c r="C225" i="39" l="1"/>
  <c r="A226" i="39"/>
  <c r="B225" i="39"/>
  <c r="C226" i="39" l="1"/>
  <c r="A227" i="39"/>
  <c r="B226" i="39"/>
  <c r="A228" i="39" l="1"/>
  <c r="B227" i="39"/>
  <c r="C227" i="39"/>
  <c r="C228" i="39" l="1"/>
  <c r="A229" i="39"/>
  <c r="B228" i="39"/>
  <c r="A230" i="39" l="1"/>
  <c r="B229" i="39"/>
  <c r="C229" i="39"/>
  <c r="C230" i="39" l="1"/>
  <c r="B230" i="39"/>
  <c r="A231" i="39"/>
  <c r="C231" i="39" l="1"/>
  <c r="B231" i="39"/>
  <c r="A232" i="39"/>
  <c r="C232" i="39" l="1"/>
  <c r="A233" i="39"/>
  <c r="B232" i="39"/>
  <c r="C233" i="39" l="1"/>
  <c r="A234" i="39"/>
  <c r="B233" i="39"/>
  <c r="C234" i="39" l="1"/>
  <c r="A235" i="39"/>
  <c r="B234" i="39"/>
  <c r="A236" i="39" l="1"/>
  <c r="B235" i="39"/>
  <c r="C235" i="39"/>
  <c r="C236" i="39" l="1"/>
  <c r="A237" i="39"/>
  <c r="B236" i="39"/>
  <c r="A238" i="39" l="1"/>
  <c r="B237" i="39"/>
  <c r="C237" i="39"/>
  <c r="B238" i="39" l="1"/>
  <c r="C238" i="39"/>
  <c r="A239" i="39"/>
  <c r="C239" i="39" l="1"/>
  <c r="A240" i="39"/>
  <c r="B239" i="39"/>
  <c r="C240" i="39" l="1"/>
  <c r="A241" i="39"/>
  <c r="B240" i="39"/>
  <c r="C241" i="39" l="1"/>
  <c r="A242" i="39"/>
  <c r="B241" i="39"/>
  <c r="C242" i="39" l="1"/>
  <c r="A243" i="39"/>
  <c r="B242" i="39"/>
  <c r="A244" i="39" l="1"/>
  <c r="B243" i="39"/>
  <c r="C243" i="39"/>
  <c r="C244" i="39" l="1"/>
  <c r="B244" i="39"/>
  <c r="A245" i="39"/>
  <c r="A246" i="39" l="1"/>
  <c r="B245" i="39"/>
  <c r="C245" i="39"/>
  <c r="B246" i="39" l="1"/>
  <c r="A247" i="39"/>
  <c r="C246" i="39"/>
  <c r="C247" i="39" l="1"/>
  <c r="B247" i="39"/>
  <c r="A248" i="39"/>
  <c r="C248" i="39" l="1"/>
  <c r="A249" i="39"/>
  <c r="B248" i="39"/>
  <c r="C249" i="39" l="1"/>
  <c r="A250" i="39"/>
  <c r="B249" i="39"/>
  <c r="C250" i="39" l="1"/>
  <c r="A251" i="39"/>
  <c r="B250" i="39"/>
  <c r="A252" i="39" l="1"/>
  <c r="B251" i="39"/>
  <c r="C251" i="39"/>
  <c r="C252" i="39" l="1"/>
  <c r="A253" i="39"/>
  <c r="B252" i="39"/>
  <c r="A254" i="39" l="1"/>
  <c r="B253" i="39"/>
  <c r="C253" i="39"/>
  <c r="C254" i="39" l="1"/>
  <c r="A255" i="39"/>
  <c r="B254" i="39"/>
  <c r="C255" i="39" l="1"/>
  <c r="A256" i="39"/>
  <c r="B255" i="39"/>
  <c r="C256" i="39" l="1"/>
  <c r="A257" i="39"/>
  <c r="B256" i="39"/>
  <c r="C257" i="39" l="1"/>
  <c r="A258" i="39"/>
  <c r="B257" i="39"/>
  <c r="A259" i="39" l="1"/>
  <c r="B258" i="39"/>
  <c r="C258" i="39"/>
  <c r="C259" i="39" l="1"/>
  <c r="B259" i="39"/>
  <c r="A260" i="39"/>
  <c r="C260" i="39" l="1"/>
  <c r="A261" i="39"/>
  <c r="B260" i="39"/>
  <c r="A262" i="39" l="1"/>
  <c r="B261" i="39"/>
  <c r="C261" i="39"/>
  <c r="C262" i="39" l="1"/>
  <c r="B262" i="39"/>
  <c r="A263" i="39"/>
  <c r="C263" i="39" l="1"/>
  <c r="A264" i="39"/>
  <c r="B263" i="39"/>
  <c r="C264" i="39" l="1"/>
  <c r="A265" i="39"/>
  <c r="B264" i="39"/>
  <c r="C265" i="39" l="1"/>
  <c r="A266" i="39"/>
  <c r="B265" i="39"/>
  <c r="A267" i="39" l="1"/>
  <c r="B266" i="39"/>
  <c r="C266" i="39"/>
  <c r="A268" i="39" l="1"/>
  <c r="C267" i="39"/>
  <c r="B267" i="39"/>
  <c r="C268" i="39" l="1"/>
  <c r="A269" i="39"/>
  <c r="B268" i="39"/>
  <c r="A270" i="39" l="1"/>
  <c r="B269" i="39"/>
  <c r="C269" i="39"/>
  <c r="C270" i="39" l="1"/>
  <c r="B270" i="39"/>
  <c r="A271" i="39"/>
  <c r="C271" i="39" l="1"/>
  <c r="A272" i="39"/>
  <c r="B271" i="39"/>
  <c r="C272" i="39" l="1"/>
  <c r="A273" i="39"/>
  <c r="B272" i="39"/>
  <c r="C273" i="39" l="1"/>
  <c r="A274" i="39"/>
  <c r="B273" i="39"/>
  <c r="C274" i="39" l="1"/>
  <c r="A275" i="39"/>
  <c r="B274" i="39"/>
  <c r="C275" i="39" l="1"/>
  <c r="A276" i="39"/>
  <c r="B275" i="39"/>
  <c r="C276" i="39" l="1"/>
  <c r="A277" i="39"/>
  <c r="B276" i="39"/>
  <c r="A278" i="39" l="1"/>
  <c r="B277" i="39"/>
  <c r="C277" i="39"/>
  <c r="C278" i="39" l="1"/>
  <c r="B278" i="39"/>
  <c r="A279" i="39"/>
  <c r="C279" i="39" l="1"/>
  <c r="A280" i="39"/>
  <c r="B279" i="39"/>
  <c r="C280" i="39" l="1"/>
  <c r="A281" i="39"/>
  <c r="B280" i="39"/>
  <c r="C281" i="39" l="1"/>
  <c r="A282" i="39"/>
  <c r="B281" i="39"/>
  <c r="C282" i="39" l="1"/>
  <c r="A283" i="39"/>
  <c r="B282" i="39"/>
  <c r="C283" i="39" l="1"/>
  <c r="A284" i="39"/>
  <c r="B283" i="39"/>
  <c r="C284" i="39" l="1"/>
  <c r="A285" i="39"/>
  <c r="B284" i="39"/>
  <c r="A286" i="39" l="1"/>
  <c r="B285" i="39"/>
  <c r="C285" i="39"/>
  <c r="C286" i="39" l="1"/>
  <c r="B286" i="39"/>
  <c r="A287" i="39"/>
  <c r="C287" i="39" l="1"/>
  <c r="A288" i="39"/>
  <c r="B287" i="39"/>
  <c r="C288" i="39" l="1"/>
  <c r="A289" i="39"/>
  <c r="B288" i="39"/>
  <c r="C289" i="39" l="1"/>
  <c r="A290" i="39"/>
  <c r="B289" i="39"/>
  <c r="C290" i="39" l="1"/>
  <c r="A291" i="39"/>
  <c r="B290" i="39"/>
  <c r="C291" i="39" l="1"/>
  <c r="A292" i="39"/>
  <c r="B291" i="39"/>
  <c r="C292" i="39" l="1"/>
  <c r="A293" i="39"/>
  <c r="B292" i="39"/>
  <c r="A294" i="39" l="1"/>
  <c r="B293" i="39"/>
  <c r="C293" i="39"/>
  <c r="C294" i="39" l="1"/>
  <c r="A295" i="39"/>
  <c r="B294" i="39"/>
  <c r="C295" i="39" l="1"/>
  <c r="A296" i="39"/>
  <c r="B295" i="39"/>
  <c r="C296" i="39" l="1"/>
  <c r="A297" i="39"/>
  <c r="B296" i="39"/>
  <c r="C297" i="39" l="1"/>
  <c r="A298" i="39"/>
  <c r="B297" i="39"/>
  <c r="C298" i="39" l="1"/>
  <c r="A299" i="39"/>
  <c r="B298" i="39"/>
  <c r="C299" i="39" l="1"/>
  <c r="A300" i="39"/>
  <c r="B299" i="39"/>
  <c r="C300" i="39" l="1"/>
  <c r="A301" i="39"/>
  <c r="B300" i="39"/>
  <c r="A302" i="39" l="1"/>
  <c r="B301" i="39"/>
  <c r="C301" i="39"/>
  <c r="C302" i="39" l="1"/>
  <c r="B302" i="39"/>
  <c r="A303" i="39"/>
  <c r="C303" i="39" l="1"/>
  <c r="A304" i="39"/>
  <c r="B303" i="39"/>
  <c r="C304" i="39" l="1"/>
  <c r="A305" i="39"/>
  <c r="B304" i="39"/>
  <c r="C305" i="39" l="1"/>
  <c r="A306" i="39"/>
  <c r="B305" i="39"/>
  <c r="C306" i="39" l="1"/>
  <c r="A307" i="39"/>
  <c r="B306" i="39"/>
  <c r="C307" i="39" l="1"/>
  <c r="A308" i="39"/>
  <c r="B307" i="39"/>
  <c r="C308" i="39" l="1"/>
  <c r="A309" i="39"/>
  <c r="B308" i="39"/>
  <c r="A310" i="39" l="1"/>
  <c r="B309" i="39"/>
  <c r="C309" i="39"/>
  <c r="C310" i="39" l="1"/>
  <c r="A311" i="39"/>
  <c r="B310" i="39"/>
  <c r="C311" i="39" l="1"/>
  <c r="A312" i="39"/>
  <c r="B311" i="39"/>
  <c r="C312" i="39" l="1"/>
  <c r="A313" i="39"/>
  <c r="B312" i="39"/>
  <c r="C313" i="39" l="1"/>
  <c r="A314" i="39"/>
  <c r="B313" i="39"/>
  <c r="C314" i="39" l="1"/>
  <c r="A315" i="39"/>
  <c r="B314" i="39"/>
  <c r="C315" i="39" l="1"/>
  <c r="A316" i="39"/>
  <c r="B315" i="39"/>
  <c r="C316" i="39" l="1"/>
  <c r="A317" i="39"/>
  <c r="B316" i="39"/>
  <c r="A318" i="39" l="1"/>
  <c r="B317" i="39"/>
  <c r="C317" i="39"/>
  <c r="C318" i="39" l="1"/>
  <c r="B318" i="39"/>
  <c r="A319" i="39"/>
  <c r="C319" i="39" l="1"/>
  <c r="A320" i="39"/>
  <c r="B319" i="39"/>
  <c r="C320" i="39" l="1"/>
  <c r="A321" i="39"/>
  <c r="B320" i="39"/>
  <c r="C321" i="39" l="1"/>
  <c r="A322" i="39"/>
  <c r="B321" i="39"/>
  <c r="C322" i="39" l="1"/>
  <c r="A323" i="39"/>
  <c r="B322" i="39"/>
  <c r="C323" i="39" l="1"/>
  <c r="A324" i="39"/>
  <c r="B323" i="39"/>
  <c r="C324" i="39" l="1"/>
  <c r="A325" i="39"/>
  <c r="B324" i="39"/>
  <c r="A326" i="39" l="1"/>
  <c r="B325" i="39"/>
  <c r="C325" i="39"/>
  <c r="C326" i="39" l="1"/>
  <c r="B326" i="39"/>
  <c r="A327" i="39"/>
  <c r="C327" i="39" l="1"/>
  <c r="A328" i="39"/>
  <c r="B327" i="39"/>
  <c r="C328" i="39" l="1"/>
  <c r="A329" i="39"/>
  <c r="B328" i="39"/>
  <c r="C329" i="39" l="1"/>
  <c r="A330" i="39"/>
  <c r="B329" i="39"/>
  <c r="C330" i="39" l="1"/>
  <c r="A331" i="39"/>
  <c r="B330" i="39"/>
  <c r="C331" i="39" l="1"/>
  <c r="A332" i="39"/>
  <c r="B331" i="39"/>
  <c r="C332" i="39" l="1"/>
  <c r="A333" i="39"/>
  <c r="B332" i="39"/>
  <c r="A334" i="39" l="1"/>
  <c r="B333" i="39"/>
  <c r="C333" i="39"/>
  <c r="C334" i="39" l="1"/>
  <c r="B334" i="39"/>
  <c r="A335" i="39"/>
  <c r="C335" i="39" l="1"/>
  <c r="A336" i="39"/>
  <c r="B335" i="39"/>
  <c r="C336" i="39" l="1"/>
  <c r="A337" i="39"/>
  <c r="B336" i="39"/>
  <c r="C337" i="39" l="1"/>
  <c r="A338" i="39"/>
  <c r="B337" i="39"/>
  <c r="C338" i="39" l="1"/>
  <c r="A339" i="39"/>
  <c r="B338" i="39"/>
  <c r="C339" i="39" l="1"/>
  <c r="A340" i="39"/>
  <c r="B339" i="39"/>
  <c r="C340" i="39" l="1"/>
  <c r="A341" i="39"/>
  <c r="B340" i="39"/>
  <c r="A342" i="39" l="1"/>
  <c r="B341" i="39"/>
  <c r="C341" i="39"/>
  <c r="C342" i="39" l="1"/>
  <c r="B342" i="39"/>
  <c r="A343" i="39"/>
  <c r="C343" i="39" l="1"/>
  <c r="A344" i="39"/>
  <c r="B343" i="39"/>
  <c r="C344" i="39" l="1"/>
  <c r="A345" i="39"/>
  <c r="B344" i="39"/>
  <c r="C345" i="39" l="1"/>
  <c r="A346" i="39"/>
  <c r="B345" i="39"/>
  <c r="C346" i="39" l="1"/>
  <c r="A347" i="39"/>
  <c r="B346" i="39"/>
  <c r="C347" i="39" l="1"/>
  <c r="A348" i="39"/>
  <c r="B347" i="39"/>
  <c r="C348" i="39" l="1"/>
  <c r="A349" i="39"/>
  <c r="B348" i="39"/>
  <c r="A350" i="39" l="1"/>
  <c r="B349" i="39"/>
  <c r="C349" i="39"/>
  <c r="C350" i="39" l="1"/>
  <c r="B350" i="39"/>
  <c r="A351" i="39"/>
  <c r="C351" i="39" l="1"/>
  <c r="A352" i="39"/>
  <c r="B351" i="39"/>
  <c r="C352" i="39" l="1"/>
  <c r="A353" i="39"/>
  <c r="B352" i="39"/>
  <c r="C353" i="39" l="1"/>
  <c r="A354" i="39"/>
  <c r="B353" i="39"/>
  <c r="C354" i="39" l="1"/>
  <c r="A355" i="39"/>
  <c r="B354" i="39"/>
  <c r="C355" i="39" l="1"/>
  <c r="A356" i="39"/>
  <c r="B355" i="39"/>
  <c r="C356" i="39" l="1"/>
  <c r="A357" i="39"/>
  <c r="B356" i="39"/>
  <c r="A358" i="39" l="1"/>
  <c r="B357" i="39"/>
  <c r="C357" i="39"/>
  <c r="C358" i="39" l="1"/>
  <c r="B358" i="39"/>
  <c r="A359" i="39"/>
  <c r="C359" i="39" l="1"/>
  <c r="A360" i="39"/>
  <c r="B359" i="39"/>
  <c r="C360" i="39" l="1"/>
  <c r="A361" i="39"/>
  <c r="B360" i="39"/>
  <c r="C361" i="39" l="1"/>
  <c r="A362" i="39"/>
  <c r="B361" i="39"/>
  <c r="C362" i="39" l="1"/>
  <c r="A363" i="39"/>
  <c r="B362" i="39"/>
  <c r="C363" i="39" l="1"/>
  <c r="A364" i="39"/>
  <c r="B363" i="39"/>
  <c r="C364" i="39" l="1"/>
  <c r="A365" i="39"/>
  <c r="B364" i="39"/>
  <c r="A366" i="39" l="1"/>
  <c r="B365" i="39"/>
  <c r="C365" i="39"/>
  <c r="C366" i="39" l="1"/>
  <c r="B366" i="39"/>
  <c r="R370" i="38" l="1"/>
  <c r="Q370" i="38"/>
  <c r="P370" i="38"/>
  <c r="O370" i="38"/>
  <c r="O366" i="38"/>
  <c r="P366" i="38" s="1"/>
  <c r="Q366" i="38"/>
  <c r="R360" i="38"/>
  <c r="R361" i="38" s="1"/>
  <c r="Q360" i="38"/>
  <c r="P360" i="38"/>
  <c r="R47" i="38"/>
  <c r="R273" i="38" s="1"/>
  <c r="Q47" i="38"/>
  <c r="Q273" i="38" s="1"/>
  <c r="P47" i="38"/>
  <c r="P273" i="38" s="1"/>
  <c r="O47" i="38"/>
  <c r="O273" i="38" s="1"/>
  <c r="O40" i="38"/>
  <c r="O41" i="38"/>
  <c r="O42" i="38"/>
  <c r="O39" i="38"/>
  <c r="O36" i="38"/>
  <c r="O37" i="38"/>
  <c r="O38" i="38"/>
  <c r="O35" i="38"/>
  <c r="O32" i="38"/>
  <c r="P32" i="38" s="1"/>
  <c r="O33" i="38"/>
  <c r="Q33" i="38" s="1"/>
  <c r="P33" i="38"/>
  <c r="O34" i="38"/>
  <c r="Q34" i="38" s="1"/>
  <c r="P34" i="38"/>
  <c r="P31" i="38"/>
  <c r="O31" i="38"/>
  <c r="Q31" i="38" s="1"/>
  <c r="M370" i="38"/>
  <c r="L370" i="38"/>
  <c r="K370" i="38"/>
  <c r="K375" i="38" s="1"/>
  <c r="J370" i="38"/>
  <c r="L366" i="38"/>
  <c r="M360" i="38"/>
  <c r="M361" i="38" s="1"/>
  <c r="L360" i="38"/>
  <c r="K360" i="38"/>
  <c r="J40" i="38"/>
  <c r="J41" i="38"/>
  <c r="J42" i="38"/>
  <c r="J36" i="38"/>
  <c r="J37" i="38"/>
  <c r="J38" i="38"/>
  <c r="J32" i="38"/>
  <c r="J33" i="38"/>
  <c r="J34" i="38"/>
  <c r="M375" i="38" l="1"/>
  <c r="R356" i="38"/>
  <c r="Q32" i="38"/>
  <c r="M348" i="38"/>
  <c r="R375" i="38"/>
  <c r="M356" i="38"/>
  <c r="R348" i="38"/>
  <c r="H375" i="38"/>
  <c r="G375" i="38"/>
  <c r="F375" i="38"/>
  <c r="Q361" i="38"/>
  <c r="L361" i="38"/>
  <c r="H43" i="38"/>
  <c r="G43" i="38"/>
  <c r="L34" i="38"/>
  <c r="K34" i="38"/>
  <c r="L33" i="38"/>
  <c r="K33" i="38"/>
  <c r="L32" i="38"/>
  <c r="K32" i="38"/>
  <c r="K31" i="38"/>
  <c r="P30" i="38"/>
  <c r="K30" i="38"/>
  <c r="Q29" i="38"/>
  <c r="Q28" i="38"/>
  <c r="P28" i="38"/>
  <c r="L28" i="38"/>
  <c r="Q27" i="38"/>
  <c r="L27" i="38"/>
  <c r="P26" i="38"/>
  <c r="K26" i="38"/>
  <c r="L26" i="38"/>
  <c r="Q25" i="38"/>
  <c r="P25" i="38"/>
  <c r="P24" i="38"/>
  <c r="L24" i="38"/>
  <c r="Q23" i="38"/>
  <c r="L23" i="38"/>
  <c r="P22" i="38"/>
  <c r="L22" i="38"/>
  <c r="K22" i="38"/>
  <c r="Q21" i="38"/>
  <c r="P20" i="38"/>
  <c r="L20" i="38"/>
  <c r="Q19" i="38"/>
  <c r="L19" i="38"/>
  <c r="Q18" i="38"/>
  <c r="K18" i="38"/>
  <c r="Q17" i="38"/>
  <c r="Q16" i="38"/>
  <c r="P16" i="38"/>
  <c r="L16" i="38"/>
  <c r="Q15" i="38"/>
  <c r="L15" i="38"/>
  <c r="Q14" i="38"/>
  <c r="P14" i="38"/>
  <c r="L14" i="38"/>
  <c r="K14" i="38"/>
  <c r="Q13" i="38"/>
  <c r="P13" i="38"/>
  <c r="L13" i="38"/>
  <c r="J375" i="38" l="1"/>
  <c r="L18" i="38"/>
  <c r="P21" i="38"/>
  <c r="O356" i="38"/>
  <c r="L356" i="38"/>
  <c r="L30" i="38"/>
  <c r="O361" i="38"/>
  <c r="P17" i="38"/>
  <c r="P361" i="38"/>
  <c r="P19" i="38"/>
  <c r="Q24" i="38"/>
  <c r="P29" i="38"/>
  <c r="O375" i="38"/>
  <c r="Q20" i="38"/>
  <c r="K21" i="38"/>
  <c r="L21" i="38"/>
  <c r="P27" i="38"/>
  <c r="P15" i="38"/>
  <c r="L17" i="38"/>
  <c r="K17" i="38"/>
  <c r="P23" i="38"/>
  <c r="O43" i="38"/>
  <c r="K25" i="38"/>
  <c r="L25" i="38"/>
  <c r="K29" i="38"/>
  <c r="L29" i="38"/>
  <c r="K356" i="38"/>
  <c r="P375" i="38"/>
  <c r="L375" i="38"/>
  <c r="P18" i="38"/>
  <c r="Q375" i="38"/>
  <c r="K16" i="38"/>
  <c r="Q22" i="38"/>
  <c r="K24" i="38"/>
  <c r="Q26" i="38"/>
  <c r="K28" i="38"/>
  <c r="Q30" i="38"/>
  <c r="K19" i="38"/>
  <c r="K23" i="38"/>
  <c r="K27" i="38"/>
  <c r="Q356" i="38"/>
  <c r="P356" i="38"/>
  <c r="K15" i="38"/>
  <c r="O348" i="38"/>
  <c r="P379" i="38"/>
  <c r="P420" i="38" s="1"/>
  <c r="K361" i="38"/>
  <c r="Q43" i="38" l="1"/>
  <c r="L43" i="38"/>
  <c r="K43" i="38"/>
  <c r="P43" i="38"/>
  <c r="P348" i="38"/>
  <c r="L348" i="38"/>
  <c r="Q348" i="38"/>
  <c r="P423" i="38" l="1"/>
  <c r="P425" i="38" s="1"/>
  <c r="P426" i="38" s="1"/>
  <c r="AV412" i="7" l="1"/>
  <c r="AW412" i="7" s="1"/>
  <c r="I11" i="21"/>
  <c r="D9" i="21"/>
  <c r="K34" i="21"/>
  <c r="K35" i="21"/>
  <c r="K36" i="21"/>
  <c r="K37" i="21"/>
  <c r="K38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D13" i="21" l="1"/>
  <c r="E4" i="22"/>
  <c r="F4" i="22" s="1"/>
  <c r="G4" i="22" s="1"/>
  <c r="H4" i="22" s="1"/>
  <c r="E51" i="3" l="1"/>
  <c r="D18" i="17" l="1"/>
  <c r="F241" i="31" l="1"/>
  <c r="G241" i="31"/>
  <c r="H241" i="31"/>
  <c r="I241" i="31"/>
  <c r="E241" i="31"/>
  <c r="AQ126" i="1"/>
  <c r="AQ127" i="1"/>
  <c r="P126" i="1"/>
  <c r="P127" i="1"/>
  <c r="AR4" i="33"/>
  <c r="AS4" i="33"/>
  <c r="AR5" i="33"/>
  <c r="AS5" i="33"/>
  <c r="AR6" i="33"/>
  <c r="AS6" i="33"/>
  <c r="AR7" i="33"/>
  <c r="AR9" i="33" s="1"/>
  <c r="AS7" i="33"/>
  <c r="AR8" i="33"/>
  <c r="AS8" i="33"/>
  <c r="AR10" i="33"/>
  <c r="AS10" i="33"/>
  <c r="AR11" i="33"/>
  <c r="AS11" i="33"/>
  <c r="AR12" i="33"/>
  <c r="AS12" i="33"/>
  <c r="AR13" i="33"/>
  <c r="AS13" i="33"/>
  <c r="AR14" i="33"/>
  <c r="AS14" i="33"/>
  <c r="AR15" i="33"/>
  <c r="AS15" i="33"/>
  <c r="AR18" i="33"/>
  <c r="AS18" i="33"/>
  <c r="AR19" i="33"/>
  <c r="AS19" i="33"/>
  <c r="AS20" i="33" s="1"/>
  <c r="AR21" i="33"/>
  <c r="AS21" i="33"/>
  <c r="AR22" i="33"/>
  <c r="AS22" i="33"/>
  <c r="AS24" i="33" s="1"/>
  <c r="AR23" i="33"/>
  <c r="AS23" i="33"/>
  <c r="AR26" i="33"/>
  <c r="AS26" i="33"/>
  <c r="AR27" i="33"/>
  <c r="AS27" i="33"/>
  <c r="AR28" i="33"/>
  <c r="AS28" i="33"/>
  <c r="AR29" i="33"/>
  <c r="AS29" i="33"/>
  <c r="AR30" i="33"/>
  <c r="AS30" i="33"/>
  <c r="AR31" i="33"/>
  <c r="AS31" i="33"/>
  <c r="AR32" i="33"/>
  <c r="AS32" i="33"/>
  <c r="AR33" i="33"/>
  <c r="AS33" i="33"/>
  <c r="AR34" i="33"/>
  <c r="AS34" i="33"/>
  <c r="AR35" i="33"/>
  <c r="AS35" i="33"/>
  <c r="AR36" i="33"/>
  <c r="AS36" i="33"/>
  <c r="AR38" i="33"/>
  <c r="AS38" i="33"/>
  <c r="AR39" i="33"/>
  <c r="AS39" i="33"/>
  <c r="AR40" i="33"/>
  <c r="AS40" i="33"/>
  <c r="AR41" i="33"/>
  <c r="AS41" i="33"/>
  <c r="AR42" i="33"/>
  <c r="AS42" i="33"/>
  <c r="AR43" i="33"/>
  <c r="AS43" i="33"/>
  <c r="AR44" i="33"/>
  <c r="AS44" i="33"/>
  <c r="AR45" i="33"/>
  <c r="AS45" i="33"/>
  <c r="AS46" i="33"/>
  <c r="AR48" i="33"/>
  <c r="AS48" i="33"/>
  <c r="AR49" i="33"/>
  <c r="AS49" i="33"/>
  <c r="AR50" i="33"/>
  <c r="AS50" i="33"/>
  <c r="AR51" i="33"/>
  <c r="AS51" i="33"/>
  <c r="AR52" i="33"/>
  <c r="AS52" i="33"/>
  <c r="AR53" i="33"/>
  <c r="AS53" i="33"/>
  <c r="AR54" i="33"/>
  <c r="AS54" i="33"/>
  <c r="AR55" i="33"/>
  <c r="AS55" i="33"/>
  <c r="AR56" i="33"/>
  <c r="AS56" i="33"/>
  <c r="AR57" i="33"/>
  <c r="AS57" i="33"/>
  <c r="AR58" i="33"/>
  <c r="AS58" i="33"/>
  <c r="AR60" i="33"/>
  <c r="AS60" i="33"/>
  <c r="AR61" i="33"/>
  <c r="AS61" i="33"/>
  <c r="AR62" i="33"/>
  <c r="AS62" i="33"/>
  <c r="AR63" i="33"/>
  <c r="AS63" i="33"/>
  <c r="AR64" i="33"/>
  <c r="AS64" i="33"/>
  <c r="AR65" i="33"/>
  <c r="AS65" i="33"/>
  <c r="AR66" i="33"/>
  <c r="AS66" i="33"/>
  <c r="AR67" i="33"/>
  <c r="AS67" i="33"/>
  <c r="AR68" i="33"/>
  <c r="AS68" i="33"/>
  <c r="AR71" i="33"/>
  <c r="AS71" i="33"/>
  <c r="AR72" i="33"/>
  <c r="AS72" i="33"/>
  <c r="AR73" i="33"/>
  <c r="AS73" i="33"/>
  <c r="AR74" i="33"/>
  <c r="AS74" i="33"/>
  <c r="AR75" i="33"/>
  <c r="AS75" i="33"/>
  <c r="AR77" i="33"/>
  <c r="AS77" i="33"/>
  <c r="AR78" i="33"/>
  <c r="AS78" i="33"/>
  <c r="AR79" i="33"/>
  <c r="AS79" i="33"/>
  <c r="AR80" i="33"/>
  <c r="AS80" i="33"/>
  <c r="AR82" i="33"/>
  <c r="AS82" i="33"/>
  <c r="AR83" i="33"/>
  <c r="AS83" i="33"/>
  <c r="AR84" i="33"/>
  <c r="AS84" i="33"/>
  <c r="AR85" i="33"/>
  <c r="AS85" i="33"/>
  <c r="AR89" i="33"/>
  <c r="AS89" i="33"/>
  <c r="AR90" i="33"/>
  <c r="AS90" i="33"/>
  <c r="AR91" i="33"/>
  <c r="AS91" i="33"/>
  <c r="AR92" i="33"/>
  <c r="AS92" i="33"/>
  <c r="AR93" i="33"/>
  <c r="AS93" i="33"/>
  <c r="AR94" i="33"/>
  <c r="AS94" i="33"/>
  <c r="AR95" i="33"/>
  <c r="AS95" i="33"/>
  <c r="AR96" i="33"/>
  <c r="AS96" i="33"/>
  <c r="AR97" i="33"/>
  <c r="AS97" i="33"/>
  <c r="AR98" i="33"/>
  <c r="AS98" i="33"/>
  <c r="AR99" i="33"/>
  <c r="AS99" i="33"/>
  <c r="AR100" i="33"/>
  <c r="AS100" i="33"/>
  <c r="AR139" i="33"/>
  <c r="AS139" i="33"/>
  <c r="AR140" i="33"/>
  <c r="AS140" i="33"/>
  <c r="AR141" i="33"/>
  <c r="AS141" i="33"/>
  <c r="AR142" i="33"/>
  <c r="AS142" i="33"/>
  <c r="AR143" i="33"/>
  <c r="AS143" i="33"/>
  <c r="AR144" i="33"/>
  <c r="AS144" i="33"/>
  <c r="AS149" i="33"/>
  <c r="AR151" i="33"/>
  <c r="AS151" i="33"/>
  <c r="AR152" i="33"/>
  <c r="AS152" i="33"/>
  <c r="AR159" i="33"/>
  <c r="AS159" i="33"/>
  <c r="AR160" i="33"/>
  <c r="AS160" i="33"/>
  <c r="AR161" i="33"/>
  <c r="AS161" i="33"/>
  <c r="AR232" i="33"/>
  <c r="AS232" i="33"/>
  <c r="AR233" i="33"/>
  <c r="AS233" i="33"/>
  <c r="AR234" i="33"/>
  <c r="AS234" i="33"/>
  <c r="AR239" i="33"/>
  <c r="AS239" i="33"/>
  <c r="AR241" i="33"/>
  <c r="AS241" i="33"/>
  <c r="AR242" i="33"/>
  <c r="AS242" i="33"/>
  <c r="AR243" i="33"/>
  <c r="AS243" i="33"/>
  <c r="AR244" i="33"/>
  <c r="AS244" i="33"/>
  <c r="AR245" i="33"/>
  <c r="AS245" i="33"/>
  <c r="AR246" i="33"/>
  <c r="AS246" i="33"/>
  <c r="AR247" i="33"/>
  <c r="AS247" i="33"/>
  <c r="AR248" i="33"/>
  <c r="AS248" i="33"/>
  <c r="Z4" i="33"/>
  <c r="AA4" i="33"/>
  <c r="AB4" i="33"/>
  <c r="AC4" i="33"/>
  <c r="AD4" i="33"/>
  <c r="AE4" i="33"/>
  <c r="AF4" i="33"/>
  <c r="Z5" i="33"/>
  <c r="AA5" i="33"/>
  <c r="AB5" i="33"/>
  <c r="AC5" i="33"/>
  <c r="AD5" i="33"/>
  <c r="AE5" i="33"/>
  <c r="AF5" i="33"/>
  <c r="Z6" i="33"/>
  <c r="AA6" i="33"/>
  <c r="AB6" i="33"/>
  <c r="AC6" i="33"/>
  <c r="AD6" i="33"/>
  <c r="AE6" i="33"/>
  <c r="AF6" i="33"/>
  <c r="Z7" i="33"/>
  <c r="AA7" i="33"/>
  <c r="AB7" i="33"/>
  <c r="AC7" i="33"/>
  <c r="AD7" i="33"/>
  <c r="AE7" i="33"/>
  <c r="AF7" i="33"/>
  <c r="Z8" i="33"/>
  <c r="AA8" i="33"/>
  <c r="AB8" i="33"/>
  <c r="AC8" i="33"/>
  <c r="AD8" i="33"/>
  <c r="AE8" i="33"/>
  <c r="AF8" i="33"/>
  <c r="Z10" i="33"/>
  <c r="AA10" i="33"/>
  <c r="AB10" i="33"/>
  <c r="AC10" i="33"/>
  <c r="AD10" i="33"/>
  <c r="AE10" i="33"/>
  <c r="AF10" i="33"/>
  <c r="Z11" i="33"/>
  <c r="AA11" i="33"/>
  <c r="AB11" i="33"/>
  <c r="AC11" i="33"/>
  <c r="AD11" i="33"/>
  <c r="AE11" i="33"/>
  <c r="AF11" i="33"/>
  <c r="Z12" i="33"/>
  <c r="AA12" i="33"/>
  <c r="AB12" i="33"/>
  <c r="AC12" i="33"/>
  <c r="AD12" i="33"/>
  <c r="AE12" i="33"/>
  <c r="AF12" i="33"/>
  <c r="Z13" i="33"/>
  <c r="AA13" i="33"/>
  <c r="AB13" i="33"/>
  <c r="AC13" i="33"/>
  <c r="AD13" i="33"/>
  <c r="AE13" i="33"/>
  <c r="AF13" i="33"/>
  <c r="Z14" i="33"/>
  <c r="AA14" i="33"/>
  <c r="AB14" i="33"/>
  <c r="AC14" i="33"/>
  <c r="AD14" i="33"/>
  <c r="AE14" i="33"/>
  <c r="AF14" i="33"/>
  <c r="Z15" i="33"/>
  <c r="AA15" i="33"/>
  <c r="AB15" i="33"/>
  <c r="AC15" i="33"/>
  <c r="AD15" i="33"/>
  <c r="AE15" i="33"/>
  <c r="AF15" i="33"/>
  <c r="Z18" i="33"/>
  <c r="AA18" i="33"/>
  <c r="AB18" i="33"/>
  <c r="AC18" i="33"/>
  <c r="AD18" i="33"/>
  <c r="AE18" i="33"/>
  <c r="AF18" i="33"/>
  <c r="Z19" i="33"/>
  <c r="AA19" i="33"/>
  <c r="AB19" i="33"/>
  <c r="AC19" i="33"/>
  <c r="AC20" i="33" s="1"/>
  <c r="AD19" i="33"/>
  <c r="AE19" i="33"/>
  <c r="AF19" i="33"/>
  <c r="Z21" i="33"/>
  <c r="AA21" i="33"/>
  <c r="AB21" i="33"/>
  <c r="AC21" i="33"/>
  <c r="AD21" i="33"/>
  <c r="AE21" i="33"/>
  <c r="AF21" i="33"/>
  <c r="Z22" i="33"/>
  <c r="AA22" i="33"/>
  <c r="AB22" i="33"/>
  <c r="AC22" i="33"/>
  <c r="AD22" i="33"/>
  <c r="AE22" i="33"/>
  <c r="AF22" i="33"/>
  <c r="Z23" i="33"/>
  <c r="AA23" i="33"/>
  <c r="AB23" i="33"/>
  <c r="AC23" i="33"/>
  <c r="AD23" i="33"/>
  <c r="AE23" i="33"/>
  <c r="AF23" i="33"/>
  <c r="Z26" i="33"/>
  <c r="AA26" i="33"/>
  <c r="AB26" i="33"/>
  <c r="AC26" i="33"/>
  <c r="AD26" i="33"/>
  <c r="AE26" i="33"/>
  <c r="AF26" i="33"/>
  <c r="Z27" i="33"/>
  <c r="AA27" i="33"/>
  <c r="AB27" i="33"/>
  <c r="AC27" i="33"/>
  <c r="AD27" i="33"/>
  <c r="AE27" i="33"/>
  <c r="AF27" i="33"/>
  <c r="Z28" i="33"/>
  <c r="AA28" i="33"/>
  <c r="AB28" i="33"/>
  <c r="AC28" i="33"/>
  <c r="AD28" i="33"/>
  <c r="AE28" i="33"/>
  <c r="AF28" i="33"/>
  <c r="Z29" i="33"/>
  <c r="AA29" i="33"/>
  <c r="AB29" i="33"/>
  <c r="AC29" i="33"/>
  <c r="AD29" i="33"/>
  <c r="AE29" i="33"/>
  <c r="AF29" i="33"/>
  <c r="Z30" i="33"/>
  <c r="AA30" i="33"/>
  <c r="AB30" i="33"/>
  <c r="AC30" i="33"/>
  <c r="AD30" i="33"/>
  <c r="AE30" i="33"/>
  <c r="AF30" i="33"/>
  <c r="Z31" i="33"/>
  <c r="AA31" i="33"/>
  <c r="AB31" i="33"/>
  <c r="AC31" i="33"/>
  <c r="AD31" i="33"/>
  <c r="AE31" i="33"/>
  <c r="AF31" i="33"/>
  <c r="Z32" i="33"/>
  <c r="AA32" i="33"/>
  <c r="AB32" i="33"/>
  <c r="AC32" i="33"/>
  <c r="AD32" i="33"/>
  <c r="AE32" i="33"/>
  <c r="AF32" i="33"/>
  <c r="Z33" i="33"/>
  <c r="AA33" i="33"/>
  <c r="AB33" i="33"/>
  <c r="AC33" i="33"/>
  <c r="AD33" i="33"/>
  <c r="AE33" i="33"/>
  <c r="AF33" i="33"/>
  <c r="Z34" i="33"/>
  <c r="AA34" i="33"/>
  <c r="AB34" i="33"/>
  <c r="AC34" i="33"/>
  <c r="AD34" i="33"/>
  <c r="AE34" i="33"/>
  <c r="AF34" i="33"/>
  <c r="Z35" i="33"/>
  <c r="AA35" i="33"/>
  <c r="AB35" i="33"/>
  <c r="AC35" i="33"/>
  <c r="AD35" i="33"/>
  <c r="AE35" i="33"/>
  <c r="AF35" i="33"/>
  <c r="Z36" i="33"/>
  <c r="AA36" i="33"/>
  <c r="AB36" i="33"/>
  <c r="AC36" i="33"/>
  <c r="AD36" i="33"/>
  <c r="AE36" i="33"/>
  <c r="AF36" i="33"/>
  <c r="Z38" i="33"/>
  <c r="AA38" i="33"/>
  <c r="AB38" i="33"/>
  <c r="AC38" i="33"/>
  <c r="AD38" i="33"/>
  <c r="AE38" i="33"/>
  <c r="AF38" i="33"/>
  <c r="Z39" i="33"/>
  <c r="AA39" i="33"/>
  <c r="AB39" i="33"/>
  <c r="AC39" i="33"/>
  <c r="AD39" i="33"/>
  <c r="AE39" i="33"/>
  <c r="AF39" i="33"/>
  <c r="Z40" i="33"/>
  <c r="AA40" i="33"/>
  <c r="AB40" i="33"/>
  <c r="AC40" i="33"/>
  <c r="AD40" i="33"/>
  <c r="AE40" i="33"/>
  <c r="AF40" i="33"/>
  <c r="Z41" i="33"/>
  <c r="AA41" i="33"/>
  <c r="AB41" i="33"/>
  <c r="AC41" i="33"/>
  <c r="AD41" i="33"/>
  <c r="AE41" i="33"/>
  <c r="AF41" i="33"/>
  <c r="Z42" i="33"/>
  <c r="AA42" i="33"/>
  <c r="AB42" i="33"/>
  <c r="AC42" i="33"/>
  <c r="AD42" i="33"/>
  <c r="AE42" i="33"/>
  <c r="AF42" i="33"/>
  <c r="Z43" i="33"/>
  <c r="AA43" i="33"/>
  <c r="AB43" i="33"/>
  <c r="AC43" i="33"/>
  <c r="AD43" i="33"/>
  <c r="AE43" i="33"/>
  <c r="AF43" i="33"/>
  <c r="Z44" i="33"/>
  <c r="AA44" i="33"/>
  <c r="AB44" i="33"/>
  <c r="AC44" i="33"/>
  <c r="AD44" i="33"/>
  <c r="AE44" i="33"/>
  <c r="AF44" i="33"/>
  <c r="Z45" i="33"/>
  <c r="AA45" i="33"/>
  <c r="AB45" i="33"/>
  <c r="AC45" i="33"/>
  <c r="AD45" i="33"/>
  <c r="AE45" i="33"/>
  <c r="AF45" i="33"/>
  <c r="Z48" i="33"/>
  <c r="AA48" i="33"/>
  <c r="AB48" i="33"/>
  <c r="AD48" i="33"/>
  <c r="AF48" i="33"/>
  <c r="Z49" i="33"/>
  <c r="AA49" i="33"/>
  <c r="AB49" i="33"/>
  <c r="AD49" i="33"/>
  <c r="AF49" i="33"/>
  <c r="Z50" i="33"/>
  <c r="AA50" i="33"/>
  <c r="AB50" i="33"/>
  <c r="AD50" i="33"/>
  <c r="AF50" i="33"/>
  <c r="Z51" i="33"/>
  <c r="AA51" i="33"/>
  <c r="AB51" i="33"/>
  <c r="AD51" i="33"/>
  <c r="AF51" i="33"/>
  <c r="Z52" i="33"/>
  <c r="AA52" i="33"/>
  <c r="AB52" i="33"/>
  <c r="AD52" i="33"/>
  <c r="AF52" i="33"/>
  <c r="Z53" i="33"/>
  <c r="AA53" i="33"/>
  <c r="AB53" i="33"/>
  <c r="AD53" i="33"/>
  <c r="AF53" i="33"/>
  <c r="Z54" i="33"/>
  <c r="AA54" i="33"/>
  <c r="AB54" i="33"/>
  <c r="AD54" i="33"/>
  <c r="AF54" i="33"/>
  <c r="Z55" i="33"/>
  <c r="AA55" i="33"/>
  <c r="AB55" i="33"/>
  <c r="AD55" i="33"/>
  <c r="AF55" i="33"/>
  <c r="Z56" i="33"/>
  <c r="AA56" i="33"/>
  <c r="AB56" i="33"/>
  <c r="AD56" i="33"/>
  <c r="AF56" i="33"/>
  <c r="Z57" i="33"/>
  <c r="AA57" i="33"/>
  <c r="AB57" i="33"/>
  <c r="AD57" i="33"/>
  <c r="AF57" i="33"/>
  <c r="Z58" i="33"/>
  <c r="AA58" i="33"/>
  <c r="AB58" i="33"/>
  <c r="AD58" i="33"/>
  <c r="AF58" i="33"/>
  <c r="Z60" i="33"/>
  <c r="AA60" i="33"/>
  <c r="AB60" i="33"/>
  <c r="AD60" i="33"/>
  <c r="AF60" i="33"/>
  <c r="Z61" i="33"/>
  <c r="AA61" i="33"/>
  <c r="AB61" i="33"/>
  <c r="AD61" i="33"/>
  <c r="AF61" i="33"/>
  <c r="Z62" i="33"/>
  <c r="AA62" i="33"/>
  <c r="AB62" i="33"/>
  <c r="AD62" i="33"/>
  <c r="AF62" i="33"/>
  <c r="Z63" i="33"/>
  <c r="AA63" i="33"/>
  <c r="AB63" i="33"/>
  <c r="AD63" i="33"/>
  <c r="AF63" i="33"/>
  <c r="Z64" i="33"/>
  <c r="AA64" i="33"/>
  <c r="AB64" i="33"/>
  <c r="AD64" i="33"/>
  <c r="AF64" i="33"/>
  <c r="Z65" i="33"/>
  <c r="AA65" i="33"/>
  <c r="AB65" i="33"/>
  <c r="AD65" i="33"/>
  <c r="AF65" i="33"/>
  <c r="Z66" i="33"/>
  <c r="AA66" i="33"/>
  <c r="AB66" i="33"/>
  <c r="AD66" i="33"/>
  <c r="AF66" i="33"/>
  <c r="Z67" i="33"/>
  <c r="AA67" i="33"/>
  <c r="AB67" i="33"/>
  <c r="AD67" i="33"/>
  <c r="AF67" i="33"/>
  <c r="Z68" i="33"/>
  <c r="AA68" i="33"/>
  <c r="AB68" i="33"/>
  <c r="AD68" i="33"/>
  <c r="AF68" i="33"/>
  <c r="Z71" i="33"/>
  <c r="AA71" i="33"/>
  <c r="AB71" i="33"/>
  <c r="AD71" i="33"/>
  <c r="AF71" i="33"/>
  <c r="Z72" i="33"/>
  <c r="AA72" i="33"/>
  <c r="AB72" i="33"/>
  <c r="AD72" i="33"/>
  <c r="AF72" i="33"/>
  <c r="Z73" i="33"/>
  <c r="AA73" i="33"/>
  <c r="AB73" i="33"/>
  <c r="AD73" i="33"/>
  <c r="AF73" i="33"/>
  <c r="Z74" i="33"/>
  <c r="AA74" i="33"/>
  <c r="AB74" i="33"/>
  <c r="AD74" i="33"/>
  <c r="AF74" i="33"/>
  <c r="Z75" i="33"/>
  <c r="AA75" i="33"/>
  <c r="AB75" i="33"/>
  <c r="AD75" i="33"/>
  <c r="AF75" i="33"/>
  <c r="Z77" i="33"/>
  <c r="AA77" i="33"/>
  <c r="AB77" i="33"/>
  <c r="AC77" i="33"/>
  <c r="AD77" i="33"/>
  <c r="AE77" i="33"/>
  <c r="AF77" i="33"/>
  <c r="Z78" i="33"/>
  <c r="AA78" i="33"/>
  <c r="AB78" i="33"/>
  <c r="AD78" i="33"/>
  <c r="AF78" i="33"/>
  <c r="Z79" i="33"/>
  <c r="AA79" i="33"/>
  <c r="AB79" i="33"/>
  <c r="AD79" i="33"/>
  <c r="AF79" i="33"/>
  <c r="Z80" i="33"/>
  <c r="AA80" i="33"/>
  <c r="AB80" i="33"/>
  <c r="AD80" i="33"/>
  <c r="AF80" i="33"/>
  <c r="Z82" i="33"/>
  <c r="AA82" i="33"/>
  <c r="AB82" i="33"/>
  <c r="AC82" i="33"/>
  <c r="AD82" i="33"/>
  <c r="AE82" i="33"/>
  <c r="AF82" i="33"/>
  <c r="Z83" i="33"/>
  <c r="AA83" i="33"/>
  <c r="AB83" i="33"/>
  <c r="AC83" i="33"/>
  <c r="AD83" i="33"/>
  <c r="AE83" i="33"/>
  <c r="AF83" i="33"/>
  <c r="Z84" i="33"/>
  <c r="AA84" i="33"/>
  <c r="AB84" i="33"/>
  <c r="AC84" i="33"/>
  <c r="AD84" i="33"/>
  <c r="AE84" i="33"/>
  <c r="AF84" i="33"/>
  <c r="Z85" i="33"/>
  <c r="AA85" i="33"/>
  <c r="AB85" i="33"/>
  <c r="AC85" i="33"/>
  <c r="AD85" i="33"/>
  <c r="AE85" i="33"/>
  <c r="AF85" i="33"/>
  <c r="Z89" i="33"/>
  <c r="AA89" i="33"/>
  <c r="AB89" i="33"/>
  <c r="AC89" i="33"/>
  <c r="AD89" i="33"/>
  <c r="AE89" i="33"/>
  <c r="AF89" i="33"/>
  <c r="Z90" i="33"/>
  <c r="AA90" i="33"/>
  <c r="AB90" i="33"/>
  <c r="AC90" i="33"/>
  <c r="AD90" i="33"/>
  <c r="AE90" i="33"/>
  <c r="AF90" i="33"/>
  <c r="Z91" i="33"/>
  <c r="AA91" i="33"/>
  <c r="AB91" i="33"/>
  <c r="AC91" i="33"/>
  <c r="AD91" i="33"/>
  <c r="AE91" i="33"/>
  <c r="AF91" i="33"/>
  <c r="Z92" i="33"/>
  <c r="AA92" i="33"/>
  <c r="AB92" i="33"/>
  <c r="AC92" i="33"/>
  <c r="AD92" i="33"/>
  <c r="AE92" i="33"/>
  <c r="AF92" i="33"/>
  <c r="Z93" i="33"/>
  <c r="AA93" i="33"/>
  <c r="AB93" i="33"/>
  <c r="AC93" i="33"/>
  <c r="AD93" i="33"/>
  <c r="AE93" i="33"/>
  <c r="AF93" i="33"/>
  <c r="Z94" i="33"/>
  <c r="AA94" i="33"/>
  <c r="AB94" i="33"/>
  <c r="AC94" i="33"/>
  <c r="AD94" i="33"/>
  <c r="AE94" i="33"/>
  <c r="AF94" i="33"/>
  <c r="Z95" i="33"/>
  <c r="AA95" i="33"/>
  <c r="AB95" i="33"/>
  <c r="AC95" i="33"/>
  <c r="AD95" i="33"/>
  <c r="AE95" i="33"/>
  <c r="AF95" i="33"/>
  <c r="Z96" i="33"/>
  <c r="AA96" i="33"/>
  <c r="AB96" i="33"/>
  <c r="AC96" i="33"/>
  <c r="AD96" i="33"/>
  <c r="AE96" i="33"/>
  <c r="AF96" i="33"/>
  <c r="Z97" i="33"/>
  <c r="AA97" i="33"/>
  <c r="AB97" i="33"/>
  <c r="AC97" i="33"/>
  <c r="AD97" i="33"/>
  <c r="AE97" i="33"/>
  <c r="AF97" i="33"/>
  <c r="Z98" i="33"/>
  <c r="AA98" i="33"/>
  <c r="AB98" i="33"/>
  <c r="AC98" i="33"/>
  <c r="AD98" i="33"/>
  <c r="AE98" i="33"/>
  <c r="AF98" i="33"/>
  <c r="Z99" i="33"/>
  <c r="AA99" i="33"/>
  <c r="AB99" i="33"/>
  <c r="AC99" i="33"/>
  <c r="AD99" i="33"/>
  <c r="AE99" i="33"/>
  <c r="AF99" i="33"/>
  <c r="Z100" i="33"/>
  <c r="AA100" i="33"/>
  <c r="AB100" i="33"/>
  <c r="AC100" i="33"/>
  <c r="AD100" i="33"/>
  <c r="AE100" i="33"/>
  <c r="AF100" i="33"/>
  <c r="Z105" i="33"/>
  <c r="AA105" i="33"/>
  <c r="AB105" i="33"/>
  <c r="AC105" i="33"/>
  <c r="AD105" i="33"/>
  <c r="AE105" i="33"/>
  <c r="AF105" i="33"/>
  <c r="Z106" i="33"/>
  <c r="AA106" i="33"/>
  <c r="AB106" i="33"/>
  <c r="AC106" i="33"/>
  <c r="AD106" i="33"/>
  <c r="AE106" i="33"/>
  <c r="AF106" i="33"/>
  <c r="Z107" i="33"/>
  <c r="AA107" i="33"/>
  <c r="AB107" i="33"/>
  <c r="AC107" i="33"/>
  <c r="AD107" i="33"/>
  <c r="AE107" i="33"/>
  <c r="AF107" i="33"/>
  <c r="Z108" i="33"/>
  <c r="AA108" i="33"/>
  <c r="AB108" i="33"/>
  <c r="AC108" i="33"/>
  <c r="AD108" i="33"/>
  <c r="AE108" i="33"/>
  <c r="AF108" i="33"/>
  <c r="Z109" i="33"/>
  <c r="AA109" i="33"/>
  <c r="AB109" i="33"/>
  <c r="AC109" i="33"/>
  <c r="AD109" i="33"/>
  <c r="AE109" i="33"/>
  <c r="AF109" i="33"/>
  <c r="Z110" i="33"/>
  <c r="AA110" i="33"/>
  <c r="AB110" i="33"/>
  <c r="AC110" i="33"/>
  <c r="AD110" i="33"/>
  <c r="AE110" i="33"/>
  <c r="AF110" i="33"/>
  <c r="Z111" i="33"/>
  <c r="AA111" i="33"/>
  <c r="AB111" i="33"/>
  <c r="AC111" i="33"/>
  <c r="AD111" i="33"/>
  <c r="AE111" i="33"/>
  <c r="AF111" i="33"/>
  <c r="Z112" i="33"/>
  <c r="AA112" i="33"/>
  <c r="AB112" i="33"/>
  <c r="AC112" i="33"/>
  <c r="AD112" i="33"/>
  <c r="AE112" i="33"/>
  <c r="AF112" i="33"/>
  <c r="Z114" i="33"/>
  <c r="AA114" i="33"/>
  <c r="AB114" i="33"/>
  <c r="AC114" i="33"/>
  <c r="AD114" i="33"/>
  <c r="AE114" i="33"/>
  <c r="AF114" i="33"/>
  <c r="Z115" i="33"/>
  <c r="AA115" i="33"/>
  <c r="AB115" i="33"/>
  <c r="AC115" i="33"/>
  <c r="AD115" i="33"/>
  <c r="AE115" i="33"/>
  <c r="AF115" i="33"/>
  <c r="Z116" i="33"/>
  <c r="AA116" i="33"/>
  <c r="AB116" i="33"/>
  <c r="AC116" i="33"/>
  <c r="AD116" i="33"/>
  <c r="AE116" i="33"/>
  <c r="AF116" i="33"/>
  <c r="Z117" i="33"/>
  <c r="AA117" i="33"/>
  <c r="AB117" i="33"/>
  <c r="AC117" i="33"/>
  <c r="AD117" i="33"/>
  <c r="AE117" i="33"/>
  <c r="AF117" i="33"/>
  <c r="Z118" i="33"/>
  <c r="AA118" i="33"/>
  <c r="AB118" i="33"/>
  <c r="AC118" i="33"/>
  <c r="AD118" i="33"/>
  <c r="AE118" i="33"/>
  <c r="AF118" i="33"/>
  <c r="Z119" i="33"/>
  <c r="AA119" i="33"/>
  <c r="AB119" i="33"/>
  <c r="AC119" i="33"/>
  <c r="AD119" i="33"/>
  <c r="AE119" i="33"/>
  <c r="AF119" i="33"/>
  <c r="Z120" i="33"/>
  <c r="AA120" i="33"/>
  <c r="AB120" i="33"/>
  <c r="AC120" i="33"/>
  <c r="AD120" i="33"/>
  <c r="AE120" i="33"/>
  <c r="AF120" i="33"/>
  <c r="Z121" i="33"/>
  <c r="AA121" i="33"/>
  <c r="AB121" i="33"/>
  <c r="AC121" i="33"/>
  <c r="AD121" i="33"/>
  <c r="AE121" i="33"/>
  <c r="AF121" i="33"/>
  <c r="Z122" i="33"/>
  <c r="AA122" i="33"/>
  <c r="AB122" i="33"/>
  <c r="AC122" i="33"/>
  <c r="AD122" i="33"/>
  <c r="AE122" i="33"/>
  <c r="AF122" i="33"/>
  <c r="Z123" i="33"/>
  <c r="AA123" i="33"/>
  <c r="AB123" i="33"/>
  <c r="AC123" i="33"/>
  <c r="AD123" i="33"/>
  <c r="AE123" i="33"/>
  <c r="AF123" i="33"/>
  <c r="Z124" i="33"/>
  <c r="AA124" i="33"/>
  <c r="AB124" i="33"/>
  <c r="AC124" i="33"/>
  <c r="AD124" i="33"/>
  <c r="AE124" i="33"/>
  <c r="AF124" i="33"/>
  <c r="Z125" i="33"/>
  <c r="AA125" i="33"/>
  <c r="AB125" i="33"/>
  <c r="AC125" i="33"/>
  <c r="AD125" i="33"/>
  <c r="AE125" i="33"/>
  <c r="AF125" i="33"/>
  <c r="Z126" i="33"/>
  <c r="AA126" i="33"/>
  <c r="AB126" i="33"/>
  <c r="AC126" i="33"/>
  <c r="AD126" i="33"/>
  <c r="AE126" i="33"/>
  <c r="AF126" i="33"/>
  <c r="Z128" i="33"/>
  <c r="AA128" i="33"/>
  <c r="AB128" i="33"/>
  <c r="AC128" i="33"/>
  <c r="AD128" i="33"/>
  <c r="AE128" i="33"/>
  <c r="AF128" i="33"/>
  <c r="Z129" i="33"/>
  <c r="AA129" i="33"/>
  <c r="AB129" i="33"/>
  <c r="AC129" i="33"/>
  <c r="AD129" i="33"/>
  <c r="AE129" i="33"/>
  <c r="AF129" i="33"/>
  <c r="Z130" i="33"/>
  <c r="AA130" i="33"/>
  <c r="AB130" i="33"/>
  <c r="AC130" i="33"/>
  <c r="AD130" i="33"/>
  <c r="AE130" i="33"/>
  <c r="AF130" i="33"/>
  <c r="Z131" i="33"/>
  <c r="AA131" i="33"/>
  <c r="AB131" i="33"/>
  <c r="AC131" i="33"/>
  <c r="AD131" i="33"/>
  <c r="AE131" i="33"/>
  <c r="AF131" i="33"/>
  <c r="Z132" i="33"/>
  <c r="AA132" i="33"/>
  <c r="AB132" i="33"/>
  <c r="AC132" i="33"/>
  <c r="AD132" i="33"/>
  <c r="AE132" i="33"/>
  <c r="AF132" i="33"/>
  <c r="Z133" i="33"/>
  <c r="AA133" i="33"/>
  <c r="AB133" i="33"/>
  <c r="AC133" i="33"/>
  <c r="AD133" i="33"/>
  <c r="AE133" i="33"/>
  <c r="AF133" i="33"/>
  <c r="Z134" i="33"/>
  <c r="AA134" i="33"/>
  <c r="AB134" i="33"/>
  <c r="AC134" i="33"/>
  <c r="AD134" i="33"/>
  <c r="AE134" i="33"/>
  <c r="AF134" i="33"/>
  <c r="Z135" i="33"/>
  <c r="AA135" i="33"/>
  <c r="AB135" i="33"/>
  <c r="AC135" i="33"/>
  <c r="AD135" i="33"/>
  <c r="AE135" i="33"/>
  <c r="AF135" i="33"/>
  <c r="Z136" i="33"/>
  <c r="AA136" i="33"/>
  <c r="AB136" i="33"/>
  <c r="AC136" i="33"/>
  <c r="AD136" i="33"/>
  <c r="AE136" i="33"/>
  <c r="AF136" i="33"/>
  <c r="Z137" i="33"/>
  <c r="AA137" i="33"/>
  <c r="AB137" i="33"/>
  <c r="AC137" i="33"/>
  <c r="AD137" i="33"/>
  <c r="AE137" i="33"/>
  <c r="AF137" i="33"/>
  <c r="Z139" i="33"/>
  <c r="AA139" i="33"/>
  <c r="AB139" i="33"/>
  <c r="AC139" i="33"/>
  <c r="AD139" i="33"/>
  <c r="AE139" i="33"/>
  <c r="AF139" i="33"/>
  <c r="Z140" i="33"/>
  <c r="AA140" i="33"/>
  <c r="AB140" i="33"/>
  <c r="AC140" i="33"/>
  <c r="AD140" i="33"/>
  <c r="AE140" i="33"/>
  <c r="AF140" i="33"/>
  <c r="Z141" i="33"/>
  <c r="AA141" i="33"/>
  <c r="AB141" i="33"/>
  <c r="AC141" i="33"/>
  <c r="AD141" i="33"/>
  <c r="AE141" i="33"/>
  <c r="AF141" i="33"/>
  <c r="Z142" i="33"/>
  <c r="AA142" i="33"/>
  <c r="AB142" i="33"/>
  <c r="AC142" i="33"/>
  <c r="AD142" i="33"/>
  <c r="AE142" i="33"/>
  <c r="AF142" i="33"/>
  <c r="Z143" i="33"/>
  <c r="AA143" i="33"/>
  <c r="AB143" i="33"/>
  <c r="AC143" i="33"/>
  <c r="AD143" i="33"/>
  <c r="AE143" i="33"/>
  <c r="AF143" i="33"/>
  <c r="Z144" i="33"/>
  <c r="AA144" i="33"/>
  <c r="AB144" i="33"/>
  <c r="AC144" i="33"/>
  <c r="AD144" i="33"/>
  <c r="AE144" i="33"/>
  <c r="AF144" i="33"/>
  <c r="Z149" i="33"/>
  <c r="AA149" i="33"/>
  <c r="AB149" i="33"/>
  <c r="AD149" i="33"/>
  <c r="AE149" i="33"/>
  <c r="AF149" i="33"/>
  <c r="Z151" i="33"/>
  <c r="AA151" i="33"/>
  <c r="AB151" i="33"/>
  <c r="AC151" i="33"/>
  <c r="AD151" i="33"/>
  <c r="AE151" i="33"/>
  <c r="AF151" i="33"/>
  <c r="Z152" i="33"/>
  <c r="AA152" i="33"/>
  <c r="AB152" i="33"/>
  <c r="AC152" i="33"/>
  <c r="AD152" i="33"/>
  <c r="AE152" i="33"/>
  <c r="AF152" i="33"/>
  <c r="Z159" i="33"/>
  <c r="AA159" i="33"/>
  <c r="AB159" i="33"/>
  <c r="AC159" i="33"/>
  <c r="AD159" i="33"/>
  <c r="AE159" i="33"/>
  <c r="AF159" i="33"/>
  <c r="Z160" i="33"/>
  <c r="AA160" i="33"/>
  <c r="AB160" i="33"/>
  <c r="AC160" i="33"/>
  <c r="AD160" i="33"/>
  <c r="AE160" i="33"/>
  <c r="AF160" i="33"/>
  <c r="Z161" i="33"/>
  <c r="AA161" i="33"/>
  <c r="AB161" i="33"/>
  <c r="AC161" i="33"/>
  <c r="AD161" i="33"/>
  <c r="AE161" i="33"/>
  <c r="AF161" i="33"/>
  <c r="Z163" i="33"/>
  <c r="AA163" i="33"/>
  <c r="AB163" i="33"/>
  <c r="AC163" i="33"/>
  <c r="AD163" i="33"/>
  <c r="AE163" i="33"/>
  <c r="AF163" i="33"/>
  <c r="Z164" i="33"/>
  <c r="AA164" i="33"/>
  <c r="AB164" i="33"/>
  <c r="AC164" i="33"/>
  <c r="AD164" i="33"/>
  <c r="AE164" i="33"/>
  <c r="AF164" i="33"/>
  <c r="Z165" i="33"/>
  <c r="AA165" i="33"/>
  <c r="AB165" i="33"/>
  <c r="AC165" i="33"/>
  <c r="AD165" i="33"/>
  <c r="AE165" i="33"/>
  <c r="AF165" i="33"/>
  <c r="Z166" i="33"/>
  <c r="AA166" i="33"/>
  <c r="AB166" i="33"/>
  <c r="AC166" i="33"/>
  <c r="AD166" i="33"/>
  <c r="AE166" i="33"/>
  <c r="AF166" i="33"/>
  <c r="Z167" i="33"/>
  <c r="AA167" i="33"/>
  <c r="AB167" i="33"/>
  <c r="AC167" i="33"/>
  <c r="AD167" i="33"/>
  <c r="AE167" i="33"/>
  <c r="AF167" i="33"/>
  <c r="Z168" i="33"/>
  <c r="AA168" i="33"/>
  <c r="AB168" i="33"/>
  <c r="AC168" i="33"/>
  <c r="AD168" i="33"/>
  <c r="AE168" i="33"/>
  <c r="AF168" i="33"/>
  <c r="Z169" i="33"/>
  <c r="AA169" i="33"/>
  <c r="AB169" i="33"/>
  <c r="AC169" i="33"/>
  <c r="AD169" i="33"/>
  <c r="AE169" i="33"/>
  <c r="AF169" i="33"/>
  <c r="Z170" i="33"/>
  <c r="AA170" i="33"/>
  <c r="AB170" i="33"/>
  <c r="AC170" i="33"/>
  <c r="AD170" i="33"/>
  <c r="AE170" i="33"/>
  <c r="AF170" i="33"/>
  <c r="Z172" i="33"/>
  <c r="AA172" i="33"/>
  <c r="AB172" i="33"/>
  <c r="AC172" i="33"/>
  <c r="AD172" i="33"/>
  <c r="AE172" i="33"/>
  <c r="AF172" i="33"/>
  <c r="Z173" i="33"/>
  <c r="AA173" i="33"/>
  <c r="AB173" i="33"/>
  <c r="AC173" i="33"/>
  <c r="AD173" i="33"/>
  <c r="AE173" i="33"/>
  <c r="AF173" i="33"/>
  <c r="Z174" i="33"/>
  <c r="AA174" i="33"/>
  <c r="AB174" i="33"/>
  <c r="AC174" i="33"/>
  <c r="AD174" i="33"/>
  <c r="AE174" i="33"/>
  <c r="AF174" i="33"/>
  <c r="Z175" i="33"/>
  <c r="AA175" i="33"/>
  <c r="AB175" i="33"/>
  <c r="AC175" i="33"/>
  <c r="AD175" i="33"/>
  <c r="AE175" i="33"/>
  <c r="AF175" i="33"/>
  <c r="Z176" i="33"/>
  <c r="AA176" i="33"/>
  <c r="AB176" i="33"/>
  <c r="AC176" i="33"/>
  <c r="AD176" i="33"/>
  <c r="AE176" i="33"/>
  <c r="AF176" i="33"/>
  <c r="Z177" i="33"/>
  <c r="AA177" i="33"/>
  <c r="AB177" i="33"/>
  <c r="AC177" i="33"/>
  <c r="AD177" i="33"/>
  <c r="AE177" i="33"/>
  <c r="AF177" i="33"/>
  <c r="Z178" i="33"/>
  <c r="AA178" i="33"/>
  <c r="AB178" i="33"/>
  <c r="AC178" i="33"/>
  <c r="AD178" i="33"/>
  <c r="AE178" i="33"/>
  <c r="AF178" i="33"/>
  <c r="Z179" i="33"/>
  <c r="AA179" i="33"/>
  <c r="AB179" i="33"/>
  <c r="AC179" i="33"/>
  <c r="AD179" i="33"/>
  <c r="AE179" i="33"/>
  <c r="AF179" i="33"/>
  <c r="Z180" i="33"/>
  <c r="AA180" i="33"/>
  <c r="AB180" i="33"/>
  <c r="AC180" i="33"/>
  <c r="AD180" i="33"/>
  <c r="AE180" i="33"/>
  <c r="AF180" i="33"/>
  <c r="Z181" i="33"/>
  <c r="AA181" i="33"/>
  <c r="AB181" i="33"/>
  <c r="AC181" i="33"/>
  <c r="AD181" i="33"/>
  <c r="AE181" i="33"/>
  <c r="AF181" i="33"/>
  <c r="Z182" i="33"/>
  <c r="AA182" i="33"/>
  <c r="AB182" i="33"/>
  <c r="AC182" i="33"/>
  <c r="AD182" i="33"/>
  <c r="AE182" i="33"/>
  <c r="AF182" i="33"/>
  <c r="Z183" i="33"/>
  <c r="AA183" i="33"/>
  <c r="AB183" i="33"/>
  <c r="AC183" i="33"/>
  <c r="AD183" i="33"/>
  <c r="AE183" i="33"/>
  <c r="AF183" i="33"/>
  <c r="Z185" i="33"/>
  <c r="AA185" i="33"/>
  <c r="AB185" i="33"/>
  <c r="AC185" i="33"/>
  <c r="AD185" i="33"/>
  <c r="AE185" i="33"/>
  <c r="AF185" i="33"/>
  <c r="Z186" i="33"/>
  <c r="AA186" i="33"/>
  <c r="AB186" i="33"/>
  <c r="AC186" i="33"/>
  <c r="AD186" i="33"/>
  <c r="AE186" i="33"/>
  <c r="AF186" i="33"/>
  <c r="Z187" i="33"/>
  <c r="AA187" i="33"/>
  <c r="AB187" i="33"/>
  <c r="AC187" i="33"/>
  <c r="AD187" i="33"/>
  <c r="AE187" i="33"/>
  <c r="AF187" i="33"/>
  <c r="Z188" i="33"/>
  <c r="AA188" i="33"/>
  <c r="AB188" i="33"/>
  <c r="AC188" i="33"/>
  <c r="AD188" i="33"/>
  <c r="AE188" i="33"/>
  <c r="AF188" i="33"/>
  <c r="Z189" i="33"/>
  <c r="AA189" i="33"/>
  <c r="AB189" i="33"/>
  <c r="AC189" i="33"/>
  <c r="AD189" i="33"/>
  <c r="AE189" i="33"/>
  <c r="AF189" i="33"/>
  <c r="Z190" i="33"/>
  <c r="AA190" i="33"/>
  <c r="AB190" i="33"/>
  <c r="AC190" i="33"/>
  <c r="AD190" i="33"/>
  <c r="AE190" i="33"/>
  <c r="AF190" i="33"/>
  <c r="Z191" i="33"/>
  <c r="AA191" i="33"/>
  <c r="AB191" i="33"/>
  <c r="AC191" i="33"/>
  <c r="AD191" i="33"/>
  <c r="AE191" i="33"/>
  <c r="AF191" i="33"/>
  <c r="Z192" i="33"/>
  <c r="AA192" i="33"/>
  <c r="AB192" i="33"/>
  <c r="AC192" i="33"/>
  <c r="AD192" i="33"/>
  <c r="AE192" i="33"/>
  <c r="AF192" i="33"/>
  <c r="Z193" i="33"/>
  <c r="AA193" i="33"/>
  <c r="AB193" i="33"/>
  <c r="AC193" i="33"/>
  <c r="AD193" i="33"/>
  <c r="AE193" i="33"/>
  <c r="AF193" i="33"/>
  <c r="Z194" i="33"/>
  <c r="AA194" i="33"/>
  <c r="AB194" i="33"/>
  <c r="AC194" i="33"/>
  <c r="AD194" i="33"/>
  <c r="AE194" i="33"/>
  <c r="AF194" i="33"/>
  <c r="Z199" i="33"/>
  <c r="AA199" i="33"/>
  <c r="AB199" i="33"/>
  <c r="AC199" i="33"/>
  <c r="AD199" i="33"/>
  <c r="AE199" i="33"/>
  <c r="AF199" i="33"/>
  <c r="Z200" i="33"/>
  <c r="AA200" i="33"/>
  <c r="AB200" i="33"/>
  <c r="AC200" i="33"/>
  <c r="AD200" i="33"/>
  <c r="AE200" i="33"/>
  <c r="AF200" i="33"/>
  <c r="Z201" i="33"/>
  <c r="AA201" i="33"/>
  <c r="AB201" i="33"/>
  <c r="AC201" i="33"/>
  <c r="AD201" i="33"/>
  <c r="AE201" i="33"/>
  <c r="AF201" i="33"/>
  <c r="Z202" i="33"/>
  <c r="AA202" i="33"/>
  <c r="AB202" i="33"/>
  <c r="AC202" i="33"/>
  <c r="AD202" i="33"/>
  <c r="AE202" i="33"/>
  <c r="AF202" i="33"/>
  <c r="Z203" i="33"/>
  <c r="AA203" i="33"/>
  <c r="AB203" i="33"/>
  <c r="AC203" i="33"/>
  <c r="AD203" i="33"/>
  <c r="AE203" i="33"/>
  <c r="AF203" i="33"/>
  <c r="Z204" i="33"/>
  <c r="AA204" i="33"/>
  <c r="AB204" i="33"/>
  <c r="AC204" i="33"/>
  <c r="AD204" i="33"/>
  <c r="AE204" i="33"/>
  <c r="AF204" i="33"/>
  <c r="Z205" i="33"/>
  <c r="AA205" i="33"/>
  <c r="AB205" i="33"/>
  <c r="AC205" i="33"/>
  <c r="AD205" i="33"/>
  <c r="AE205" i="33"/>
  <c r="AF205" i="33"/>
  <c r="Z206" i="33"/>
  <c r="AA206" i="33"/>
  <c r="AB206" i="33"/>
  <c r="AC206" i="33"/>
  <c r="AD206" i="33"/>
  <c r="AE206" i="33"/>
  <c r="AF206" i="33"/>
  <c r="Z208" i="33"/>
  <c r="AA208" i="33"/>
  <c r="AB208" i="33"/>
  <c r="AC208" i="33"/>
  <c r="AD208" i="33"/>
  <c r="AE208" i="33"/>
  <c r="AF208" i="33"/>
  <c r="Z209" i="33"/>
  <c r="AA209" i="33"/>
  <c r="AB209" i="33"/>
  <c r="AC209" i="33"/>
  <c r="AD209" i="33"/>
  <c r="AE209" i="33"/>
  <c r="AF209" i="33"/>
  <c r="Z210" i="33"/>
  <c r="AA210" i="33"/>
  <c r="AB210" i="33"/>
  <c r="AC210" i="33"/>
  <c r="AD210" i="33"/>
  <c r="AE210" i="33"/>
  <c r="AF210" i="33"/>
  <c r="Z211" i="33"/>
  <c r="AA211" i="33"/>
  <c r="AB211" i="33"/>
  <c r="AC211" i="33"/>
  <c r="AD211" i="33"/>
  <c r="AE211" i="33"/>
  <c r="AF211" i="33"/>
  <c r="Z212" i="33"/>
  <c r="AA212" i="33"/>
  <c r="AB212" i="33"/>
  <c r="AC212" i="33"/>
  <c r="AD212" i="33"/>
  <c r="AE212" i="33"/>
  <c r="AF212" i="33"/>
  <c r="Z213" i="33"/>
  <c r="AA213" i="33"/>
  <c r="AB213" i="33"/>
  <c r="AC213" i="33"/>
  <c r="AD213" i="33"/>
  <c r="AE213" i="33"/>
  <c r="AF213" i="33"/>
  <c r="Z214" i="33"/>
  <c r="AA214" i="33"/>
  <c r="AB214" i="33"/>
  <c r="AC214" i="33"/>
  <c r="AD214" i="33"/>
  <c r="AE214" i="33"/>
  <c r="AF214" i="33"/>
  <c r="Z215" i="33"/>
  <c r="AA215" i="33"/>
  <c r="AB215" i="33"/>
  <c r="AC215" i="33"/>
  <c r="AD215" i="33"/>
  <c r="AE215" i="33"/>
  <c r="AF215" i="33"/>
  <c r="Z216" i="33"/>
  <c r="AA216" i="33"/>
  <c r="AB216" i="33"/>
  <c r="AC216" i="33"/>
  <c r="AD216" i="33"/>
  <c r="AE216" i="33"/>
  <c r="AF216" i="33"/>
  <c r="Z217" i="33"/>
  <c r="AA217" i="33"/>
  <c r="AB217" i="33"/>
  <c r="AC217" i="33"/>
  <c r="AD217" i="33"/>
  <c r="AE217" i="33"/>
  <c r="AF217" i="33"/>
  <c r="Z218" i="33"/>
  <c r="AA218" i="33"/>
  <c r="AB218" i="33"/>
  <c r="AC218" i="33"/>
  <c r="AD218" i="33"/>
  <c r="AE218" i="33"/>
  <c r="AF218" i="33"/>
  <c r="Z219" i="33"/>
  <c r="AA219" i="33"/>
  <c r="AB219" i="33"/>
  <c r="AC219" i="33"/>
  <c r="AD219" i="33"/>
  <c r="AE219" i="33"/>
  <c r="AF219" i="33"/>
  <c r="Z221" i="33"/>
  <c r="AA221" i="33"/>
  <c r="AB221" i="33"/>
  <c r="AC221" i="33"/>
  <c r="AD221" i="33"/>
  <c r="AE221" i="33"/>
  <c r="AF221" i="33"/>
  <c r="Z222" i="33"/>
  <c r="AA222" i="33"/>
  <c r="AB222" i="33"/>
  <c r="AC222" i="33"/>
  <c r="AD222" i="33"/>
  <c r="AE222" i="33"/>
  <c r="AF222" i="33"/>
  <c r="Z223" i="33"/>
  <c r="AA223" i="33"/>
  <c r="AB223" i="33"/>
  <c r="AC223" i="33"/>
  <c r="AD223" i="33"/>
  <c r="AE223" i="33"/>
  <c r="AF223" i="33"/>
  <c r="Z224" i="33"/>
  <c r="AA224" i="33"/>
  <c r="AB224" i="33"/>
  <c r="AC224" i="33"/>
  <c r="AD224" i="33"/>
  <c r="AE224" i="33"/>
  <c r="AF224" i="33"/>
  <c r="Z225" i="33"/>
  <c r="AA225" i="33"/>
  <c r="AB225" i="33"/>
  <c r="AC225" i="33"/>
  <c r="AD225" i="33"/>
  <c r="AE225" i="33"/>
  <c r="AF225" i="33"/>
  <c r="Z226" i="33"/>
  <c r="AA226" i="33"/>
  <c r="AB226" i="33"/>
  <c r="AC226" i="33"/>
  <c r="AD226" i="33"/>
  <c r="AE226" i="33"/>
  <c r="AF226" i="33"/>
  <c r="Z227" i="33"/>
  <c r="AA227" i="33"/>
  <c r="AB227" i="33"/>
  <c r="AC227" i="33"/>
  <c r="AD227" i="33"/>
  <c r="AE227" i="33"/>
  <c r="AF227" i="33"/>
  <c r="Z228" i="33"/>
  <c r="AA228" i="33"/>
  <c r="AB228" i="33"/>
  <c r="AC228" i="33"/>
  <c r="AD228" i="33"/>
  <c r="AE228" i="33"/>
  <c r="AF228" i="33"/>
  <c r="Z229" i="33"/>
  <c r="AA229" i="33"/>
  <c r="AB229" i="33"/>
  <c r="AC229" i="33"/>
  <c r="AD229" i="33"/>
  <c r="AE229" i="33"/>
  <c r="AF229" i="33"/>
  <c r="Z230" i="33"/>
  <c r="AA230" i="33"/>
  <c r="AB230" i="33"/>
  <c r="AC230" i="33"/>
  <c r="AD230" i="33"/>
  <c r="AE230" i="33"/>
  <c r="AF230" i="33"/>
  <c r="Z232" i="33"/>
  <c r="AA232" i="33"/>
  <c r="AB232" i="33"/>
  <c r="AC232" i="33"/>
  <c r="AD232" i="33"/>
  <c r="AE232" i="33"/>
  <c r="AF232" i="33"/>
  <c r="Z233" i="33"/>
  <c r="AA233" i="33"/>
  <c r="AB233" i="33"/>
  <c r="AC233" i="33"/>
  <c r="AD233" i="33"/>
  <c r="AE233" i="33"/>
  <c r="AF233" i="33"/>
  <c r="Z234" i="33"/>
  <c r="AA234" i="33"/>
  <c r="AB234" i="33"/>
  <c r="AC234" i="33"/>
  <c r="AD234" i="33"/>
  <c r="AE234" i="33"/>
  <c r="AF234" i="33"/>
  <c r="Z239" i="33"/>
  <c r="AA239" i="33"/>
  <c r="AB239" i="33"/>
  <c r="AC239" i="33"/>
  <c r="AD239" i="33"/>
  <c r="AE239" i="33"/>
  <c r="AF239" i="33"/>
  <c r="Z241" i="33"/>
  <c r="AA241" i="33"/>
  <c r="AB241" i="33"/>
  <c r="AC241" i="33"/>
  <c r="AD241" i="33"/>
  <c r="AE241" i="33"/>
  <c r="AF241" i="33"/>
  <c r="Z242" i="33"/>
  <c r="AA242" i="33"/>
  <c r="AB242" i="33"/>
  <c r="AC242" i="33"/>
  <c r="AD242" i="33"/>
  <c r="AE242" i="33"/>
  <c r="AF242" i="33"/>
  <c r="Z243" i="33"/>
  <c r="AA243" i="33"/>
  <c r="AB243" i="33"/>
  <c r="AC243" i="33"/>
  <c r="AD243" i="33"/>
  <c r="AE243" i="33"/>
  <c r="AF243" i="33"/>
  <c r="Z244" i="33"/>
  <c r="AA244" i="33"/>
  <c r="AB244" i="33"/>
  <c r="AC244" i="33"/>
  <c r="AD244" i="33"/>
  <c r="AE244" i="33"/>
  <c r="AF244" i="33"/>
  <c r="Z245" i="33"/>
  <c r="AA245" i="33"/>
  <c r="AB245" i="33"/>
  <c r="AC245" i="33"/>
  <c r="AD245" i="33"/>
  <c r="AE245" i="33"/>
  <c r="AF245" i="33"/>
  <c r="Z246" i="33"/>
  <c r="AA246" i="33"/>
  <c r="AB246" i="33"/>
  <c r="AC246" i="33"/>
  <c r="AD246" i="33"/>
  <c r="AE246" i="33"/>
  <c r="AF246" i="33"/>
  <c r="Z247" i="33"/>
  <c r="AA247" i="33"/>
  <c r="AB247" i="33"/>
  <c r="AC247" i="33"/>
  <c r="AD247" i="33"/>
  <c r="AE247" i="33"/>
  <c r="AF247" i="33"/>
  <c r="Z248" i="33"/>
  <c r="AA248" i="33"/>
  <c r="AB248" i="33"/>
  <c r="AC248" i="33"/>
  <c r="AD248" i="33"/>
  <c r="AE248" i="33"/>
  <c r="AF248" i="33"/>
  <c r="Y246" i="33"/>
  <c r="Y247" i="33"/>
  <c r="AR2" i="33"/>
  <c r="AS2" i="33"/>
  <c r="AR3" i="33"/>
  <c r="AA2" i="33"/>
  <c r="AB2" i="33"/>
  <c r="AC2" i="33"/>
  <c r="AD2" i="33"/>
  <c r="AE2" i="33"/>
  <c r="AF2" i="33"/>
  <c r="AA3" i="33"/>
  <c r="AB3" i="33"/>
  <c r="AC3" i="33"/>
  <c r="AD3" i="33"/>
  <c r="AE3" i="33"/>
  <c r="AF3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T10" i="33"/>
  <c r="U10" i="33"/>
  <c r="V10" i="33"/>
  <c r="W10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G19" i="33"/>
  <c r="H19" i="33"/>
  <c r="H20" i="33" s="1"/>
  <c r="I19" i="33"/>
  <c r="J19" i="33"/>
  <c r="K19" i="33"/>
  <c r="L19" i="33"/>
  <c r="M19" i="33"/>
  <c r="N19" i="33"/>
  <c r="O19" i="33"/>
  <c r="P19" i="33"/>
  <c r="P20" i="33" s="1"/>
  <c r="Q19" i="33"/>
  <c r="R19" i="33"/>
  <c r="S19" i="33"/>
  <c r="T19" i="33"/>
  <c r="U19" i="33"/>
  <c r="V19" i="33"/>
  <c r="W19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U21" i="33"/>
  <c r="V21" i="33"/>
  <c r="W21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U28" i="33"/>
  <c r="V28" i="33"/>
  <c r="W28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U29" i="33"/>
  <c r="V29" i="33"/>
  <c r="W29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U32" i="33"/>
  <c r="V32" i="33"/>
  <c r="W32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G40" i="33"/>
  <c r="H40" i="33"/>
  <c r="I40" i="33"/>
  <c r="J40" i="33"/>
  <c r="K40" i="33"/>
  <c r="L40" i="33"/>
  <c r="M40" i="33"/>
  <c r="N40" i="33"/>
  <c r="O40" i="33"/>
  <c r="P40" i="33"/>
  <c r="Q40" i="33"/>
  <c r="R40" i="33"/>
  <c r="S40" i="33"/>
  <c r="T40" i="33"/>
  <c r="U40" i="33"/>
  <c r="V40" i="33"/>
  <c r="W40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G67" i="33"/>
  <c r="H67" i="33"/>
  <c r="I67" i="33"/>
  <c r="J67" i="33"/>
  <c r="K67" i="33"/>
  <c r="L67" i="33"/>
  <c r="M67" i="33"/>
  <c r="N67" i="33"/>
  <c r="O67" i="33"/>
  <c r="P67" i="33"/>
  <c r="Q67" i="33"/>
  <c r="R67" i="33"/>
  <c r="S67" i="33"/>
  <c r="T67" i="33"/>
  <c r="U67" i="33"/>
  <c r="V67" i="33"/>
  <c r="W67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G71" i="33"/>
  <c r="H71" i="33"/>
  <c r="I71" i="33"/>
  <c r="J71" i="33"/>
  <c r="K71" i="33"/>
  <c r="L71" i="33"/>
  <c r="M71" i="33"/>
  <c r="N71" i="33"/>
  <c r="O71" i="33"/>
  <c r="P71" i="33"/>
  <c r="Q71" i="33"/>
  <c r="R71" i="33"/>
  <c r="S71" i="33"/>
  <c r="T71" i="33"/>
  <c r="U71" i="33"/>
  <c r="V71" i="33"/>
  <c r="W71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G97" i="33"/>
  <c r="H97" i="33"/>
  <c r="I97" i="33"/>
  <c r="J97" i="33"/>
  <c r="K97" i="33"/>
  <c r="L97" i="33"/>
  <c r="M97" i="33"/>
  <c r="N97" i="33"/>
  <c r="O97" i="33"/>
  <c r="P97" i="33"/>
  <c r="Q97" i="33"/>
  <c r="R97" i="33"/>
  <c r="S97" i="33"/>
  <c r="T97" i="33"/>
  <c r="U97" i="33"/>
  <c r="V97" i="33"/>
  <c r="W97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G100" i="33"/>
  <c r="H100" i="33"/>
  <c r="I100" i="33"/>
  <c r="J100" i="33"/>
  <c r="K100" i="33"/>
  <c r="L100" i="33"/>
  <c r="M100" i="33"/>
  <c r="N100" i="33"/>
  <c r="O100" i="33"/>
  <c r="P100" i="33"/>
  <c r="Q100" i="33"/>
  <c r="R100" i="33"/>
  <c r="S100" i="33"/>
  <c r="T100" i="33"/>
  <c r="U100" i="33"/>
  <c r="V100" i="33"/>
  <c r="W100" i="33"/>
  <c r="G105" i="33"/>
  <c r="H105" i="33"/>
  <c r="I105" i="33"/>
  <c r="J105" i="33"/>
  <c r="K105" i="33"/>
  <c r="L105" i="33"/>
  <c r="M105" i="33"/>
  <c r="N105" i="33"/>
  <c r="O105" i="33"/>
  <c r="P105" i="33"/>
  <c r="Q105" i="33"/>
  <c r="R105" i="33"/>
  <c r="S105" i="33"/>
  <c r="T105" i="33"/>
  <c r="U105" i="33"/>
  <c r="V105" i="33"/>
  <c r="W105" i="33"/>
  <c r="G106" i="33"/>
  <c r="H106" i="33"/>
  <c r="I106" i="33"/>
  <c r="J106" i="33"/>
  <c r="K106" i="33"/>
  <c r="L106" i="33"/>
  <c r="M106" i="33"/>
  <c r="N106" i="33"/>
  <c r="O106" i="33"/>
  <c r="P106" i="33"/>
  <c r="Q106" i="33"/>
  <c r="R106" i="33"/>
  <c r="S106" i="33"/>
  <c r="T106" i="33"/>
  <c r="U106" i="33"/>
  <c r="V106" i="33"/>
  <c r="W106" i="33"/>
  <c r="G107" i="33"/>
  <c r="H107" i="33"/>
  <c r="I107" i="33"/>
  <c r="J107" i="33"/>
  <c r="K107" i="33"/>
  <c r="L107" i="33"/>
  <c r="M107" i="33"/>
  <c r="N107" i="33"/>
  <c r="O107" i="33"/>
  <c r="P107" i="33"/>
  <c r="Q107" i="33"/>
  <c r="R107" i="33"/>
  <c r="S107" i="33"/>
  <c r="T107" i="33"/>
  <c r="U107" i="33"/>
  <c r="V107" i="33"/>
  <c r="W107" i="33"/>
  <c r="G108" i="33"/>
  <c r="H108" i="33"/>
  <c r="I108" i="33"/>
  <c r="J108" i="33"/>
  <c r="K108" i="33"/>
  <c r="L108" i="33"/>
  <c r="M108" i="33"/>
  <c r="N108" i="33"/>
  <c r="O108" i="33"/>
  <c r="P108" i="33"/>
  <c r="Q108" i="33"/>
  <c r="R108" i="33"/>
  <c r="S108" i="33"/>
  <c r="T108" i="33"/>
  <c r="U108" i="33"/>
  <c r="V108" i="33"/>
  <c r="W108" i="33"/>
  <c r="G109" i="33"/>
  <c r="H109" i="33"/>
  <c r="I109" i="33"/>
  <c r="J109" i="33"/>
  <c r="K109" i="33"/>
  <c r="L109" i="33"/>
  <c r="M109" i="33"/>
  <c r="N109" i="33"/>
  <c r="O109" i="33"/>
  <c r="P109" i="33"/>
  <c r="Q109" i="33"/>
  <c r="R109" i="33"/>
  <c r="S109" i="33"/>
  <c r="T109" i="33"/>
  <c r="U109" i="33"/>
  <c r="V109" i="33"/>
  <c r="W109" i="33"/>
  <c r="G110" i="33"/>
  <c r="H110" i="33"/>
  <c r="I110" i="33"/>
  <c r="J110" i="33"/>
  <c r="K110" i="33"/>
  <c r="L110" i="33"/>
  <c r="M110" i="33"/>
  <c r="N110" i="33"/>
  <c r="O110" i="33"/>
  <c r="P110" i="33"/>
  <c r="Q110" i="33"/>
  <c r="R110" i="33"/>
  <c r="S110" i="33"/>
  <c r="T110" i="33"/>
  <c r="U110" i="33"/>
  <c r="V110" i="33"/>
  <c r="W110" i="33"/>
  <c r="G111" i="33"/>
  <c r="H111" i="33"/>
  <c r="I111" i="33"/>
  <c r="J111" i="33"/>
  <c r="K111" i="33"/>
  <c r="L111" i="33"/>
  <c r="M111" i="33"/>
  <c r="N111" i="33"/>
  <c r="O111" i="33"/>
  <c r="P111" i="33"/>
  <c r="Q111" i="33"/>
  <c r="R111" i="33"/>
  <c r="S111" i="33"/>
  <c r="T111" i="33"/>
  <c r="U111" i="33"/>
  <c r="V111" i="33"/>
  <c r="W111" i="33"/>
  <c r="G112" i="33"/>
  <c r="H112" i="33"/>
  <c r="I112" i="33"/>
  <c r="J112" i="33"/>
  <c r="K112" i="33"/>
  <c r="L112" i="33"/>
  <c r="M112" i="33"/>
  <c r="N112" i="33"/>
  <c r="O112" i="33"/>
  <c r="P112" i="33"/>
  <c r="Q112" i="33"/>
  <c r="R112" i="33"/>
  <c r="S112" i="33"/>
  <c r="T112" i="33"/>
  <c r="U112" i="33"/>
  <c r="V112" i="33"/>
  <c r="W112" i="33"/>
  <c r="G114" i="33"/>
  <c r="H114" i="33"/>
  <c r="I114" i="33"/>
  <c r="J114" i="33"/>
  <c r="K114" i="33"/>
  <c r="L114" i="33"/>
  <c r="M114" i="33"/>
  <c r="N114" i="33"/>
  <c r="O114" i="33"/>
  <c r="P114" i="33"/>
  <c r="Q114" i="33"/>
  <c r="R114" i="33"/>
  <c r="S114" i="33"/>
  <c r="T114" i="33"/>
  <c r="U114" i="33"/>
  <c r="V114" i="33"/>
  <c r="W114" i="33"/>
  <c r="G115" i="33"/>
  <c r="H115" i="33"/>
  <c r="I115" i="33"/>
  <c r="J115" i="33"/>
  <c r="K115" i="33"/>
  <c r="L115" i="33"/>
  <c r="M115" i="33"/>
  <c r="N115" i="33"/>
  <c r="O115" i="33"/>
  <c r="P115" i="33"/>
  <c r="Q115" i="33"/>
  <c r="R115" i="33"/>
  <c r="S115" i="33"/>
  <c r="T115" i="33"/>
  <c r="U115" i="33"/>
  <c r="V115" i="33"/>
  <c r="W115" i="33"/>
  <c r="G116" i="33"/>
  <c r="H116" i="33"/>
  <c r="I116" i="33"/>
  <c r="J116" i="33"/>
  <c r="K116" i="33"/>
  <c r="L116" i="33"/>
  <c r="M116" i="33"/>
  <c r="N116" i="33"/>
  <c r="O116" i="33"/>
  <c r="P116" i="33"/>
  <c r="Q116" i="33"/>
  <c r="R116" i="33"/>
  <c r="S116" i="33"/>
  <c r="T116" i="33"/>
  <c r="U116" i="33"/>
  <c r="V116" i="33"/>
  <c r="W116" i="33"/>
  <c r="G117" i="33"/>
  <c r="H117" i="33"/>
  <c r="I117" i="33"/>
  <c r="J117" i="33"/>
  <c r="K117" i="33"/>
  <c r="L117" i="33"/>
  <c r="M117" i="33"/>
  <c r="N117" i="33"/>
  <c r="O117" i="33"/>
  <c r="P117" i="33"/>
  <c r="Q117" i="33"/>
  <c r="R117" i="33"/>
  <c r="S117" i="33"/>
  <c r="T117" i="33"/>
  <c r="U117" i="33"/>
  <c r="V117" i="33"/>
  <c r="W117" i="33"/>
  <c r="G118" i="33"/>
  <c r="H118" i="33"/>
  <c r="I118" i="33"/>
  <c r="J118" i="33"/>
  <c r="K118" i="33"/>
  <c r="L118" i="33"/>
  <c r="M118" i="33"/>
  <c r="N118" i="33"/>
  <c r="O118" i="33"/>
  <c r="P118" i="33"/>
  <c r="Q118" i="33"/>
  <c r="R118" i="33"/>
  <c r="S118" i="33"/>
  <c r="T118" i="33"/>
  <c r="U118" i="33"/>
  <c r="V118" i="33"/>
  <c r="W118" i="33"/>
  <c r="G119" i="33"/>
  <c r="H119" i="33"/>
  <c r="I119" i="33"/>
  <c r="J119" i="33"/>
  <c r="K119" i="33"/>
  <c r="L119" i="33"/>
  <c r="M119" i="33"/>
  <c r="N119" i="33"/>
  <c r="O119" i="33"/>
  <c r="P119" i="33"/>
  <c r="Q119" i="33"/>
  <c r="R119" i="33"/>
  <c r="S119" i="33"/>
  <c r="T119" i="33"/>
  <c r="U119" i="33"/>
  <c r="V119" i="33"/>
  <c r="W119" i="33"/>
  <c r="G120" i="33"/>
  <c r="H120" i="33"/>
  <c r="I120" i="33"/>
  <c r="J120" i="33"/>
  <c r="K120" i="33"/>
  <c r="L120" i="33"/>
  <c r="M120" i="33"/>
  <c r="N120" i="33"/>
  <c r="O120" i="33"/>
  <c r="P120" i="33"/>
  <c r="Q120" i="33"/>
  <c r="R120" i="33"/>
  <c r="S120" i="33"/>
  <c r="T120" i="33"/>
  <c r="U120" i="33"/>
  <c r="V120" i="33"/>
  <c r="W120" i="33"/>
  <c r="G121" i="33"/>
  <c r="H121" i="33"/>
  <c r="I121" i="33"/>
  <c r="J121" i="33"/>
  <c r="K121" i="33"/>
  <c r="L121" i="33"/>
  <c r="M121" i="33"/>
  <c r="N121" i="33"/>
  <c r="O121" i="33"/>
  <c r="P121" i="33"/>
  <c r="Q121" i="33"/>
  <c r="R121" i="33"/>
  <c r="S121" i="33"/>
  <c r="T121" i="33"/>
  <c r="U121" i="33"/>
  <c r="V121" i="33"/>
  <c r="W121" i="33"/>
  <c r="G122" i="33"/>
  <c r="H122" i="33"/>
  <c r="I122" i="33"/>
  <c r="J122" i="33"/>
  <c r="K122" i="33"/>
  <c r="L122" i="33"/>
  <c r="M122" i="33"/>
  <c r="N122" i="33"/>
  <c r="O122" i="33"/>
  <c r="P122" i="33"/>
  <c r="Q122" i="33"/>
  <c r="R122" i="33"/>
  <c r="S122" i="33"/>
  <c r="T122" i="33"/>
  <c r="U122" i="33"/>
  <c r="V122" i="33"/>
  <c r="W122" i="33"/>
  <c r="G123" i="33"/>
  <c r="H123" i="33"/>
  <c r="I123" i="33"/>
  <c r="J123" i="33"/>
  <c r="K123" i="33"/>
  <c r="L123" i="33"/>
  <c r="M123" i="33"/>
  <c r="N123" i="33"/>
  <c r="O123" i="33"/>
  <c r="P123" i="33"/>
  <c r="Q123" i="33"/>
  <c r="R123" i="33"/>
  <c r="S123" i="33"/>
  <c r="T123" i="33"/>
  <c r="U123" i="33"/>
  <c r="V123" i="33"/>
  <c r="W123" i="33"/>
  <c r="G124" i="33"/>
  <c r="H124" i="33"/>
  <c r="I124" i="33"/>
  <c r="J124" i="33"/>
  <c r="K124" i="33"/>
  <c r="L124" i="33"/>
  <c r="M124" i="33"/>
  <c r="N124" i="33"/>
  <c r="O124" i="33"/>
  <c r="P124" i="33"/>
  <c r="Q124" i="33"/>
  <c r="R124" i="33"/>
  <c r="S124" i="33"/>
  <c r="T124" i="33"/>
  <c r="U124" i="33"/>
  <c r="V124" i="33"/>
  <c r="W124" i="33"/>
  <c r="G125" i="33"/>
  <c r="H125" i="33"/>
  <c r="I125" i="33"/>
  <c r="J125" i="33"/>
  <c r="K125" i="33"/>
  <c r="L125" i="33"/>
  <c r="M125" i="33"/>
  <c r="N125" i="33"/>
  <c r="O125" i="33"/>
  <c r="P125" i="33"/>
  <c r="Q125" i="33"/>
  <c r="R125" i="33"/>
  <c r="S125" i="33"/>
  <c r="T125" i="33"/>
  <c r="U125" i="33"/>
  <c r="V125" i="33"/>
  <c r="W125" i="33"/>
  <c r="G126" i="33"/>
  <c r="H126" i="33"/>
  <c r="I126" i="33"/>
  <c r="J126" i="33"/>
  <c r="K126" i="33"/>
  <c r="L126" i="33"/>
  <c r="M126" i="33"/>
  <c r="N126" i="33"/>
  <c r="O126" i="33"/>
  <c r="P126" i="33"/>
  <c r="Q126" i="33"/>
  <c r="R126" i="33"/>
  <c r="S126" i="33"/>
  <c r="T126" i="33"/>
  <c r="U126" i="33"/>
  <c r="V126" i="33"/>
  <c r="W126" i="33"/>
  <c r="G128" i="33"/>
  <c r="H128" i="33"/>
  <c r="I128" i="33"/>
  <c r="J128" i="33"/>
  <c r="K128" i="33"/>
  <c r="L128" i="33"/>
  <c r="M128" i="33"/>
  <c r="N128" i="33"/>
  <c r="O128" i="33"/>
  <c r="P128" i="33"/>
  <c r="Q128" i="33"/>
  <c r="R128" i="33"/>
  <c r="S128" i="33"/>
  <c r="T128" i="33"/>
  <c r="U128" i="33"/>
  <c r="V128" i="33"/>
  <c r="W128" i="33"/>
  <c r="G129" i="33"/>
  <c r="H129" i="33"/>
  <c r="I129" i="33"/>
  <c r="J129" i="33"/>
  <c r="K129" i="33"/>
  <c r="L129" i="33"/>
  <c r="M129" i="33"/>
  <c r="N129" i="33"/>
  <c r="O129" i="33"/>
  <c r="P129" i="33"/>
  <c r="Q129" i="33"/>
  <c r="R129" i="33"/>
  <c r="S129" i="33"/>
  <c r="T129" i="33"/>
  <c r="U129" i="33"/>
  <c r="V129" i="33"/>
  <c r="W129" i="33"/>
  <c r="G130" i="33"/>
  <c r="H130" i="33"/>
  <c r="I130" i="33"/>
  <c r="J130" i="33"/>
  <c r="K130" i="33"/>
  <c r="L130" i="33"/>
  <c r="M130" i="33"/>
  <c r="N130" i="33"/>
  <c r="O130" i="33"/>
  <c r="P130" i="33"/>
  <c r="Q130" i="33"/>
  <c r="R130" i="33"/>
  <c r="S130" i="33"/>
  <c r="T130" i="33"/>
  <c r="U130" i="33"/>
  <c r="V130" i="33"/>
  <c r="W130" i="33"/>
  <c r="G131" i="33"/>
  <c r="H131" i="33"/>
  <c r="I131" i="33"/>
  <c r="J131" i="33"/>
  <c r="K131" i="33"/>
  <c r="L131" i="33"/>
  <c r="M131" i="33"/>
  <c r="N131" i="33"/>
  <c r="O131" i="33"/>
  <c r="P131" i="33"/>
  <c r="Q131" i="33"/>
  <c r="R131" i="33"/>
  <c r="S131" i="33"/>
  <c r="T131" i="33"/>
  <c r="U131" i="33"/>
  <c r="V131" i="33"/>
  <c r="W131" i="33"/>
  <c r="G132" i="33"/>
  <c r="H132" i="33"/>
  <c r="I132" i="33"/>
  <c r="J132" i="33"/>
  <c r="K132" i="33"/>
  <c r="L132" i="33"/>
  <c r="M132" i="33"/>
  <c r="N132" i="33"/>
  <c r="O132" i="33"/>
  <c r="P132" i="33"/>
  <c r="Q132" i="33"/>
  <c r="R132" i="33"/>
  <c r="S132" i="33"/>
  <c r="T132" i="33"/>
  <c r="U132" i="33"/>
  <c r="V132" i="33"/>
  <c r="W132" i="33"/>
  <c r="G133" i="33"/>
  <c r="H133" i="33"/>
  <c r="I133" i="33"/>
  <c r="J133" i="33"/>
  <c r="K133" i="33"/>
  <c r="L133" i="33"/>
  <c r="M133" i="33"/>
  <c r="N133" i="33"/>
  <c r="O133" i="33"/>
  <c r="P133" i="33"/>
  <c r="Q133" i="33"/>
  <c r="R133" i="33"/>
  <c r="S133" i="33"/>
  <c r="T133" i="33"/>
  <c r="U133" i="33"/>
  <c r="V133" i="33"/>
  <c r="W133" i="33"/>
  <c r="G134" i="33"/>
  <c r="H134" i="33"/>
  <c r="I134" i="33"/>
  <c r="J134" i="33"/>
  <c r="K134" i="33"/>
  <c r="L134" i="33"/>
  <c r="M134" i="33"/>
  <c r="N134" i="33"/>
  <c r="O134" i="33"/>
  <c r="P134" i="33"/>
  <c r="Q134" i="33"/>
  <c r="R134" i="33"/>
  <c r="S134" i="33"/>
  <c r="T134" i="33"/>
  <c r="U134" i="33"/>
  <c r="V134" i="33"/>
  <c r="W134" i="33"/>
  <c r="G135" i="33"/>
  <c r="H135" i="33"/>
  <c r="I135" i="33"/>
  <c r="J135" i="33"/>
  <c r="K135" i="33"/>
  <c r="L135" i="33"/>
  <c r="M135" i="33"/>
  <c r="N135" i="33"/>
  <c r="O135" i="33"/>
  <c r="P135" i="33"/>
  <c r="Q135" i="33"/>
  <c r="R135" i="33"/>
  <c r="S135" i="33"/>
  <c r="T135" i="33"/>
  <c r="U135" i="33"/>
  <c r="V135" i="33"/>
  <c r="W135" i="33"/>
  <c r="G136" i="33"/>
  <c r="H136" i="33"/>
  <c r="I136" i="33"/>
  <c r="J136" i="33"/>
  <c r="K136" i="33"/>
  <c r="L136" i="33"/>
  <c r="M136" i="33"/>
  <c r="N136" i="33"/>
  <c r="O136" i="33"/>
  <c r="P136" i="33"/>
  <c r="Q136" i="33"/>
  <c r="R136" i="33"/>
  <c r="S136" i="33"/>
  <c r="T136" i="33"/>
  <c r="U136" i="33"/>
  <c r="V136" i="33"/>
  <c r="W136" i="33"/>
  <c r="G137" i="33"/>
  <c r="H137" i="33"/>
  <c r="I137" i="33"/>
  <c r="J137" i="33"/>
  <c r="K137" i="33"/>
  <c r="L137" i="33"/>
  <c r="M137" i="33"/>
  <c r="N137" i="33"/>
  <c r="O137" i="33"/>
  <c r="P137" i="33"/>
  <c r="Q137" i="33"/>
  <c r="R137" i="33"/>
  <c r="S137" i="33"/>
  <c r="T137" i="33"/>
  <c r="U137" i="33"/>
  <c r="V137" i="33"/>
  <c r="W137" i="33"/>
  <c r="G139" i="33"/>
  <c r="H139" i="33"/>
  <c r="I139" i="33"/>
  <c r="J139" i="33"/>
  <c r="K139" i="33"/>
  <c r="L139" i="33"/>
  <c r="M139" i="33"/>
  <c r="N139" i="33"/>
  <c r="O139" i="33"/>
  <c r="P139" i="33"/>
  <c r="Q139" i="33"/>
  <c r="R139" i="33"/>
  <c r="S139" i="33"/>
  <c r="T139" i="33"/>
  <c r="U139" i="33"/>
  <c r="V139" i="33"/>
  <c r="W139" i="33"/>
  <c r="G140" i="33"/>
  <c r="H140" i="33"/>
  <c r="I140" i="33"/>
  <c r="J140" i="33"/>
  <c r="K140" i="33"/>
  <c r="L140" i="33"/>
  <c r="M140" i="33"/>
  <c r="N140" i="33"/>
  <c r="O140" i="33"/>
  <c r="P140" i="33"/>
  <c r="Q140" i="33"/>
  <c r="R140" i="33"/>
  <c r="S140" i="33"/>
  <c r="T140" i="33"/>
  <c r="U140" i="33"/>
  <c r="V140" i="33"/>
  <c r="W140" i="33"/>
  <c r="G141" i="33"/>
  <c r="H141" i="33"/>
  <c r="I141" i="33"/>
  <c r="J141" i="33"/>
  <c r="K141" i="33"/>
  <c r="L141" i="33"/>
  <c r="M141" i="33"/>
  <c r="N141" i="33"/>
  <c r="O141" i="33"/>
  <c r="P141" i="33"/>
  <c r="Q141" i="33"/>
  <c r="R141" i="33"/>
  <c r="S141" i="33"/>
  <c r="T141" i="33"/>
  <c r="U141" i="33"/>
  <c r="V141" i="33"/>
  <c r="W141" i="33"/>
  <c r="G142" i="33"/>
  <c r="H142" i="33"/>
  <c r="I142" i="33"/>
  <c r="J142" i="33"/>
  <c r="K142" i="33"/>
  <c r="L142" i="33"/>
  <c r="M142" i="33"/>
  <c r="N142" i="33"/>
  <c r="O142" i="33"/>
  <c r="P142" i="33"/>
  <c r="Q142" i="33"/>
  <c r="R142" i="33"/>
  <c r="S142" i="33"/>
  <c r="T142" i="33"/>
  <c r="U142" i="33"/>
  <c r="V142" i="33"/>
  <c r="W142" i="33"/>
  <c r="G143" i="33"/>
  <c r="H143" i="33"/>
  <c r="I143" i="33"/>
  <c r="J143" i="33"/>
  <c r="K143" i="33"/>
  <c r="L143" i="33"/>
  <c r="M143" i="33"/>
  <c r="N143" i="33"/>
  <c r="O143" i="33"/>
  <c r="P143" i="33"/>
  <c r="Q143" i="33"/>
  <c r="R143" i="33"/>
  <c r="S143" i="33"/>
  <c r="T143" i="33"/>
  <c r="U143" i="33"/>
  <c r="V143" i="33"/>
  <c r="W143" i="33"/>
  <c r="G144" i="33"/>
  <c r="H144" i="33"/>
  <c r="I144" i="33"/>
  <c r="J144" i="33"/>
  <c r="K144" i="33"/>
  <c r="L144" i="33"/>
  <c r="M144" i="33"/>
  <c r="N144" i="33"/>
  <c r="O144" i="33"/>
  <c r="P144" i="33"/>
  <c r="Q144" i="33"/>
  <c r="R144" i="33"/>
  <c r="S144" i="33"/>
  <c r="T144" i="33"/>
  <c r="U144" i="33"/>
  <c r="V144" i="33"/>
  <c r="W144" i="33"/>
  <c r="G149" i="33"/>
  <c r="H149" i="33"/>
  <c r="I149" i="33"/>
  <c r="J149" i="33"/>
  <c r="L149" i="33"/>
  <c r="M149" i="33"/>
  <c r="N149" i="33"/>
  <c r="O149" i="33"/>
  <c r="P149" i="33"/>
  <c r="Q149" i="33"/>
  <c r="R149" i="33"/>
  <c r="S149" i="33"/>
  <c r="T149" i="33"/>
  <c r="U149" i="33"/>
  <c r="V149" i="33"/>
  <c r="W149" i="33"/>
  <c r="G151" i="33"/>
  <c r="H151" i="33"/>
  <c r="I151" i="33"/>
  <c r="J151" i="33"/>
  <c r="K151" i="33"/>
  <c r="L151" i="33"/>
  <c r="M151" i="33"/>
  <c r="N151" i="33"/>
  <c r="O151" i="33"/>
  <c r="P151" i="33"/>
  <c r="Q151" i="33"/>
  <c r="R151" i="33"/>
  <c r="S151" i="33"/>
  <c r="T151" i="33"/>
  <c r="U151" i="33"/>
  <c r="V151" i="33"/>
  <c r="W151" i="33"/>
  <c r="G152" i="33"/>
  <c r="H152" i="33"/>
  <c r="I152" i="33"/>
  <c r="J152" i="33"/>
  <c r="K152" i="33"/>
  <c r="L152" i="33"/>
  <c r="M152" i="33"/>
  <c r="N152" i="33"/>
  <c r="O152" i="33"/>
  <c r="P152" i="33"/>
  <c r="Q152" i="33"/>
  <c r="R152" i="33"/>
  <c r="S152" i="33"/>
  <c r="T152" i="33"/>
  <c r="U152" i="33"/>
  <c r="V152" i="33"/>
  <c r="W152" i="33"/>
  <c r="G159" i="33"/>
  <c r="H159" i="33"/>
  <c r="I159" i="33"/>
  <c r="J159" i="33"/>
  <c r="K159" i="33"/>
  <c r="L159" i="33"/>
  <c r="M159" i="33"/>
  <c r="N159" i="33"/>
  <c r="O159" i="33"/>
  <c r="P159" i="33"/>
  <c r="Q159" i="33"/>
  <c r="R159" i="33"/>
  <c r="S159" i="33"/>
  <c r="T159" i="33"/>
  <c r="U159" i="33"/>
  <c r="V159" i="33"/>
  <c r="W159" i="33"/>
  <c r="G160" i="33"/>
  <c r="H160" i="33"/>
  <c r="I160" i="33"/>
  <c r="J160" i="33"/>
  <c r="K160" i="33"/>
  <c r="L160" i="33"/>
  <c r="M160" i="33"/>
  <c r="N160" i="33"/>
  <c r="O160" i="33"/>
  <c r="P160" i="33"/>
  <c r="Q160" i="33"/>
  <c r="R160" i="33"/>
  <c r="S160" i="33"/>
  <c r="T160" i="33"/>
  <c r="U160" i="33"/>
  <c r="V160" i="33"/>
  <c r="W160" i="33"/>
  <c r="G161" i="33"/>
  <c r="H161" i="33"/>
  <c r="I161" i="33"/>
  <c r="J161" i="33"/>
  <c r="K161" i="33"/>
  <c r="L161" i="33"/>
  <c r="M161" i="33"/>
  <c r="N161" i="33"/>
  <c r="O161" i="33"/>
  <c r="P161" i="33"/>
  <c r="Q161" i="33"/>
  <c r="R161" i="33"/>
  <c r="S161" i="33"/>
  <c r="T161" i="33"/>
  <c r="U161" i="33"/>
  <c r="V161" i="33"/>
  <c r="W161" i="33"/>
  <c r="G163" i="33"/>
  <c r="H163" i="33"/>
  <c r="I163" i="33"/>
  <c r="J163" i="33"/>
  <c r="K163" i="33"/>
  <c r="L163" i="33"/>
  <c r="M163" i="33"/>
  <c r="N163" i="33"/>
  <c r="O163" i="33"/>
  <c r="P163" i="33"/>
  <c r="Q163" i="33"/>
  <c r="R163" i="33"/>
  <c r="S163" i="33"/>
  <c r="T163" i="33"/>
  <c r="U163" i="33"/>
  <c r="V163" i="33"/>
  <c r="G164" i="33"/>
  <c r="H164" i="33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G165" i="33"/>
  <c r="H165" i="33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G166" i="33"/>
  <c r="H166" i="33"/>
  <c r="I166" i="33"/>
  <c r="J166" i="33"/>
  <c r="K166" i="33"/>
  <c r="L166" i="33"/>
  <c r="M166" i="33"/>
  <c r="N166" i="33"/>
  <c r="O166" i="33"/>
  <c r="P166" i="33"/>
  <c r="Q166" i="33"/>
  <c r="R166" i="33"/>
  <c r="S166" i="33"/>
  <c r="T166" i="33"/>
  <c r="U166" i="33"/>
  <c r="V166" i="33"/>
  <c r="G167" i="33"/>
  <c r="H167" i="33"/>
  <c r="I167" i="33"/>
  <c r="J167" i="33"/>
  <c r="K167" i="33"/>
  <c r="L167" i="33"/>
  <c r="M167" i="33"/>
  <c r="N167" i="33"/>
  <c r="O167" i="33"/>
  <c r="P167" i="33"/>
  <c r="Q167" i="33"/>
  <c r="R167" i="33"/>
  <c r="S167" i="33"/>
  <c r="T167" i="33"/>
  <c r="U167" i="33"/>
  <c r="V167" i="33"/>
  <c r="G168" i="33"/>
  <c r="H168" i="33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G169" i="33"/>
  <c r="H169" i="33"/>
  <c r="I169" i="33"/>
  <c r="J169" i="33"/>
  <c r="K169" i="33"/>
  <c r="L169" i="33"/>
  <c r="M169" i="33"/>
  <c r="N169" i="33"/>
  <c r="O169" i="33"/>
  <c r="P169" i="33"/>
  <c r="Q169" i="33"/>
  <c r="R169" i="33"/>
  <c r="S169" i="33"/>
  <c r="T169" i="33"/>
  <c r="U169" i="33"/>
  <c r="V169" i="33"/>
  <c r="G170" i="33"/>
  <c r="H170" i="33"/>
  <c r="I170" i="33"/>
  <c r="J170" i="33"/>
  <c r="K170" i="33"/>
  <c r="L170" i="33"/>
  <c r="M170" i="33"/>
  <c r="N170" i="33"/>
  <c r="O170" i="33"/>
  <c r="P170" i="33"/>
  <c r="Q170" i="33"/>
  <c r="R170" i="33"/>
  <c r="S170" i="33"/>
  <c r="T170" i="33"/>
  <c r="U170" i="33"/>
  <c r="V170" i="33"/>
  <c r="G172" i="33"/>
  <c r="H172" i="33"/>
  <c r="I172" i="33"/>
  <c r="J172" i="33"/>
  <c r="K172" i="33"/>
  <c r="L172" i="33"/>
  <c r="M172" i="33"/>
  <c r="N172" i="33"/>
  <c r="O172" i="33"/>
  <c r="P172" i="33"/>
  <c r="Q172" i="33"/>
  <c r="R172" i="33"/>
  <c r="S172" i="33"/>
  <c r="T172" i="33"/>
  <c r="U172" i="33"/>
  <c r="V172" i="33"/>
  <c r="G173" i="33"/>
  <c r="H173" i="33"/>
  <c r="I173" i="33"/>
  <c r="J173" i="33"/>
  <c r="K173" i="33"/>
  <c r="L173" i="33"/>
  <c r="M173" i="33"/>
  <c r="N173" i="33"/>
  <c r="O173" i="33"/>
  <c r="P173" i="33"/>
  <c r="Q173" i="33"/>
  <c r="R173" i="33"/>
  <c r="S173" i="33"/>
  <c r="T173" i="33"/>
  <c r="U173" i="33"/>
  <c r="V173" i="33"/>
  <c r="G174" i="33"/>
  <c r="H174" i="33"/>
  <c r="I174" i="33"/>
  <c r="J174" i="33"/>
  <c r="K174" i="33"/>
  <c r="L174" i="33"/>
  <c r="M174" i="33"/>
  <c r="N174" i="33"/>
  <c r="O174" i="33"/>
  <c r="P174" i="33"/>
  <c r="Q174" i="33"/>
  <c r="R174" i="33"/>
  <c r="S174" i="33"/>
  <c r="T174" i="33"/>
  <c r="U174" i="33"/>
  <c r="V174" i="33"/>
  <c r="G175" i="33"/>
  <c r="H175" i="33"/>
  <c r="I175" i="33"/>
  <c r="J175" i="33"/>
  <c r="K175" i="33"/>
  <c r="L175" i="33"/>
  <c r="M175" i="33"/>
  <c r="N175" i="33"/>
  <c r="O175" i="33"/>
  <c r="P175" i="33"/>
  <c r="Q175" i="33"/>
  <c r="R175" i="33"/>
  <c r="S175" i="33"/>
  <c r="T175" i="33"/>
  <c r="U175" i="33"/>
  <c r="V175" i="33"/>
  <c r="G176" i="33"/>
  <c r="H176" i="33"/>
  <c r="I176" i="33"/>
  <c r="J176" i="33"/>
  <c r="K176" i="33"/>
  <c r="L176" i="33"/>
  <c r="M176" i="33"/>
  <c r="N176" i="33"/>
  <c r="O176" i="33"/>
  <c r="P176" i="33"/>
  <c r="Q176" i="33"/>
  <c r="R176" i="33"/>
  <c r="S176" i="33"/>
  <c r="T176" i="33"/>
  <c r="U176" i="33"/>
  <c r="V176" i="33"/>
  <c r="G177" i="33"/>
  <c r="H177" i="33"/>
  <c r="I177" i="33"/>
  <c r="J177" i="33"/>
  <c r="K177" i="33"/>
  <c r="L177" i="33"/>
  <c r="M177" i="33"/>
  <c r="N177" i="33"/>
  <c r="O177" i="33"/>
  <c r="P177" i="33"/>
  <c r="Q177" i="33"/>
  <c r="R177" i="33"/>
  <c r="S177" i="33"/>
  <c r="T177" i="33"/>
  <c r="U177" i="33"/>
  <c r="V177" i="33"/>
  <c r="G178" i="33"/>
  <c r="H178" i="33"/>
  <c r="I178" i="33"/>
  <c r="J178" i="33"/>
  <c r="K178" i="33"/>
  <c r="L178" i="33"/>
  <c r="M178" i="33"/>
  <c r="N178" i="33"/>
  <c r="O178" i="33"/>
  <c r="P178" i="33"/>
  <c r="Q178" i="33"/>
  <c r="R178" i="33"/>
  <c r="S178" i="33"/>
  <c r="T178" i="33"/>
  <c r="U178" i="33"/>
  <c r="V178" i="33"/>
  <c r="G179" i="33"/>
  <c r="H179" i="33"/>
  <c r="I179" i="33"/>
  <c r="J179" i="33"/>
  <c r="K179" i="33"/>
  <c r="L179" i="33"/>
  <c r="M179" i="33"/>
  <c r="N179" i="33"/>
  <c r="O179" i="33"/>
  <c r="P179" i="33"/>
  <c r="Q179" i="33"/>
  <c r="R179" i="33"/>
  <c r="S179" i="33"/>
  <c r="T179" i="33"/>
  <c r="U179" i="33"/>
  <c r="V179" i="33"/>
  <c r="G180" i="33"/>
  <c r="H180" i="33"/>
  <c r="I180" i="33"/>
  <c r="J180" i="33"/>
  <c r="K180" i="33"/>
  <c r="L180" i="33"/>
  <c r="M180" i="33"/>
  <c r="N180" i="33"/>
  <c r="O180" i="33"/>
  <c r="P180" i="33"/>
  <c r="Q180" i="33"/>
  <c r="R180" i="33"/>
  <c r="S180" i="33"/>
  <c r="T180" i="33"/>
  <c r="U180" i="33"/>
  <c r="V180" i="33"/>
  <c r="G181" i="33"/>
  <c r="H181" i="33"/>
  <c r="I181" i="33"/>
  <c r="J181" i="33"/>
  <c r="K181" i="33"/>
  <c r="L181" i="33"/>
  <c r="M181" i="33"/>
  <c r="N181" i="33"/>
  <c r="O181" i="33"/>
  <c r="P181" i="33"/>
  <c r="Q181" i="33"/>
  <c r="R181" i="33"/>
  <c r="S181" i="33"/>
  <c r="T181" i="33"/>
  <c r="U181" i="33"/>
  <c r="V181" i="33"/>
  <c r="G182" i="33"/>
  <c r="H182" i="33"/>
  <c r="I182" i="33"/>
  <c r="J182" i="33"/>
  <c r="K182" i="33"/>
  <c r="L182" i="33"/>
  <c r="M182" i="33"/>
  <c r="N182" i="33"/>
  <c r="O182" i="33"/>
  <c r="P182" i="33"/>
  <c r="Q182" i="33"/>
  <c r="R182" i="33"/>
  <c r="S182" i="33"/>
  <c r="T182" i="33"/>
  <c r="U182" i="33"/>
  <c r="V182" i="33"/>
  <c r="G183" i="33"/>
  <c r="H183" i="33"/>
  <c r="I183" i="33"/>
  <c r="J183" i="33"/>
  <c r="K183" i="33"/>
  <c r="L183" i="33"/>
  <c r="M183" i="33"/>
  <c r="N183" i="33"/>
  <c r="O183" i="33"/>
  <c r="P183" i="33"/>
  <c r="Q183" i="33"/>
  <c r="R183" i="33"/>
  <c r="S183" i="33"/>
  <c r="T183" i="33"/>
  <c r="U183" i="33"/>
  <c r="V183" i="33"/>
  <c r="G185" i="33"/>
  <c r="H185" i="33"/>
  <c r="I185" i="33"/>
  <c r="J185" i="33"/>
  <c r="K185" i="33"/>
  <c r="L185" i="33"/>
  <c r="M185" i="33"/>
  <c r="N185" i="33"/>
  <c r="O185" i="33"/>
  <c r="P185" i="33"/>
  <c r="Q185" i="33"/>
  <c r="R185" i="33"/>
  <c r="S185" i="33"/>
  <c r="T185" i="33"/>
  <c r="U185" i="33"/>
  <c r="V185" i="33"/>
  <c r="G186" i="33"/>
  <c r="H186" i="33"/>
  <c r="I186" i="33"/>
  <c r="J186" i="33"/>
  <c r="K186" i="33"/>
  <c r="L186" i="33"/>
  <c r="M186" i="33"/>
  <c r="N186" i="33"/>
  <c r="O186" i="33"/>
  <c r="P186" i="33"/>
  <c r="Q186" i="33"/>
  <c r="R186" i="33"/>
  <c r="S186" i="33"/>
  <c r="T186" i="33"/>
  <c r="U186" i="33"/>
  <c r="V186" i="33"/>
  <c r="G187" i="33"/>
  <c r="H187" i="33"/>
  <c r="I187" i="33"/>
  <c r="J187" i="33"/>
  <c r="K187" i="33"/>
  <c r="L187" i="33"/>
  <c r="M187" i="33"/>
  <c r="N187" i="33"/>
  <c r="O187" i="33"/>
  <c r="P187" i="33"/>
  <c r="Q187" i="33"/>
  <c r="R187" i="33"/>
  <c r="S187" i="33"/>
  <c r="T187" i="33"/>
  <c r="U187" i="33"/>
  <c r="V187" i="33"/>
  <c r="G188" i="33"/>
  <c r="H188" i="33"/>
  <c r="I188" i="33"/>
  <c r="J188" i="33"/>
  <c r="K188" i="33"/>
  <c r="L188" i="33"/>
  <c r="M188" i="33"/>
  <c r="N188" i="33"/>
  <c r="O188" i="33"/>
  <c r="P188" i="33"/>
  <c r="Q188" i="33"/>
  <c r="R188" i="33"/>
  <c r="S188" i="33"/>
  <c r="T188" i="33"/>
  <c r="U188" i="33"/>
  <c r="V188" i="33"/>
  <c r="G189" i="33"/>
  <c r="H189" i="33"/>
  <c r="I189" i="33"/>
  <c r="J189" i="33"/>
  <c r="K189" i="33"/>
  <c r="L189" i="33"/>
  <c r="M189" i="33"/>
  <c r="N189" i="33"/>
  <c r="O189" i="33"/>
  <c r="P189" i="33"/>
  <c r="Q189" i="33"/>
  <c r="R189" i="33"/>
  <c r="S189" i="33"/>
  <c r="T189" i="33"/>
  <c r="U189" i="33"/>
  <c r="V189" i="33"/>
  <c r="G190" i="33"/>
  <c r="H190" i="33"/>
  <c r="I190" i="33"/>
  <c r="J190" i="33"/>
  <c r="K190" i="33"/>
  <c r="L190" i="33"/>
  <c r="M190" i="33"/>
  <c r="N190" i="33"/>
  <c r="O190" i="33"/>
  <c r="P190" i="33"/>
  <c r="Q190" i="33"/>
  <c r="R190" i="33"/>
  <c r="S190" i="33"/>
  <c r="T190" i="33"/>
  <c r="U190" i="33"/>
  <c r="V190" i="33"/>
  <c r="G191" i="33"/>
  <c r="H191" i="33"/>
  <c r="I191" i="33"/>
  <c r="J191" i="33"/>
  <c r="K191" i="33"/>
  <c r="L191" i="33"/>
  <c r="M191" i="33"/>
  <c r="N191" i="33"/>
  <c r="O191" i="33"/>
  <c r="P191" i="33"/>
  <c r="Q191" i="33"/>
  <c r="R191" i="33"/>
  <c r="S191" i="33"/>
  <c r="T191" i="33"/>
  <c r="U191" i="33"/>
  <c r="V191" i="33"/>
  <c r="G192" i="33"/>
  <c r="H192" i="33"/>
  <c r="I192" i="33"/>
  <c r="J192" i="33"/>
  <c r="K192" i="33"/>
  <c r="L192" i="33"/>
  <c r="M192" i="33"/>
  <c r="N192" i="33"/>
  <c r="O192" i="33"/>
  <c r="P192" i="33"/>
  <c r="Q192" i="33"/>
  <c r="R192" i="33"/>
  <c r="S192" i="33"/>
  <c r="T192" i="33"/>
  <c r="U192" i="33"/>
  <c r="V192" i="33"/>
  <c r="G193" i="33"/>
  <c r="H193" i="33"/>
  <c r="I193" i="33"/>
  <c r="J193" i="33"/>
  <c r="K193" i="33"/>
  <c r="L193" i="33"/>
  <c r="M193" i="33"/>
  <c r="N193" i="33"/>
  <c r="O193" i="33"/>
  <c r="P193" i="33"/>
  <c r="Q193" i="33"/>
  <c r="R193" i="33"/>
  <c r="S193" i="33"/>
  <c r="T193" i="33"/>
  <c r="U193" i="33"/>
  <c r="V193" i="33"/>
  <c r="G194" i="33"/>
  <c r="H194" i="33"/>
  <c r="I194" i="33"/>
  <c r="J194" i="33"/>
  <c r="K194" i="33"/>
  <c r="L194" i="33"/>
  <c r="M194" i="33"/>
  <c r="N194" i="33"/>
  <c r="O194" i="33"/>
  <c r="P194" i="33"/>
  <c r="Q194" i="33"/>
  <c r="R194" i="33"/>
  <c r="S194" i="33"/>
  <c r="T194" i="33"/>
  <c r="U194" i="33"/>
  <c r="V194" i="33"/>
  <c r="G199" i="33"/>
  <c r="H199" i="33"/>
  <c r="I199" i="33"/>
  <c r="J199" i="33"/>
  <c r="K199" i="33"/>
  <c r="L199" i="33"/>
  <c r="M199" i="33"/>
  <c r="N199" i="33"/>
  <c r="O199" i="33"/>
  <c r="P199" i="33"/>
  <c r="Q199" i="33"/>
  <c r="R199" i="33"/>
  <c r="S199" i="33"/>
  <c r="T199" i="33"/>
  <c r="U199" i="33"/>
  <c r="V199" i="33"/>
  <c r="G200" i="33"/>
  <c r="H200" i="33"/>
  <c r="I200" i="33"/>
  <c r="J200" i="33"/>
  <c r="K200" i="33"/>
  <c r="L200" i="33"/>
  <c r="M200" i="33"/>
  <c r="N200" i="33"/>
  <c r="O200" i="33"/>
  <c r="P200" i="33"/>
  <c r="Q200" i="33"/>
  <c r="R200" i="33"/>
  <c r="S200" i="33"/>
  <c r="T200" i="33"/>
  <c r="U200" i="33"/>
  <c r="V200" i="33"/>
  <c r="G201" i="33"/>
  <c r="H201" i="33"/>
  <c r="I201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G202" i="33"/>
  <c r="H202" i="33"/>
  <c r="I202" i="33"/>
  <c r="J202" i="33"/>
  <c r="K202" i="33"/>
  <c r="L202" i="33"/>
  <c r="M202" i="33"/>
  <c r="N202" i="33"/>
  <c r="O202" i="33"/>
  <c r="P202" i="33"/>
  <c r="Q202" i="33"/>
  <c r="R202" i="33"/>
  <c r="S202" i="33"/>
  <c r="T202" i="33"/>
  <c r="U202" i="33"/>
  <c r="V202" i="33"/>
  <c r="G203" i="33"/>
  <c r="H203" i="33"/>
  <c r="I203" i="33"/>
  <c r="J203" i="33"/>
  <c r="K203" i="33"/>
  <c r="L203" i="33"/>
  <c r="M203" i="33"/>
  <c r="N203" i="33"/>
  <c r="O203" i="33"/>
  <c r="P203" i="33"/>
  <c r="Q203" i="33"/>
  <c r="R203" i="33"/>
  <c r="S203" i="33"/>
  <c r="T203" i="33"/>
  <c r="U203" i="33"/>
  <c r="V203" i="33"/>
  <c r="G204" i="33"/>
  <c r="H204" i="33"/>
  <c r="I204" i="33"/>
  <c r="J204" i="33"/>
  <c r="K204" i="33"/>
  <c r="L204" i="33"/>
  <c r="M204" i="33"/>
  <c r="N204" i="33"/>
  <c r="O204" i="33"/>
  <c r="P204" i="33"/>
  <c r="Q204" i="33"/>
  <c r="R204" i="33"/>
  <c r="S204" i="33"/>
  <c r="T204" i="33"/>
  <c r="U204" i="33"/>
  <c r="V204" i="33"/>
  <c r="G205" i="33"/>
  <c r="H205" i="33"/>
  <c r="I205" i="33"/>
  <c r="J205" i="33"/>
  <c r="K205" i="33"/>
  <c r="L205" i="33"/>
  <c r="M205" i="33"/>
  <c r="N205" i="33"/>
  <c r="O205" i="33"/>
  <c r="P205" i="33"/>
  <c r="Q205" i="33"/>
  <c r="R205" i="33"/>
  <c r="S205" i="33"/>
  <c r="T205" i="33"/>
  <c r="U205" i="33"/>
  <c r="V205" i="33"/>
  <c r="G206" i="33"/>
  <c r="H206" i="33"/>
  <c r="I206" i="33"/>
  <c r="J206" i="33"/>
  <c r="K206" i="33"/>
  <c r="L206" i="33"/>
  <c r="M206" i="33"/>
  <c r="N206" i="33"/>
  <c r="O206" i="33"/>
  <c r="P206" i="33"/>
  <c r="Q206" i="33"/>
  <c r="R206" i="33"/>
  <c r="S206" i="33"/>
  <c r="T206" i="33"/>
  <c r="U206" i="33"/>
  <c r="V206" i="33"/>
  <c r="G208" i="33"/>
  <c r="H208" i="33"/>
  <c r="I208" i="33"/>
  <c r="J208" i="33"/>
  <c r="K208" i="33"/>
  <c r="L208" i="33"/>
  <c r="M208" i="33"/>
  <c r="N208" i="33"/>
  <c r="O208" i="33"/>
  <c r="P208" i="33"/>
  <c r="Q208" i="33"/>
  <c r="R208" i="33"/>
  <c r="S208" i="33"/>
  <c r="T208" i="33"/>
  <c r="U208" i="33"/>
  <c r="V208" i="33"/>
  <c r="G209" i="33"/>
  <c r="H209" i="33"/>
  <c r="I209" i="33"/>
  <c r="J209" i="33"/>
  <c r="K209" i="33"/>
  <c r="L209" i="33"/>
  <c r="M209" i="33"/>
  <c r="N209" i="33"/>
  <c r="O209" i="33"/>
  <c r="P209" i="33"/>
  <c r="Q209" i="33"/>
  <c r="R209" i="33"/>
  <c r="S209" i="33"/>
  <c r="T209" i="33"/>
  <c r="U209" i="33"/>
  <c r="V209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V210" i="33"/>
  <c r="G211" i="33"/>
  <c r="H211" i="33"/>
  <c r="I211" i="33"/>
  <c r="J211" i="33"/>
  <c r="K211" i="33"/>
  <c r="L211" i="33"/>
  <c r="M211" i="33"/>
  <c r="N211" i="33"/>
  <c r="O211" i="33"/>
  <c r="P211" i="33"/>
  <c r="Q211" i="33"/>
  <c r="R211" i="33"/>
  <c r="S211" i="33"/>
  <c r="T211" i="33"/>
  <c r="U211" i="33"/>
  <c r="V211" i="33"/>
  <c r="G212" i="33"/>
  <c r="H212" i="33"/>
  <c r="I212" i="33"/>
  <c r="J212" i="33"/>
  <c r="K212" i="33"/>
  <c r="L212" i="33"/>
  <c r="M212" i="33"/>
  <c r="N212" i="33"/>
  <c r="O212" i="33"/>
  <c r="P212" i="33"/>
  <c r="Q212" i="33"/>
  <c r="R212" i="33"/>
  <c r="S212" i="33"/>
  <c r="T212" i="33"/>
  <c r="U212" i="33"/>
  <c r="V212" i="33"/>
  <c r="G213" i="33"/>
  <c r="H213" i="33"/>
  <c r="I213" i="33"/>
  <c r="J213" i="33"/>
  <c r="K213" i="33"/>
  <c r="L213" i="33"/>
  <c r="M213" i="33"/>
  <c r="N213" i="33"/>
  <c r="O213" i="33"/>
  <c r="P213" i="33"/>
  <c r="Q213" i="33"/>
  <c r="R213" i="33"/>
  <c r="S213" i="33"/>
  <c r="T213" i="33"/>
  <c r="U213" i="33"/>
  <c r="V213" i="33"/>
  <c r="G214" i="33"/>
  <c r="H214" i="33"/>
  <c r="I214" i="33"/>
  <c r="J214" i="33"/>
  <c r="K214" i="33"/>
  <c r="L214" i="33"/>
  <c r="M214" i="33"/>
  <c r="N214" i="33"/>
  <c r="O214" i="33"/>
  <c r="P214" i="33"/>
  <c r="Q214" i="33"/>
  <c r="R214" i="33"/>
  <c r="S214" i="33"/>
  <c r="T214" i="33"/>
  <c r="U214" i="33"/>
  <c r="V214" i="33"/>
  <c r="G215" i="33"/>
  <c r="H215" i="33"/>
  <c r="I215" i="33"/>
  <c r="J215" i="33"/>
  <c r="K215" i="33"/>
  <c r="L215" i="33"/>
  <c r="M215" i="33"/>
  <c r="N215" i="33"/>
  <c r="O215" i="33"/>
  <c r="P215" i="33"/>
  <c r="Q215" i="33"/>
  <c r="R215" i="33"/>
  <c r="S215" i="33"/>
  <c r="T215" i="33"/>
  <c r="U215" i="33"/>
  <c r="V215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F246" i="33"/>
  <c r="F247" i="33"/>
  <c r="E246" i="33"/>
  <c r="E247" i="33"/>
  <c r="E245" i="33"/>
  <c r="AC235" i="33" l="1"/>
  <c r="G16" i="33"/>
  <c r="AB59" i="33"/>
  <c r="AS81" i="33"/>
  <c r="Q20" i="33"/>
  <c r="AS235" i="33"/>
  <c r="AS162" i="33"/>
  <c r="O249" i="33"/>
  <c r="M86" i="33"/>
  <c r="P24" i="33"/>
  <c r="K20" i="33"/>
  <c r="Z20" i="33"/>
  <c r="U20" i="33"/>
  <c r="M20" i="33"/>
  <c r="AF162" i="33"/>
  <c r="Z162" i="33"/>
  <c r="AB235" i="33"/>
  <c r="AE235" i="33"/>
  <c r="AA86" i="33"/>
  <c r="I235" i="33"/>
  <c r="W24" i="33"/>
  <c r="W20" i="33"/>
  <c r="O20" i="33"/>
  <c r="G20" i="33"/>
  <c r="Q16" i="33"/>
  <c r="G101" i="33"/>
  <c r="W101" i="33"/>
  <c r="V81" i="33"/>
  <c r="N81" i="33"/>
  <c r="P81" i="33"/>
  <c r="H81" i="33"/>
  <c r="Q24" i="33"/>
  <c r="Q25" i="33" s="1"/>
  <c r="T235" i="33"/>
  <c r="L235" i="33"/>
  <c r="U9" i="33"/>
  <c r="G9" i="33"/>
  <c r="AE24" i="33"/>
  <c r="AS145" i="33"/>
  <c r="W235" i="33"/>
  <c r="O235" i="33"/>
  <c r="G69" i="33"/>
  <c r="S24" i="33"/>
  <c r="K24" i="33"/>
  <c r="G145" i="33"/>
  <c r="G235" i="33"/>
  <c r="G113" i="33"/>
  <c r="G59" i="33"/>
  <c r="G70" i="33" s="1"/>
  <c r="P249" i="33"/>
  <c r="Q76" i="33"/>
  <c r="I76" i="33"/>
  <c r="S76" i="33"/>
  <c r="K76" i="33"/>
  <c r="K37" i="33"/>
  <c r="K16" i="33"/>
  <c r="AA81" i="33"/>
  <c r="U162" i="33"/>
  <c r="K145" i="33"/>
  <c r="AA162" i="33"/>
  <c r="K81" i="33"/>
  <c r="M81" i="33"/>
  <c r="S207" i="33"/>
  <c r="K207" i="33"/>
  <c r="AF20" i="33"/>
  <c r="AC24" i="33"/>
  <c r="AC25" i="33" s="1"/>
  <c r="AB24" i="33"/>
  <c r="AE9" i="33"/>
  <c r="AS9" i="33"/>
  <c r="Q127" i="33"/>
  <c r="W46" i="33"/>
  <c r="V24" i="33"/>
  <c r="N24" i="33"/>
  <c r="AF37" i="33"/>
  <c r="Z37" i="33"/>
  <c r="AA24" i="33"/>
  <c r="AR81" i="33"/>
  <c r="AS69" i="33"/>
  <c r="N249" i="33"/>
  <c r="H249" i="33"/>
  <c r="O24" i="33"/>
  <c r="Z76" i="33"/>
  <c r="AB9" i="33"/>
  <c r="W127" i="33"/>
  <c r="U76" i="33"/>
  <c r="M76" i="33"/>
  <c r="Q46" i="33"/>
  <c r="I46" i="33"/>
  <c r="O16" i="33"/>
  <c r="AB195" i="33"/>
  <c r="AB81" i="33"/>
  <c r="AS86" i="33"/>
  <c r="AS37" i="33"/>
  <c r="R81" i="33"/>
  <c r="J81" i="33"/>
  <c r="T81" i="33"/>
  <c r="AR37" i="33"/>
  <c r="G249" i="33"/>
  <c r="U249" i="33"/>
  <c r="Q138" i="33"/>
  <c r="S20" i="33"/>
  <c r="G17" i="33"/>
  <c r="AF207" i="33"/>
  <c r="AR235" i="33"/>
  <c r="K195" i="33"/>
  <c r="H171" i="33"/>
  <c r="U69" i="33"/>
  <c r="M69" i="33"/>
  <c r="Z231" i="33"/>
  <c r="AS59" i="33"/>
  <c r="M207" i="33"/>
  <c r="Q207" i="33"/>
  <c r="I207" i="33"/>
  <c r="O184" i="33"/>
  <c r="W81" i="33"/>
  <c r="O81" i="33"/>
  <c r="G81" i="33"/>
  <c r="Q81" i="33"/>
  <c r="I81" i="33"/>
  <c r="W9" i="33"/>
  <c r="O9" i="33"/>
  <c r="N101" i="33"/>
  <c r="K69" i="33"/>
  <c r="W69" i="33"/>
  <c r="O69" i="33"/>
  <c r="Q69" i="33"/>
  <c r="I69" i="33"/>
  <c r="W249" i="33"/>
  <c r="K220" i="33"/>
  <c r="U220" i="33"/>
  <c r="M220" i="33"/>
  <c r="O220" i="33"/>
  <c r="G220" i="33"/>
  <c r="O207" i="33"/>
  <c r="G207" i="33"/>
  <c r="U195" i="33"/>
  <c r="I195" i="33"/>
  <c r="S195" i="33"/>
  <c r="H138" i="33"/>
  <c r="G24" i="33"/>
  <c r="I24" i="33"/>
  <c r="U16" i="33"/>
  <c r="U17" i="33" s="1"/>
  <c r="M16" i="33"/>
  <c r="W16" i="33"/>
  <c r="I16" i="33"/>
  <c r="AC249" i="33"/>
  <c r="AB249" i="33"/>
  <c r="AF145" i="33"/>
  <c r="Z145" i="33"/>
  <c r="AB86" i="33"/>
  <c r="AF76" i="33"/>
  <c r="T207" i="33"/>
  <c r="U207" i="33"/>
  <c r="U184" i="33"/>
  <c r="S171" i="33"/>
  <c r="M162" i="33"/>
  <c r="V127" i="33"/>
  <c r="S59" i="33"/>
  <c r="W59" i="33"/>
  <c r="W70" i="33" s="1"/>
  <c r="O59" i="33"/>
  <c r="O70" i="33" s="1"/>
  <c r="Q59" i="33"/>
  <c r="Q70" i="33" s="1"/>
  <c r="I59" i="33"/>
  <c r="K59" i="33"/>
  <c r="U59" i="33"/>
  <c r="U70" i="33" s="1"/>
  <c r="M59" i="33"/>
  <c r="J46" i="33"/>
  <c r="Q37" i="33"/>
  <c r="I37" i="33"/>
  <c r="S37" i="33"/>
  <c r="U37" i="33"/>
  <c r="M37" i="33"/>
  <c r="W37" i="33"/>
  <c r="W47" i="33" s="1"/>
  <c r="O37" i="33"/>
  <c r="G37" i="33"/>
  <c r="AD138" i="33"/>
  <c r="AD86" i="33"/>
  <c r="Q231" i="33"/>
  <c r="M195" i="33"/>
  <c r="H195" i="33"/>
  <c r="U171" i="33"/>
  <c r="M171" i="33"/>
  <c r="R162" i="33"/>
  <c r="I138" i="33"/>
  <c r="S138" i="33"/>
  <c r="K138" i="33"/>
  <c r="O127" i="33"/>
  <c r="G127" i="33"/>
  <c r="U86" i="33"/>
  <c r="W86" i="33"/>
  <c r="O86" i="33"/>
  <c r="Q86" i="33"/>
  <c r="I86" i="33"/>
  <c r="S86" i="33"/>
  <c r="K86" i="33"/>
  <c r="U81" i="33"/>
  <c r="O46" i="33"/>
  <c r="I20" i="33"/>
  <c r="AE231" i="33"/>
  <c r="AA231" i="33"/>
  <c r="AD231" i="33"/>
  <c r="AF231" i="33"/>
  <c r="AB171" i="33"/>
  <c r="AA20" i="33"/>
  <c r="AA25" i="33" s="1"/>
  <c r="AD20" i="33"/>
  <c r="AF9" i="33"/>
  <c r="Z9" i="33"/>
  <c r="AS47" i="33"/>
  <c r="M184" i="33"/>
  <c r="I9" i="33"/>
  <c r="S249" i="33"/>
  <c r="U235" i="33"/>
  <c r="M235" i="33"/>
  <c r="O231" i="33"/>
  <c r="G231" i="33"/>
  <c r="Q184" i="33"/>
  <c r="S184" i="33"/>
  <c r="K184" i="33"/>
  <c r="S113" i="33"/>
  <c r="K113" i="33"/>
  <c r="U113" i="33"/>
  <c r="M113" i="33"/>
  <c r="W113" i="33"/>
  <c r="O113" i="33"/>
  <c r="R86" i="33"/>
  <c r="J86" i="33"/>
  <c r="L81" i="33"/>
  <c r="W76" i="33"/>
  <c r="O76" i="33"/>
  <c r="G76" i="33"/>
  <c r="T69" i="33"/>
  <c r="K25" i="33"/>
  <c r="U24" i="33"/>
  <c r="M24" i="33"/>
  <c r="M25" i="33" s="1"/>
  <c r="AC162" i="33"/>
  <c r="AB162" i="33"/>
  <c r="AE162" i="33"/>
  <c r="I184" i="33"/>
  <c r="G184" i="33"/>
  <c r="Z207" i="33"/>
  <c r="AC127" i="33"/>
  <c r="Q249" i="33"/>
  <c r="M249" i="33"/>
  <c r="S220" i="33"/>
  <c r="Q171" i="33"/>
  <c r="I171" i="33"/>
  <c r="K171" i="33"/>
  <c r="J162" i="33"/>
  <c r="I127" i="33"/>
  <c r="S127" i="33"/>
  <c r="K127" i="33"/>
  <c r="G86" i="33"/>
  <c r="S81" i="33"/>
  <c r="S69" i="33"/>
  <c r="P59" i="33"/>
  <c r="H59" i="33"/>
  <c r="G46" i="33"/>
  <c r="S46" i="33"/>
  <c r="K46" i="33"/>
  <c r="K47" i="33" s="1"/>
  <c r="U46" i="33"/>
  <c r="M46" i="33"/>
  <c r="AF235" i="33"/>
  <c r="Z235" i="33"/>
  <c r="AD162" i="33"/>
  <c r="AB16" i="33"/>
  <c r="AB17" i="33" s="1"/>
  <c r="Q195" i="33"/>
  <c r="R195" i="33"/>
  <c r="U138" i="33"/>
  <c r="Q9" i="33"/>
  <c r="Q17" i="33" s="1"/>
  <c r="S9" i="33"/>
  <c r="K9" i="33"/>
  <c r="K17" i="33" s="1"/>
  <c r="M9" i="33"/>
  <c r="I249" i="33"/>
  <c r="K249" i="33"/>
  <c r="Q235" i="33"/>
  <c r="I231" i="33"/>
  <c r="U231" i="33"/>
  <c r="M231" i="33"/>
  <c r="W162" i="33"/>
  <c r="O162" i="33"/>
  <c r="G162" i="33"/>
  <c r="U145" i="33"/>
  <c r="M145" i="33"/>
  <c r="W145" i="33"/>
  <c r="O145" i="33"/>
  <c r="S145" i="33"/>
  <c r="Q101" i="33"/>
  <c r="I101" i="33"/>
  <c r="S101" i="33"/>
  <c r="K101" i="33"/>
  <c r="U101" i="33"/>
  <c r="O101" i="33"/>
  <c r="V20" i="33"/>
  <c r="N20" i="33"/>
  <c r="L9" i="33"/>
  <c r="I70" i="33"/>
  <c r="AE220" i="33"/>
  <c r="V231" i="33"/>
  <c r="N231" i="33"/>
  <c r="P195" i="33"/>
  <c r="V184" i="33"/>
  <c r="N184" i="33"/>
  <c r="O171" i="33"/>
  <c r="G171" i="33"/>
  <c r="Q162" i="33"/>
  <c r="I162" i="33"/>
  <c r="V101" i="33"/>
  <c r="T86" i="33"/>
  <c r="L86" i="33"/>
  <c r="V86" i="33"/>
  <c r="N86" i="33"/>
  <c r="P86" i="33"/>
  <c r="H86" i="33"/>
  <c r="N16" i="33"/>
  <c r="AC231" i="33"/>
  <c r="AB231" i="33"/>
  <c r="J195" i="33"/>
  <c r="V249" i="33"/>
  <c r="T231" i="33"/>
  <c r="L231" i="33"/>
  <c r="Q145" i="33"/>
  <c r="I145" i="33"/>
  <c r="P138" i="33"/>
  <c r="Q113" i="33"/>
  <c r="I113" i="33"/>
  <c r="AA184" i="33"/>
  <c r="AS101" i="33"/>
  <c r="AR24" i="33"/>
  <c r="N127" i="33"/>
  <c r="G195" i="33"/>
  <c r="X247" i="33"/>
  <c r="L207" i="33"/>
  <c r="T162" i="33"/>
  <c r="L162" i="33"/>
  <c r="V162" i="33"/>
  <c r="N162" i="33"/>
  <c r="P162" i="33"/>
  <c r="H162" i="33"/>
  <c r="M101" i="33"/>
  <c r="O195" i="33"/>
  <c r="X246" i="33"/>
  <c r="S235" i="33"/>
  <c r="K235" i="33"/>
  <c r="S231" i="33"/>
  <c r="K231" i="33"/>
  <c r="R145" i="33"/>
  <c r="J145" i="33"/>
  <c r="U127" i="33"/>
  <c r="M127" i="33"/>
  <c r="R113" i="33"/>
  <c r="J113" i="33"/>
  <c r="T37" i="33"/>
  <c r="L37" i="33"/>
  <c r="Z69" i="33"/>
  <c r="AF69" i="33"/>
  <c r="N207" i="33"/>
  <c r="V235" i="33"/>
  <c r="N235" i="33"/>
  <c r="P235" i="33"/>
  <c r="H235" i="33"/>
  <c r="R235" i="33"/>
  <c r="J235" i="33"/>
  <c r="T220" i="33"/>
  <c r="L220" i="33"/>
  <c r="R127" i="33"/>
  <c r="J127" i="33"/>
  <c r="L69" i="33"/>
  <c r="R46" i="33"/>
  <c r="AT247" i="33"/>
  <c r="AC101" i="33"/>
  <c r="AA16" i="33"/>
  <c r="AS249" i="33"/>
  <c r="AR59" i="33"/>
  <c r="V207" i="33"/>
  <c r="Q220" i="33"/>
  <c r="I220" i="33"/>
  <c r="R220" i="33"/>
  <c r="J220" i="33"/>
  <c r="P171" i="33"/>
  <c r="S162" i="33"/>
  <c r="K162" i="33"/>
  <c r="M138" i="33"/>
  <c r="W138" i="33"/>
  <c r="O138" i="33"/>
  <c r="G138" i="33"/>
  <c r="G146" i="33" s="1"/>
  <c r="R76" i="33"/>
  <c r="J76" i="33"/>
  <c r="T76" i="33"/>
  <c r="L76" i="33"/>
  <c r="V76" i="33"/>
  <c r="N76" i="33"/>
  <c r="G25" i="33"/>
  <c r="I25" i="33"/>
  <c r="AT246" i="33"/>
  <c r="AR69" i="33"/>
  <c r="AC207" i="33"/>
  <c r="AB207" i="33"/>
  <c r="AE207" i="33"/>
  <c r="AA207" i="33"/>
  <c r="AD207" i="33"/>
  <c r="AA195" i="33"/>
  <c r="AD195" i="33"/>
  <c r="AF195" i="33"/>
  <c r="Z195" i="33"/>
  <c r="AC195" i="33"/>
  <c r="AE195" i="33"/>
  <c r="AC138" i="33"/>
  <c r="AB138" i="33"/>
  <c r="AE138" i="33"/>
  <c r="AA138" i="33"/>
  <c r="AF138" i="33"/>
  <c r="Z138" i="33"/>
  <c r="AD101" i="33"/>
  <c r="AF101" i="33"/>
  <c r="Z101" i="33"/>
  <c r="AB101" i="33"/>
  <c r="AE101" i="33"/>
  <c r="AA101" i="33"/>
  <c r="AR162" i="33"/>
  <c r="AR101" i="33"/>
  <c r="AF113" i="33"/>
  <c r="Z113" i="33"/>
  <c r="AC113" i="33"/>
  <c r="AB113" i="33"/>
  <c r="AE113" i="33"/>
  <c r="AA113" i="33"/>
  <c r="AD113" i="33"/>
  <c r="AD81" i="33"/>
  <c r="AB69" i="33"/>
  <c r="AB70" i="33" s="1"/>
  <c r="AD37" i="33"/>
  <c r="AE37" i="33"/>
  <c r="AF24" i="33"/>
  <c r="Z24" i="33"/>
  <c r="Z25" i="33" s="1"/>
  <c r="AA235" i="33"/>
  <c r="AD235" i="33"/>
  <c r="AE171" i="33"/>
  <c r="AA171" i="33"/>
  <c r="AD171" i="33"/>
  <c r="AF171" i="33"/>
  <c r="Z171" i="33"/>
  <c r="AC171" i="33"/>
  <c r="AD69" i="33"/>
  <c r="AE16" i="33"/>
  <c r="AE17" i="33" s="1"/>
  <c r="AC9" i="33"/>
  <c r="AR86" i="33"/>
  <c r="AS25" i="33"/>
  <c r="AS16" i="33"/>
  <c r="AS17" i="33" s="1"/>
  <c r="AF220" i="33"/>
  <c r="Z220" i="33"/>
  <c r="AC220" i="33"/>
  <c r="AB220" i="33"/>
  <c r="AA220" i="33"/>
  <c r="AD220" i="33"/>
  <c r="Z59" i="33"/>
  <c r="Z70" i="33" s="1"/>
  <c r="AA37" i="33"/>
  <c r="AA47" i="33" s="1"/>
  <c r="AC37" i="33"/>
  <c r="AD24" i="33"/>
  <c r="AB20" i="33"/>
  <c r="AB25" i="33" s="1"/>
  <c r="AR20" i="33"/>
  <c r="AR16" i="33"/>
  <c r="AR17" i="33" s="1"/>
  <c r="T20" i="33"/>
  <c r="L20" i="33"/>
  <c r="AE249" i="33"/>
  <c r="AA249" i="33"/>
  <c r="AD249" i="33"/>
  <c r="AF249" i="33"/>
  <c r="Z249" i="33"/>
  <c r="AC145" i="33"/>
  <c r="AB145" i="33"/>
  <c r="AE145" i="33"/>
  <c r="AA145" i="33"/>
  <c r="AF127" i="33"/>
  <c r="Z127" i="33"/>
  <c r="AB127" i="33"/>
  <c r="AE127" i="33"/>
  <c r="AA127" i="33"/>
  <c r="AD127" i="33"/>
  <c r="AD76" i="33"/>
  <c r="AA69" i="33"/>
  <c r="AA59" i="33"/>
  <c r="AA46" i="33"/>
  <c r="AD46" i="33"/>
  <c r="AD16" i="33"/>
  <c r="AF16" i="33"/>
  <c r="AF17" i="33" s="1"/>
  <c r="Z16" i="33"/>
  <c r="AC16" i="33"/>
  <c r="AA9" i="33"/>
  <c r="AD9" i="33"/>
  <c r="AD17" i="33" s="1"/>
  <c r="AR249" i="33"/>
  <c r="H24" i="33"/>
  <c r="H25" i="33" s="1"/>
  <c r="R24" i="33"/>
  <c r="J24" i="33"/>
  <c r="T24" i="33"/>
  <c r="L24" i="33"/>
  <c r="V16" i="33"/>
  <c r="R9" i="33"/>
  <c r="J9" i="33"/>
  <c r="T9" i="33"/>
  <c r="AB184" i="33"/>
  <c r="AE184" i="33"/>
  <c r="AD184" i="33"/>
  <c r="AF184" i="33"/>
  <c r="Z184" i="33"/>
  <c r="AC184" i="33"/>
  <c r="AF86" i="33"/>
  <c r="Z86" i="33"/>
  <c r="AC86" i="33"/>
  <c r="AE86" i="33"/>
  <c r="AA76" i="33"/>
  <c r="AF59" i="33"/>
  <c r="AF70" i="33" s="1"/>
  <c r="AR145" i="33"/>
  <c r="AS76" i="33"/>
  <c r="AR46" i="33"/>
  <c r="AR47" i="33" s="1"/>
  <c r="P25" i="33"/>
  <c r="R20" i="33"/>
  <c r="J20" i="33"/>
  <c r="AD145" i="33"/>
  <c r="AF81" i="33"/>
  <c r="Z81" i="33"/>
  <c r="AB76" i="33"/>
  <c r="AD59" i="33"/>
  <c r="AD70" i="33" s="1"/>
  <c r="AF46" i="33"/>
  <c r="Z46" i="33"/>
  <c r="AC46" i="33"/>
  <c r="AB46" i="33"/>
  <c r="AE46" i="33"/>
  <c r="AB37" i="33"/>
  <c r="AE20" i="33"/>
  <c r="AE25" i="33" s="1"/>
  <c r="AR76" i="33"/>
  <c r="Z17" i="33"/>
  <c r="H231" i="33"/>
  <c r="H184" i="33"/>
  <c r="R231" i="33"/>
  <c r="J231" i="33"/>
  <c r="T195" i="33"/>
  <c r="L195" i="33"/>
  <c r="P145" i="33"/>
  <c r="H145" i="33"/>
  <c r="R138" i="33"/>
  <c r="J138" i="33"/>
  <c r="T138" i="33"/>
  <c r="L138" i="33"/>
  <c r="V9" i="33"/>
  <c r="V17" i="33" s="1"/>
  <c r="N9" i="33"/>
  <c r="P231" i="33"/>
  <c r="R171" i="33"/>
  <c r="J171" i="33"/>
  <c r="T171" i="33"/>
  <c r="L171" i="33"/>
  <c r="V171" i="33"/>
  <c r="N171" i="33"/>
  <c r="T46" i="33"/>
  <c r="L46" i="33"/>
  <c r="V46" i="33"/>
  <c r="N46" i="33"/>
  <c r="P46" i="33"/>
  <c r="H46" i="33"/>
  <c r="T184" i="33"/>
  <c r="T145" i="33"/>
  <c r="V37" i="33"/>
  <c r="R37" i="33"/>
  <c r="V220" i="33"/>
  <c r="N220" i="33"/>
  <c r="P220" i="33"/>
  <c r="H220" i="33"/>
  <c r="L184" i="33"/>
  <c r="H37" i="33"/>
  <c r="J37" i="33"/>
  <c r="P207" i="33"/>
  <c r="H207" i="33"/>
  <c r="R207" i="33"/>
  <c r="J207" i="33"/>
  <c r="P69" i="33"/>
  <c r="P70" i="33" s="1"/>
  <c r="H69" i="33"/>
  <c r="R69" i="33"/>
  <c r="J69" i="33"/>
  <c r="V69" i="33"/>
  <c r="N69" i="33"/>
  <c r="P184" i="33"/>
  <c r="L145" i="33"/>
  <c r="P76" i="33"/>
  <c r="N37" i="33"/>
  <c r="P101" i="33"/>
  <c r="H101" i="33"/>
  <c r="R101" i="33"/>
  <c r="J101" i="33"/>
  <c r="T101" i="33"/>
  <c r="L101" i="33"/>
  <c r="T16" i="33"/>
  <c r="L16" i="33"/>
  <c r="L17" i="33" s="1"/>
  <c r="J184" i="33"/>
  <c r="N145" i="33"/>
  <c r="V195" i="33"/>
  <c r="N195" i="33"/>
  <c r="V138" i="33"/>
  <c r="N138" i="33"/>
  <c r="T113" i="33"/>
  <c r="L113" i="33"/>
  <c r="V113" i="33"/>
  <c r="N113" i="33"/>
  <c r="P113" i="33"/>
  <c r="H113" i="33"/>
  <c r="R59" i="33"/>
  <c r="J59" i="33"/>
  <c r="T59" i="33"/>
  <c r="T70" i="33" s="1"/>
  <c r="L59" i="33"/>
  <c r="V59" i="33"/>
  <c r="N59" i="33"/>
  <c r="P9" i="33"/>
  <c r="H9" i="33"/>
  <c r="R184" i="33"/>
  <c r="V145" i="33"/>
  <c r="H76" i="33"/>
  <c r="P37" i="33"/>
  <c r="R249" i="33"/>
  <c r="J249" i="33"/>
  <c r="T249" i="33"/>
  <c r="L249" i="33"/>
  <c r="T127" i="33"/>
  <c r="L127" i="33"/>
  <c r="P127" i="33"/>
  <c r="H127" i="33"/>
  <c r="P16" i="33"/>
  <c r="H16" i="33"/>
  <c r="R16" i="33"/>
  <c r="J16" i="33"/>
  <c r="J17" i="33" s="1"/>
  <c r="K197" i="33" l="1"/>
  <c r="O25" i="33"/>
  <c r="N25" i="33"/>
  <c r="R17" i="33"/>
  <c r="R47" i="33"/>
  <c r="T47" i="33"/>
  <c r="AF47" i="33"/>
  <c r="K70" i="33"/>
  <c r="K87" i="33" s="1"/>
  <c r="K103" i="33" s="1"/>
  <c r="K146" i="33"/>
  <c r="M70" i="33"/>
  <c r="V25" i="33"/>
  <c r="S25" i="33"/>
  <c r="L70" i="33"/>
  <c r="AA17" i="33"/>
  <c r="AD47" i="33"/>
  <c r="AF25" i="33"/>
  <c r="AF87" i="33" s="1"/>
  <c r="AF103" i="33" s="1"/>
  <c r="W146" i="33"/>
  <c r="J47" i="33"/>
  <c r="N17" i="33"/>
  <c r="U25" i="33"/>
  <c r="I47" i="33"/>
  <c r="N47" i="33"/>
  <c r="H70" i="33"/>
  <c r="Z47" i="33"/>
  <c r="Z87" i="33" s="1"/>
  <c r="Z103" i="33" s="1"/>
  <c r="O146" i="33"/>
  <c r="I17" i="33"/>
  <c r="Q47" i="33"/>
  <c r="AU246" i="33"/>
  <c r="AV246" i="33" s="1"/>
  <c r="G197" i="33"/>
  <c r="I197" i="33"/>
  <c r="I237" i="33" s="1"/>
  <c r="I251" i="33" s="1"/>
  <c r="I254" i="33" s="1"/>
  <c r="R197" i="33"/>
  <c r="U146" i="33"/>
  <c r="T17" i="33"/>
  <c r="AR25" i="33"/>
  <c r="W25" i="33"/>
  <c r="W87" i="33" s="1"/>
  <c r="W103" i="33" s="1"/>
  <c r="V47" i="33"/>
  <c r="V197" i="33"/>
  <c r="L47" i="33"/>
  <c r="R25" i="33"/>
  <c r="R70" i="33"/>
  <c r="R87" i="33" s="1"/>
  <c r="R103" i="33" s="1"/>
  <c r="Q146" i="33"/>
  <c r="W17" i="33"/>
  <c r="H17" i="33"/>
  <c r="O17" i="33"/>
  <c r="AB47" i="33"/>
  <c r="AB87" i="33" s="1"/>
  <c r="AB103" i="33" s="1"/>
  <c r="R146" i="33"/>
  <c r="M146" i="33"/>
  <c r="U197" i="33"/>
  <c r="U237" i="33" s="1"/>
  <c r="U251" i="33" s="1"/>
  <c r="U254" i="33" s="1"/>
  <c r="AC17" i="33"/>
  <c r="M197" i="33"/>
  <c r="M237" i="33" s="1"/>
  <c r="M251" i="33" s="1"/>
  <c r="M254" i="33" s="1"/>
  <c r="Q87" i="33"/>
  <c r="Q103" i="33" s="1"/>
  <c r="AS70" i="33"/>
  <c r="AS87" i="33" s="1"/>
  <c r="AS103" i="33" s="1"/>
  <c r="O197" i="33"/>
  <c r="O237" i="33" s="1"/>
  <c r="O251" i="33" s="1"/>
  <c r="O254" i="33" s="1"/>
  <c r="AB197" i="33"/>
  <c r="AB237" i="33" s="1"/>
  <c r="AB251" i="33" s="1"/>
  <c r="AB254" i="33" s="1"/>
  <c r="G47" i="33"/>
  <c r="G87" i="33" s="1"/>
  <c r="G103" i="33" s="1"/>
  <c r="S70" i="33"/>
  <c r="P197" i="33"/>
  <c r="P237" i="33" s="1"/>
  <c r="P251" i="33" s="1"/>
  <c r="P254" i="33" s="1"/>
  <c r="O47" i="33"/>
  <c r="O87" i="33" s="1"/>
  <c r="O103" i="33" s="1"/>
  <c r="AA197" i="33"/>
  <c r="AA237" i="33" s="1"/>
  <c r="AA251" i="33" s="1"/>
  <c r="AA254" i="33" s="1"/>
  <c r="S197" i="33"/>
  <c r="S237" i="33" s="1"/>
  <c r="S251" i="33" s="1"/>
  <c r="S254" i="33" s="1"/>
  <c r="H197" i="33"/>
  <c r="H237" i="33" s="1"/>
  <c r="H251" i="33" s="1"/>
  <c r="H254" i="33" s="1"/>
  <c r="AD25" i="33"/>
  <c r="I87" i="33"/>
  <c r="I103" i="33" s="1"/>
  <c r="M47" i="33"/>
  <c r="M87" i="33" s="1"/>
  <c r="M103" i="33" s="1"/>
  <c r="AC47" i="33"/>
  <c r="AE146" i="33"/>
  <c r="AC197" i="33"/>
  <c r="AC237" i="33" s="1"/>
  <c r="AC251" i="33" s="1"/>
  <c r="AC254" i="33" s="1"/>
  <c r="Q197" i="33"/>
  <c r="Q237" i="33" s="1"/>
  <c r="Q251" i="33" s="1"/>
  <c r="Q254" i="33" s="1"/>
  <c r="M17" i="33"/>
  <c r="S146" i="33"/>
  <c r="U47" i="33"/>
  <c r="U87" i="33" s="1"/>
  <c r="U103" i="33" s="1"/>
  <c r="V146" i="33"/>
  <c r="J197" i="33"/>
  <c r="J237" i="33" s="1"/>
  <c r="J251" i="33" s="1"/>
  <c r="J254" i="33" s="1"/>
  <c r="AB146" i="33"/>
  <c r="Z197" i="33"/>
  <c r="Z237" i="33" s="1"/>
  <c r="Z251" i="33" s="1"/>
  <c r="Z254" i="33" s="1"/>
  <c r="J146" i="33"/>
  <c r="I146" i="33"/>
  <c r="S47" i="33"/>
  <c r="R237" i="33"/>
  <c r="R251" i="33" s="1"/>
  <c r="R254" i="33" s="1"/>
  <c r="AE47" i="33"/>
  <c r="AF197" i="33"/>
  <c r="AF237" i="33" s="1"/>
  <c r="AF251" i="33" s="1"/>
  <c r="AF254" i="33" s="1"/>
  <c r="K237" i="33"/>
  <c r="K251" i="33" s="1"/>
  <c r="K254" i="33" s="1"/>
  <c r="AR70" i="33"/>
  <c r="AR87" i="33" s="1"/>
  <c r="AR103" i="33" s="1"/>
  <c r="AU247" i="33"/>
  <c r="AV247" i="33" s="1"/>
  <c r="AD146" i="33"/>
  <c r="AC146" i="33"/>
  <c r="L25" i="33"/>
  <c r="T25" i="33"/>
  <c r="AA146" i="33"/>
  <c r="Z146" i="33"/>
  <c r="G237" i="33"/>
  <c r="G251" i="33" s="1"/>
  <c r="G254" i="33" s="1"/>
  <c r="AF146" i="33"/>
  <c r="AD197" i="33"/>
  <c r="AD237" i="33" s="1"/>
  <c r="AD251" i="33" s="1"/>
  <c r="AD254" i="33" s="1"/>
  <c r="V237" i="33"/>
  <c r="V251" i="33" s="1"/>
  <c r="V254" i="33" s="1"/>
  <c r="H47" i="33"/>
  <c r="V70" i="33"/>
  <c r="V87" i="33" s="1"/>
  <c r="V103" i="33" s="1"/>
  <c r="J25" i="33"/>
  <c r="AA70" i="33"/>
  <c r="AA87" i="33" s="1"/>
  <c r="AA103" i="33" s="1"/>
  <c r="AE197" i="33"/>
  <c r="AE237" i="33" s="1"/>
  <c r="AE251" i="33" s="1"/>
  <c r="AE254" i="33" s="1"/>
  <c r="N146" i="33"/>
  <c r="L197" i="33"/>
  <c r="J70" i="33"/>
  <c r="L146" i="33"/>
  <c r="T197" i="33"/>
  <c r="T146" i="33"/>
  <c r="P47" i="33"/>
  <c r="P87" i="33" s="1"/>
  <c r="P103" i="33" s="1"/>
  <c r="P17" i="33"/>
  <c r="H146" i="33"/>
  <c r="N70" i="33"/>
  <c r="P146" i="33"/>
  <c r="N197" i="33"/>
  <c r="N87" i="33" l="1"/>
  <c r="N103" i="33" s="1"/>
  <c r="T87" i="33"/>
  <c r="T103" i="33" s="1"/>
  <c r="AD87" i="33"/>
  <c r="AD103" i="33" s="1"/>
  <c r="L87" i="33"/>
  <c r="L103" i="33" s="1"/>
  <c r="H87" i="33"/>
  <c r="H103" i="33" s="1"/>
  <c r="J87" i="33"/>
  <c r="J103" i="33" s="1"/>
  <c r="S87" i="33"/>
  <c r="S103" i="33" s="1"/>
  <c r="N237" i="33"/>
  <c r="N251" i="33" s="1"/>
  <c r="N254" i="33" s="1"/>
  <c r="T237" i="33"/>
  <c r="T251" i="33" s="1"/>
  <c r="T254" i="33" s="1"/>
  <c r="L237" i="33"/>
  <c r="L251" i="33" s="1"/>
  <c r="L254" i="33" s="1"/>
  <c r="W3" i="33" l="1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I2" i="33"/>
  <c r="D14" i="22"/>
  <c r="E14" i="22"/>
  <c r="F14" i="22"/>
  <c r="G14" i="22"/>
  <c r="H14" i="22"/>
  <c r="J30" i="22"/>
  <c r="A14" i="22" l="1"/>
  <c r="D11" i="22"/>
  <c r="E11" i="22"/>
  <c r="F11" i="22"/>
  <c r="G11" i="22"/>
  <c r="H11" i="22"/>
  <c r="D8" i="22"/>
  <c r="E8" i="22"/>
  <c r="F8" i="22"/>
  <c r="G8" i="22"/>
  <c r="H8" i="22"/>
  <c r="F159" i="7" l="1"/>
  <c r="L159" i="7"/>
  <c r="K159" i="7"/>
  <c r="AV375" i="7"/>
  <c r="AW375" i="7" s="1"/>
  <c r="AY375" i="7" s="1"/>
  <c r="E126" i="1" s="1"/>
  <c r="AO126" i="1" s="1"/>
  <c r="AV376" i="7"/>
  <c r="AW376" i="7" s="1"/>
  <c r="AY376" i="7" s="1"/>
  <c r="E127" i="1" s="1"/>
  <c r="AO127" i="1" s="1"/>
  <c r="AY412" i="7"/>
  <c r="AY381" i="7"/>
  <c r="AV377" i="7"/>
  <c r="AW377" i="7" s="1"/>
  <c r="AV351" i="7"/>
  <c r="AW351" i="7" s="1"/>
  <c r="AV374" i="7"/>
  <c r="K149" i="33"/>
  <c r="AR149" i="33"/>
  <c r="AY377" i="7" l="1"/>
  <c r="AC149" i="33" l="1"/>
  <c r="AJ28" i="7" l="1"/>
  <c r="AJ32" i="7" s="1"/>
  <c r="AJ55" i="7"/>
  <c r="AJ64" i="7"/>
  <c r="AJ65" i="7"/>
  <c r="AJ66" i="7"/>
  <c r="AJ67" i="7"/>
  <c r="AJ81" i="7"/>
  <c r="AJ92" i="7"/>
  <c r="AJ102" i="7"/>
  <c r="AJ109" i="7"/>
  <c r="AJ116" i="7"/>
  <c r="AJ123" i="7"/>
  <c r="AJ124" i="7"/>
  <c r="AJ125" i="7"/>
  <c r="AJ126" i="7"/>
  <c r="AJ140" i="7"/>
  <c r="AJ150" i="7"/>
  <c r="AJ159" i="7"/>
  <c r="AJ164" i="7" s="1"/>
  <c r="AJ176" i="7"/>
  <c r="AJ182" i="7"/>
  <c r="AJ183" i="7"/>
  <c r="AJ184" i="7"/>
  <c r="AJ185" i="7"/>
  <c r="AJ200" i="7"/>
  <c r="AJ213" i="7"/>
  <c r="AJ224" i="7"/>
  <c r="AJ242" i="7"/>
  <c r="AJ243" i="7"/>
  <c r="AJ244" i="7"/>
  <c r="AJ245" i="7"/>
  <c r="AJ253" i="7"/>
  <c r="AJ264" i="7"/>
  <c r="AJ280" i="7"/>
  <c r="AJ293" i="7"/>
  <c r="AJ302" i="7"/>
  <c r="AJ303" i="7"/>
  <c r="AJ304" i="7"/>
  <c r="AJ305" i="7"/>
  <c r="AJ317" i="7"/>
  <c r="AJ333" i="7"/>
  <c r="AJ346" i="7"/>
  <c r="AJ354" i="7"/>
  <c r="AJ362" i="7"/>
  <c r="AJ363" i="7"/>
  <c r="AJ364" i="7"/>
  <c r="AJ365" i="7"/>
  <c r="AJ378" i="7"/>
  <c r="AJ392" i="7"/>
  <c r="AJ401" i="7"/>
  <c r="AB401" i="7"/>
  <c r="AB392" i="7"/>
  <c r="AB378" i="7"/>
  <c r="AB362" i="7"/>
  <c r="AB363" i="7"/>
  <c r="AB364" i="7"/>
  <c r="AB365" i="7"/>
  <c r="AB354" i="7"/>
  <c r="AB346" i="7"/>
  <c r="AB333" i="7"/>
  <c r="AB317" i="7"/>
  <c r="AB302" i="7"/>
  <c r="AB303" i="7"/>
  <c r="AB304" i="7"/>
  <c r="AB305" i="7"/>
  <c r="AB293" i="7"/>
  <c r="AB280" i="7"/>
  <c r="AB264" i="7"/>
  <c r="AB253" i="7"/>
  <c r="AB242" i="7"/>
  <c r="AB243" i="7"/>
  <c r="AB244" i="7"/>
  <c r="AB245" i="7"/>
  <c r="AB224" i="7"/>
  <c r="AB213" i="7"/>
  <c r="AB200" i="7"/>
  <c r="AB182" i="7"/>
  <c r="AB183" i="7"/>
  <c r="AB184" i="7"/>
  <c r="AB185" i="7"/>
  <c r="AB176" i="7"/>
  <c r="AB159" i="7"/>
  <c r="AB150" i="7"/>
  <c r="AB140" i="7"/>
  <c r="AB123" i="7"/>
  <c r="AB124" i="7"/>
  <c r="AB125" i="7"/>
  <c r="AB126" i="7"/>
  <c r="AB116" i="7"/>
  <c r="AB109" i="7"/>
  <c r="AB102" i="7"/>
  <c r="AB92" i="7"/>
  <c r="AB81" i="7"/>
  <c r="AB64" i="7"/>
  <c r="AB65" i="7"/>
  <c r="AB66" i="7"/>
  <c r="AB67" i="7"/>
  <c r="AB55" i="7"/>
  <c r="AB28" i="7"/>
  <c r="AB32" i="7" s="1"/>
  <c r="AB164" i="7" l="1"/>
  <c r="AB148" i="33" s="1"/>
  <c r="AB153" i="33" s="1"/>
  <c r="AB155" i="33" s="1"/>
  <c r="AB157" i="33" s="1"/>
  <c r="AJ403" i="7"/>
  <c r="AB348" i="7"/>
  <c r="AB215" i="7"/>
  <c r="AB226" i="7" s="1"/>
  <c r="AB403" i="7"/>
  <c r="AB295" i="7"/>
  <c r="AB94" i="7"/>
  <c r="AB118" i="7" s="1"/>
  <c r="AB142" i="7" s="1"/>
  <c r="AJ94" i="7"/>
  <c r="AJ118" i="7" s="1"/>
  <c r="AJ142" i="7" s="1"/>
  <c r="AJ215" i="7"/>
  <c r="AJ226" i="7" s="1"/>
  <c r="AJ295" i="7"/>
  <c r="AJ348" i="7"/>
  <c r="AB228" i="7" l="1"/>
  <c r="AB236" i="7" s="1"/>
  <c r="AB405" i="7" s="1"/>
  <c r="AB356" i="7"/>
  <c r="AB380" i="7" s="1"/>
  <c r="AJ228" i="7"/>
  <c r="AJ236" i="7" s="1"/>
  <c r="AJ405" i="7" s="1"/>
  <c r="AJ356" i="7"/>
  <c r="AJ380" i="7" s="1"/>
  <c r="S10" i="33" l="1"/>
  <c r="S16" i="33" s="1"/>
  <c r="S17" i="33" s="1"/>
  <c r="AB408" i="7" l="1"/>
  <c r="AJ408" i="7"/>
  <c r="AB382" i="7" l="1"/>
  <c r="AJ382" i="7"/>
  <c r="F55" i="7" l="1"/>
  <c r="F392" i="7" l="1"/>
  <c r="F224" i="7" l="1"/>
  <c r="B53" i="14" l="1"/>
  <c r="C53" i="14"/>
  <c r="B54" i="14"/>
  <c r="C54" i="14"/>
  <c r="B55" i="14"/>
  <c r="C55" i="14"/>
  <c r="B56" i="14"/>
  <c r="C56" i="14"/>
  <c r="C52" i="14"/>
  <c r="B52" i="14"/>
  <c r="D56" i="14" l="1"/>
  <c r="D53" i="14"/>
  <c r="D54" i="14"/>
  <c r="D52" i="14"/>
  <c r="D55" i="14"/>
  <c r="B36" i="12"/>
  <c r="C37" i="12"/>
  <c r="C36" i="12"/>
  <c r="D37" i="12"/>
  <c r="D38" i="12"/>
  <c r="D39" i="12"/>
  <c r="D40" i="12"/>
  <c r="D52" i="13" l="1"/>
  <c r="A47" i="13" l="1"/>
  <c r="A47" i="14" s="1"/>
  <c r="A39" i="13"/>
  <c r="C68" i="13" s="1"/>
  <c r="D68" i="13" s="1"/>
  <c r="A31" i="13"/>
  <c r="A31" i="14" s="1"/>
  <c r="A23" i="13"/>
  <c r="C67" i="13" s="1"/>
  <c r="A15" i="13"/>
  <c r="C66" i="13" l="1"/>
  <c r="D66" i="13" s="1"/>
  <c r="C14" i="13"/>
  <c r="C13" i="13"/>
  <c r="C12" i="13"/>
  <c r="C11" i="13"/>
  <c r="A23" i="14"/>
  <c r="A39" i="14"/>
  <c r="A15" i="14"/>
  <c r="K39" i="21" l="1"/>
  <c r="D194" i="20"/>
  <c r="C193" i="20"/>
  <c r="B193" i="20"/>
  <c r="C6" i="20"/>
  <c r="D6" i="20" s="1"/>
  <c r="D193" i="20" l="1"/>
  <c r="E193" i="20"/>
  <c r="M80" i="4"/>
  <c r="E33" i="23" l="1"/>
  <c r="D146" i="20" l="1"/>
  <c r="C145" i="20"/>
  <c r="B145" i="20"/>
  <c r="E110" i="20"/>
  <c r="E111" i="20" s="1"/>
  <c r="D100" i="20"/>
  <c r="C99" i="20"/>
  <c r="B99" i="20"/>
  <c r="E63" i="20"/>
  <c r="E64" i="20" s="1"/>
  <c r="C51" i="20"/>
  <c r="B51" i="20"/>
  <c r="D99" i="20" l="1"/>
  <c r="D145" i="20"/>
  <c r="E99" i="20"/>
  <c r="E145" i="20"/>
  <c r="I54" i="21"/>
  <c r="X10" i="20"/>
  <c r="K56" i="21" l="1"/>
  <c r="K57" i="21"/>
  <c r="K73" i="21" l="1"/>
  <c r="A56" i="14"/>
  <c r="A55" i="14"/>
  <c r="D21" i="14" s="1"/>
  <c r="A54" i="14"/>
  <c r="A53" i="14"/>
  <c r="A52" i="14"/>
  <c r="D34" i="14" s="1"/>
  <c r="D51" i="14"/>
  <c r="C51" i="14"/>
  <c r="B51" i="14"/>
  <c r="A51" i="14"/>
  <c r="E46" i="14"/>
  <c r="E45" i="14"/>
  <c r="E44" i="14"/>
  <c r="E43" i="14"/>
  <c r="E42" i="14"/>
  <c r="E38" i="14"/>
  <c r="D38" i="14"/>
  <c r="E37" i="14"/>
  <c r="C37" i="14"/>
  <c r="C37" i="13" s="1"/>
  <c r="E36" i="14"/>
  <c r="C36" i="14"/>
  <c r="C36" i="13" s="1"/>
  <c r="E35" i="14"/>
  <c r="C35" i="14"/>
  <c r="C35" i="13" s="1"/>
  <c r="E34" i="14"/>
  <c r="C34" i="14"/>
  <c r="C34" i="13" s="1"/>
  <c r="E30" i="14"/>
  <c r="C30" i="14"/>
  <c r="E29" i="14"/>
  <c r="C29" i="14"/>
  <c r="E28" i="14"/>
  <c r="C28" i="14"/>
  <c r="E27" i="14"/>
  <c r="C27" i="14"/>
  <c r="E26" i="14"/>
  <c r="E22" i="14"/>
  <c r="E21" i="14"/>
  <c r="E20" i="14"/>
  <c r="E19" i="14"/>
  <c r="E18" i="14"/>
  <c r="E14" i="14"/>
  <c r="E13" i="14"/>
  <c r="D13" i="14"/>
  <c r="E12" i="14"/>
  <c r="E11" i="14"/>
  <c r="E10" i="14"/>
  <c r="E8" i="14"/>
  <c r="D8" i="14"/>
  <c r="D67" i="13"/>
  <c r="E19" i="13" s="1"/>
  <c r="E11" i="13"/>
  <c r="C57" i="13"/>
  <c r="B57" i="13"/>
  <c r="D56" i="13"/>
  <c r="D55" i="13"/>
  <c r="D54" i="13"/>
  <c r="D36" i="13" s="1"/>
  <c r="D53" i="13"/>
  <c r="D11" i="13" s="1"/>
  <c r="D45" i="13"/>
  <c r="D42" i="13"/>
  <c r="E38" i="13"/>
  <c r="D38" i="13"/>
  <c r="E37" i="13"/>
  <c r="D37" i="13"/>
  <c r="E36" i="13"/>
  <c r="E35" i="13"/>
  <c r="E34" i="13"/>
  <c r="D34" i="13"/>
  <c r="D29" i="13"/>
  <c r="F29" i="13" s="1"/>
  <c r="D26" i="13"/>
  <c r="F26" i="13" s="1"/>
  <c r="M22" i="13"/>
  <c r="M21" i="13"/>
  <c r="C21" i="13" s="1"/>
  <c r="D21" i="13"/>
  <c r="M20" i="13"/>
  <c r="M19" i="13"/>
  <c r="C19" i="13" s="1"/>
  <c r="M18" i="13"/>
  <c r="C18" i="13" s="1"/>
  <c r="D18" i="13"/>
  <c r="M14" i="13"/>
  <c r="M13" i="13"/>
  <c r="D13" i="13"/>
  <c r="M12" i="13"/>
  <c r="D12" i="13"/>
  <c r="M11" i="13"/>
  <c r="D10" i="13"/>
  <c r="F38" i="14" l="1"/>
  <c r="C20" i="13"/>
  <c r="C20" i="14" s="1"/>
  <c r="C22" i="13"/>
  <c r="C22" i="14" s="1"/>
  <c r="F13" i="14"/>
  <c r="D19" i="14"/>
  <c r="F19" i="14" s="1"/>
  <c r="F34" i="13"/>
  <c r="D43" i="13"/>
  <c r="F43" i="13" s="1"/>
  <c r="D35" i="13"/>
  <c r="F35" i="13" s="1"/>
  <c r="D44" i="13"/>
  <c r="D19" i="13"/>
  <c r="F19" i="13" s="1"/>
  <c r="D27" i="13"/>
  <c r="F27" i="13" s="1"/>
  <c r="D28" i="13"/>
  <c r="F28" i="13" s="1"/>
  <c r="D20" i="13"/>
  <c r="F20" i="13" s="1"/>
  <c r="F36" i="13"/>
  <c r="D57" i="13"/>
  <c r="C58" i="13" s="1"/>
  <c r="F34" i="14"/>
  <c r="E20" i="13"/>
  <c r="E14" i="13"/>
  <c r="E18" i="13"/>
  <c r="E21" i="13"/>
  <c r="E22" i="13"/>
  <c r="E10" i="13"/>
  <c r="F10" i="13" s="1"/>
  <c r="E13" i="13"/>
  <c r="F13" i="13" s="1"/>
  <c r="E12" i="13"/>
  <c r="F12" i="13" s="1"/>
  <c r="F42" i="13"/>
  <c r="D30" i="13"/>
  <c r="F30" i="13" s="1"/>
  <c r="D46" i="13"/>
  <c r="F46" i="13" s="1"/>
  <c r="D14" i="13"/>
  <c r="D22" i="13"/>
  <c r="F45" i="13"/>
  <c r="F38" i="13"/>
  <c r="F11" i="13"/>
  <c r="F37" i="13"/>
  <c r="F44" i="13"/>
  <c r="C21" i="14"/>
  <c r="F21" i="14" s="1"/>
  <c r="M15" i="13"/>
  <c r="D27" i="14"/>
  <c r="F27" i="14" s="1"/>
  <c r="D29" i="14"/>
  <c r="F29" i="14" s="1"/>
  <c r="D44" i="14"/>
  <c r="F44" i="14" s="1"/>
  <c r="D46" i="14"/>
  <c r="F46" i="14" s="1"/>
  <c r="D11" i="14"/>
  <c r="F11" i="14" s="1"/>
  <c r="D42" i="14"/>
  <c r="F42" i="14" s="1"/>
  <c r="D14" i="14"/>
  <c r="F14" i="14" s="1"/>
  <c r="D20" i="14"/>
  <c r="D22" i="14"/>
  <c r="D36" i="14"/>
  <c r="F36" i="14" s="1"/>
  <c r="D18" i="14"/>
  <c r="F18" i="14" s="1"/>
  <c r="D35" i="14"/>
  <c r="F35" i="14" s="1"/>
  <c r="D37" i="14"/>
  <c r="F37" i="14" s="1"/>
  <c r="D12" i="14"/>
  <c r="F12" i="14" s="1"/>
  <c r="D28" i="14"/>
  <c r="F28" i="14" s="1"/>
  <c r="D45" i="14"/>
  <c r="F45" i="14" s="1"/>
  <c r="D26" i="14"/>
  <c r="F26" i="14" s="1"/>
  <c r="D30" i="14"/>
  <c r="F30" i="14" s="1"/>
  <c r="D43" i="14"/>
  <c r="F43" i="14" s="1"/>
  <c r="D10" i="14"/>
  <c r="F10" i="14" s="1"/>
  <c r="B58" i="13"/>
  <c r="M23" i="13"/>
  <c r="F22" i="14" l="1"/>
  <c r="F20" i="14"/>
  <c r="F23" i="14"/>
  <c r="G23" i="14" s="1"/>
  <c r="H23" i="14" s="1"/>
  <c r="F51" i="3" s="1"/>
  <c r="F31" i="13"/>
  <c r="G31" i="13" s="1"/>
  <c r="F14" i="13"/>
  <c r="F15" i="13" s="1"/>
  <c r="G15" i="13" s="1"/>
  <c r="F18" i="13"/>
  <c r="F22" i="13"/>
  <c r="F21" i="13"/>
  <c r="F39" i="14"/>
  <c r="G39" i="14" s="1"/>
  <c r="F47" i="13"/>
  <c r="G47" i="13" s="1"/>
  <c r="F39" i="13"/>
  <c r="G39" i="13" s="1"/>
  <c r="F47" i="14"/>
  <c r="G47" i="14" s="1"/>
  <c r="F15" i="14"/>
  <c r="G15" i="14" s="1"/>
  <c r="F31" i="14"/>
  <c r="G31" i="14" s="1"/>
  <c r="D58" i="13"/>
  <c r="F23" i="13" l="1"/>
  <c r="G23" i="13" s="1"/>
  <c r="H23" i="13" s="1"/>
  <c r="F48" i="3" s="1"/>
  <c r="H15" i="13"/>
  <c r="E48" i="3" s="1"/>
  <c r="H47" i="13"/>
  <c r="I48" i="3" s="1"/>
  <c r="H39" i="13"/>
  <c r="H48" i="3" s="1"/>
  <c r="H31" i="14"/>
  <c r="G51" i="3" s="1"/>
  <c r="H39" i="14"/>
  <c r="H51" i="3" s="1"/>
  <c r="H31" i="13"/>
  <c r="G48" i="3" s="1"/>
  <c r="H47" i="14"/>
  <c r="I51" i="3" s="1"/>
  <c r="E33" i="37" l="1"/>
  <c r="F33" i="37"/>
  <c r="G33" i="37"/>
  <c r="H33" i="37"/>
  <c r="I33" i="37"/>
  <c r="J33" i="37"/>
  <c r="K33" i="37"/>
  <c r="L33" i="37"/>
  <c r="M33" i="37"/>
  <c r="N33" i="37"/>
  <c r="O33" i="37"/>
  <c r="P33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D34" i="37"/>
  <c r="D35" i="37"/>
  <c r="D36" i="37"/>
  <c r="D33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D27" i="37"/>
  <c r="D28" i="37"/>
  <c r="D29" i="37"/>
  <c r="D26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D20" i="37"/>
  <c r="D21" i="37"/>
  <c r="D22" i="37"/>
  <c r="D19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D13" i="37"/>
  <c r="D14" i="37"/>
  <c r="D15" i="37"/>
  <c r="D12" i="37"/>
  <c r="E5" i="37"/>
  <c r="F5" i="37"/>
  <c r="G5" i="37"/>
  <c r="H5" i="37"/>
  <c r="I5" i="37"/>
  <c r="J5" i="37"/>
  <c r="K5" i="37"/>
  <c r="L5" i="37"/>
  <c r="M5" i="37"/>
  <c r="N5" i="37"/>
  <c r="O5" i="37"/>
  <c r="P5" i="37"/>
  <c r="E6" i="37"/>
  <c r="F6" i="37"/>
  <c r="G6" i="37"/>
  <c r="H6" i="37"/>
  <c r="I6" i="37"/>
  <c r="J6" i="37"/>
  <c r="K6" i="37"/>
  <c r="L6" i="37"/>
  <c r="M6" i="37"/>
  <c r="N6" i="37"/>
  <c r="O6" i="37"/>
  <c r="P6" i="37"/>
  <c r="E7" i="37"/>
  <c r="F7" i="37"/>
  <c r="G7" i="37"/>
  <c r="H7" i="37"/>
  <c r="I7" i="37"/>
  <c r="J7" i="37"/>
  <c r="K7" i="37"/>
  <c r="L7" i="37"/>
  <c r="M7" i="37"/>
  <c r="N7" i="37"/>
  <c r="O7" i="37"/>
  <c r="P7" i="37"/>
  <c r="E8" i="37"/>
  <c r="F8" i="37"/>
  <c r="G8" i="37"/>
  <c r="H8" i="37"/>
  <c r="I8" i="37"/>
  <c r="J8" i="37"/>
  <c r="K8" i="37"/>
  <c r="L8" i="37"/>
  <c r="M8" i="37"/>
  <c r="N8" i="37"/>
  <c r="O8" i="37"/>
  <c r="P8" i="37"/>
  <c r="D6" i="37"/>
  <c r="D7" i="37"/>
  <c r="D8" i="37"/>
  <c r="D5" i="37"/>
  <c r="P9" i="37" l="1"/>
  <c r="V6" i="37"/>
  <c r="E9" i="37"/>
  <c r="U16" i="37" l="1"/>
  <c r="U37" i="37"/>
  <c r="R16" i="37"/>
  <c r="R30" i="37"/>
  <c r="U30" i="37"/>
  <c r="S37" i="37"/>
  <c r="S30" i="37"/>
  <c r="T9" i="37"/>
  <c r="T16" i="37"/>
  <c r="R37" i="37"/>
  <c r="T37" i="37"/>
  <c r="T30" i="37"/>
  <c r="T23" i="37"/>
  <c r="R23" i="37"/>
  <c r="U23" i="37"/>
  <c r="S23" i="37"/>
  <c r="S9" i="37"/>
  <c r="S16" i="37"/>
  <c r="AV252" i="7"/>
  <c r="AV352" i="7"/>
  <c r="AW352" i="7" s="1"/>
  <c r="AY352" i="7" s="1"/>
  <c r="V16" i="37" l="1"/>
  <c r="AW252" i="7"/>
  <c r="J241" i="31"/>
  <c r="E163" i="33" l="1"/>
  <c r="Y161" i="33"/>
  <c r="F161" i="33"/>
  <c r="E161" i="33"/>
  <c r="F233" i="33"/>
  <c r="Y233" i="33"/>
  <c r="E233" i="33"/>
  <c r="X161" i="33" l="1"/>
  <c r="X233" i="33"/>
  <c r="AT233" i="33"/>
  <c r="AT161" i="33"/>
  <c r="AU161" i="33" l="1"/>
  <c r="AU233" i="33"/>
  <c r="AV233" i="33" s="1"/>
  <c r="AX233" i="33" s="1"/>
  <c r="AV161" i="33"/>
  <c r="I7" i="3"/>
  <c r="AX161" i="33" l="1"/>
  <c r="E108" i="1" l="1"/>
  <c r="AO108" i="1" s="1"/>
  <c r="G354" i="7"/>
  <c r="A108" i="1"/>
  <c r="AY252" i="7"/>
  <c r="E12" i="1" s="1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C253" i="7"/>
  <c r="AD253" i="7"/>
  <c r="AE253" i="7"/>
  <c r="AK253" i="7"/>
  <c r="AI253" i="7"/>
  <c r="AL253" i="7"/>
  <c r="AM253" i="7"/>
  <c r="AS253" i="7"/>
  <c r="AT253" i="7"/>
  <c r="G253" i="7"/>
  <c r="F253" i="7"/>
  <c r="E6" i="3" l="1"/>
  <c r="F6" i="3"/>
  <c r="H6" i="3"/>
  <c r="I6" i="3"/>
  <c r="E37" i="37"/>
  <c r="F37" i="37"/>
  <c r="G37" i="37"/>
  <c r="H37" i="37"/>
  <c r="I37" i="37"/>
  <c r="J37" i="37"/>
  <c r="K37" i="37"/>
  <c r="L37" i="37"/>
  <c r="M37" i="37"/>
  <c r="N37" i="37"/>
  <c r="O37" i="37"/>
  <c r="P37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D30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D23" i="37"/>
  <c r="P16" i="37"/>
  <c r="E16" i="37"/>
  <c r="F16" i="37"/>
  <c r="G16" i="37"/>
  <c r="H16" i="37"/>
  <c r="I16" i="37"/>
  <c r="J16" i="37"/>
  <c r="K16" i="37"/>
  <c r="L16" i="37"/>
  <c r="M16" i="37"/>
  <c r="N16" i="37"/>
  <c r="O16" i="37"/>
  <c r="D16" i="37"/>
  <c r="F9" i="37"/>
  <c r="G9" i="37"/>
  <c r="H9" i="37"/>
  <c r="I9" i="37"/>
  <c r="J9" i="37"/>
  <c r="K9" i="37"/>
  <c r="L9" i="37"/>
  <c r="M9" i="37"/>
  <c r="N9" i="37"/>
  <c r="O9" i="37"/>
  <c r="D9" i="37"/>
  <c r="V9" i="37" l="1"/>
  <c r="F7" i="3"/>
  <c r="H7" i="3"/>
  <c r="V23" i="37"/>
  <c r="V30" i="37" l="1"/>
  <c r="E7" i="3"/>
  <c r="V37" i="37"/>
  <c r="F28" i="23"/>
  <c r="I16" i="35" l="1"/>
  <c r="E19" i="33" l="1"/>
  <c r="AX366" i="7" l="1"/>
  <c r="AX365" i="7"/>
  <c r="AX364" i="7"/>
  <c r="AX363" i="7"/>
  <c r="AX306" i="7"/>
  <c r="AX305" i="7"/>
  <c r="AX304" i="7"/>
  <c r="AX303" i="7"/>
  <c r="AX246" i="7"/>
  <c r="AX245" i="7"/>
  <c r="AX244" i="7"/>
  <c r="AX243" i="7"/>
  <c r="AX185" i="7"/>
  <c r="AX184" i="7"/>
  <c r="AX183" i="7"/>
  <c r="AX127" i="7"/>
  <c r="AX126" i="7"/>
  <c r="AX125" i="7"/>
  <c r="AX124" i="7"/>
  <c r="AX67" i="7"/>
  <c r="AX66" i="7"/>
  <c r="AX65" i="7"/>
  <c r="D20" i="3" l="1"/>
  <c r="F402" i="1"/>
  <c r="A402" i="1"/>
  <c r="T401" i="7" l="1"/>
  <c r="T403" i="7" l="1"/>
  <c r="T1" i="1"/>
  <c r="T63" i="1"/>
  <c r="T64" i="1"/>
  <c r="T65" i="1"/>
  <c r="T66" i="1"/>
  <c r="T67" i="1"/>
  <c r="T68" i="1"/>
  <c r="T69" i="1"/>
  <c r="T70" i="1"/>
  <c r="T77" i="1"/>
  <c r="T78" i="1"/>
  <c r="T79" i="1"/>
  <c r="T80" i="1"/>
  <c r="T81" i="1"/>
  <c r="T82" i="1"/>
  <c r="T83" i="1"/>
  <c r="T84" i="1"/>
  <c r="T85" i="1"/>
  <c r="T210" i="1"/>
  <c r="T211" i="1"/>
  <c r="T212" i="1"/>
  <c r="T221" i="1"/>
  <c r="T222" i="1"/>
  <c r="T223" i="1"/>
  <c r="T224" i="1"/>
  <c r="T370" i="1"/>
  <c r="T371" i="1"/>
  <c r="T372" i="1"/>
  <c r="T373" i="1"/>
  <c r="T374" i="1"/>
  <c r="T375" i="1"/>
  <c r="T376" i="1"/>
  <c r="T377" i="1"/>
  <c r="T378" i="1"/>
  <c r="I4" i="1" l="1"/>
  <c r="I53" i="21"/>
  <c r="I69" i="21" l="1"/>
  <c r="I70" i="21"/>
  <c r="I71" i="21"/>
  <c r="I59" i="21"/>
  <c r="I43" i="21"/>
  <c r="D2" i="21" l="1"/>
  <c r="I49" i="21" l="1"/>
  <c r="I33" i="21" l="1"/>
  <c r="AV395" i="7" l="1"/>
  <c r="AV399" i="7"/>
  <c r="AV400" i="7"/>
  <c r="E17" i="3" l="1"/>
  <c r="E14" i="3"/>
  <c r="L16" i="11" l="1"/>
  <c r="J16" i="11"/>
  <c r="F16" i="11"/>
  <c r="D16" i="11"/>
  <c r="AV367" i="7"/>
  <c r="AW367" i="7" s="1"/>
  <c r="AY367" i="7" l="1"/>
  <c r="AX367" i="7"/>
  <c r="E28" i="23" l="1"/>
  <c r="G28" i="23" s="1"/>
  <c r="F33" i="23" l="1"/>
  <c r="F354" i="7" l="1"/>
  <c r="AS354" i="7"/>
  <c r="I15" i="35" l="1"/>
  <c r="I14" i="35"/>
  <c r="D7" i="35"/>
  <c r="E7" i="35"/>
  <c r="F7" i="35"/>
  <c r="G7" i="35"/>
  <c r="C7" i="35"/>
  <c r="C11" i="30"/>
  <c r="C2" i="32" l="1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D2" i="32"/>
  <c r="D3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J142" i="31" l="1"/>
  <c r="J143" i="31"/>
  <c r="J62" i="31" l="1"/>
  <c r="J50" i="31"/>
  <c r="J19" i="31"/>
  <c r="J21" i="31"/>
  <c r="J8" i="31"/>
  <c r="J6" i="31"/>
  <c r="J7" i="31"/>
  <c r="AW249" i="33" l="1"/>
  <c r="AW235" i="33"/>
  <c r="AW231" i="33"/>
  <c r="AW220" i="33"/>
  <c r="AW207" i="33"/>
  <c r="AW195" i="33"/>
  <c r="AW184" i="33"/>
  <c r="AW153" i="33"/>
  <c r="AW171" i="33"/>
  <c r="AW162" i="33"/>
  <c r="AW145" i="33"/>
  <c r="AW138" i="33"/>
  <c r="AW127" i="33"/>
  <c r="AW113" i="33"/>
  <c r="AW101" i="33"/>
  <c r="AW86" i="33"/>
  <c r="AW81" i="33"/>
  <c r="AW76" i="33"/>
  <c r="AW69" i="33"/>
  <c r="AW59" i="33"/>
  <c r="AW70" i="33" s="1"/>
  <c r="AW46" i="33"/>
  <c r="AW37" i="33"/>
  <c r="AW47" i="33" s="1"/>
  <c r="AW24" i="33"/>
  <c r="AW20" i="33"/>
  <c r="AW16" i="33"/>
  <c r="AT88" i="33"/>
  <c r="AT102" i="33"/>
  <c r="AT104" i="33"/>
  <c r="AT147" i="33"/>
  <c r="AT150" i="33"/>
  <c r="AT154" i="33"/>
  <c r="AT156" i="33"/>
  <c r="AT158" i="33"/>
  <c r="AT196" i="33"/>
  <c r="AT198" i="33"/>
  <c r="AT236" i="33"/>
  <c r="AT238" i="33"/>
  <c r="AT240" i="33"/>
  <c r="AT250" i="33"/>
  <c r="X88" i="33"/>
  <c r="X102" i="33"/>
  <c r="X104" i="33"/>
  <c r="X147" i="33"/>
  <c r="X150" i="33"/>
  <c r="X154" i="33"/>
  <c r="X156" i="33"/>
  <c r="X158" i="33"/>
  <c r="X196" i="33"/>
  <c r="X198" i="33"/>
  <c r="X236" i="33"/>
  <c r="X238" i="33"/>
  <c r="X240" i="33"/>
  <c r="X250" i="33"/>
  <c r="D59" i="30"/>
  <c r="Y248" i="33"/>
  <c r="Y245" i="33"/>
  <c r="Y244" i="33"/>
  <c r="Y243" i="33"/>
  <c r="Y242" i="33"/>
  <c r="Y241" i="33"/>
  <c r="Y239" i="33"/>
  <c r="Y234" i="33"/>
  <c r="Y232" i="33"/>
  <c r="Y230" i="33"/>
  <c r="Y229" i="33"/>
  <c r="Y228" i="33"/>
  <c r="Y227" i="33"/>
  <c r="Y226" i="33"/>
  <c r="Y225" i="33"/>
  <c r="Y224" i="33"/>
  <c r="Y223" i="33"/>
  <c r="Y222" i="33"/>
  <c r="Y221" i="33"/>
  <c r="Y219" i="33"/>
  <c r="Y218" i="33"/>
  <c r="Y217" i="33"/>
  <c r="Y216" i="33"/>
  <c r="Y215" i="33"/>
  <c r="Y214" i="33"/>
  <c r="Y213" i="33"/>
  <c r="Y212" i="33"/>
  <c r="Y211" i="33"/>
  <c r="Y210" i="33"/>
  <c r="Y209" i="33"/>
  <c r="Y208" i="33"/>
  <c r="Y206" i="33"/>
  <c r="Y205" i="33"/>
  <c r="Y204" i="33"/>
  <c r="Y203" i="33"/>
  <c r="Y202" i="33"/>
  <c r="Y201" i="33"/>
  <c r="Y200" i="33"/>
  <c r="Y199" i="33"/>
  <c r="Y194" i="33"/>
  <c r="Y193" i="33"/>
  <c r="Y192" i="33"/>
  <c r="Y191" i="33"/>
  <c r="Y190" i="33"/>
  <c r="Y189" i="33"/>
  <c r="Y188" i="33"/>
  <c r="Y187" i="33"/>
  <c r="Y186" i="33"/>
  <c r="Y185" i="33"/>
  <c r="Y183" i="33"/>
  <c r="Y182" i="33"/>
  <c r="Y181" i="33"/>
  <c r="Y180" i="33"/>
  <c r="Y179" i="33"/>
  <c r="Y178" i="33"/>
  <c r="Y177" i="33"/>
  <c r="Y176" i="33"/>
  <c r="Y175" i="33"/>
  <c r="Y174" i="33"/>
  <c r="Y173" i="33"/>
  <c r="Y172" i="33"/>
  <c r="Y170" i="33"/>
  <c r="Y169" i="33"/>
  <c r="Y168" i="33"/>
  <c r="Y167" i="33"/>
  <c r="Y166" i="33"/>
  <c r="Y165" i="33"/>
  <c r="Y164" i="33"/>
  <c r="Y163" i="33"/>
  <c r="Y160" i="33"/>
  <c r="Y159" i="33"/>
  <c r="Y152" i="33"/>
  <c r="Y151" i="33"/>
  <c r="Y149" i="33"/>
  <c r="Y144" i="33"/>
  <c r="Y143" i="33"/>
  <c r="Y142" i="33"/>
  <c r="Y141" i="33"/>
  <c r="Y140" i="33"/>
  <c r="Y139" i="33"/>
  <c r="Y137" i="33"/>
  <c r="Y136" i="33"/>
  <c r="Y135" i="33"/>
  <c r="Y134" i="33"/>
  <c r="Y133" i="33"/>
  <c r="Y132" i="33"/>
  <c r="Y131" i="33"/>
  <c r="Y130" i="33"/>
  <c r="Y129" i="33"/>
  <c r="Y128" i="33"/>
  <c r="Y126" i="33"/>
  <c r="Y125" i="33"/>
  <c r="Y124" i="33"/>
  <c r="Y123" i="33"/>
  <c r="Y122" i="33"/>
  <c r="Y121" i="33"/>
  <c r="Y120" i="33"/>
  <c r="Y119" i="33"/>
  <c r="Y118" i="33"/>
  <c r="Y117" i="33"/>
  <c r="Y116" i="33"/>
  <c r="Y115" i="33"/>
  <c r="Y114" i="33"/>
  <c r="Y112" i="33"/>
  <c r="Y111" i="33"/>
  <c r="Y110" i="33"/>
  <c r="Y109" i="33"/>
  <c r="Y108" i="33"/>
  <c r="Y107" i="33"/>
  <c r="Y106" i="33"/>
  <c r="Y105" i="33"/>
  <c r="Y100" i="33"/>
  <c r="Y99" i="33"/>
  <c r="Y98" i="33"/>
  <c r="Y97" i="33"/>
  <c r="Y96" i="33"/>
  <c r="Y95" i="33"/>
  <c r="Y94" i="33"/>
  <c r="Y93" i="33"/>
  <c r="Y92" i="33"/>
  <c r="Y91" i="33"/>
  <c r="Y90" i="33"/>
  <c r="Y89" i="33"/>
  <c r="Y85" i="33"/>
  <c r="Y84" i="33"/>
  <c r="Y83" i="33"/>
  <c r="Y82" i="33"/>
  <c r="Y80" i="33"/>
  <c r="Y79" i="33"/>
  <c r="Y78" i="33"/>
  <c r="Y77" i="33"/>
  <c r="Y75" i="33"/>
  <c r="Y74" i="33"/>
  <c r="Y73" i="33"/>
  <c r="Y72" i="33"/>
  <c r="Y71" i="33"/>
  <c r="Y68" i="33"/>
  <c r="Y67" i="33"/>
  <c r="Y66" i="33"/>
  <c r="Y65" i="33"/>
  <c r="Y64" i="33"/>
  <c r="Y63" i="33"/>
  <c r="Y62" i="33"/>
  <c r="Y61" i="33"/>
  <c r="Y60" i="33"/>
  <c r="Y58" i="33"/>
  <c r="Y57" i="33"/>
  <c r="Y56" i="33"/>
  <c r="Y55" i="33"/>
  <c r="Y54" i="33"/>
  <c r="Y53" i="33"/>
  <c r="Y52" i="33"/>
  <c r="Y51" i="33"/>
  <c r="Y50" i="33"/>
  <c r="Y49" i="33"/>
  <c r="Y48" i="33"/>
  <c r="Y45" i="33"/>
  <c r="Y44" i="33"/>
  <c r="Y43" i="33"/>
  <c r="Y42" i="33"/>
  <c r="Y41" i="33"/>
  <c r="Y40" i="33"/>
  <c r="Y39" i="33"/>
  <c r="Y38" i="33"/>
  <c r="Y36" i="33"/>
  <c r="Y35" i="33"/>
  <c r="Y34" i="33"/>
  <c r="Y33" i="33"/>
  <c r="Y32" i="33"/>
  <c r="Y31" i="33"/>
  <c r="Y30" i="33"/>
  <c r="Y29" i="33"/>
  <c r="Y28" i="33"/>
  <c r="Y27" i="33"/>
  <c r="Y26" i="33"/>
  <c r="Y23" i="33"/>
  <c r="Y22" i="33"/>
  <c r="Y21" i="33"/>
  <c r="Y19" i="33"/>
  <c r="Y18" i="33"/>
  <c r="Y15" i="33"/>
  <c r="Y14" i="33"/>
  <c r="Y13" i="33"/>
  <c r="Y12" i="33"/>
  <c r="Y11" i="33"/>
  <c r="Y10" i="33"/>
  <c r="Y8" i="33"/>
  <c r="Y7" i="33"/>
  <c r="Y6" i="33"/>
  <c r="Y5" i="33"/>
  <c r="Y4" i="33"/>
  <c r="AT4" i="33" s="1"/>
  <c r="F4" i="33"/>
  <c r="F5" i="33"/>
  <c r="F6" i="33"/>
  <c r="F7" i="33"/>
  <c r="F8" i="33"/>
  <c r="F10" i="33"/>
  <c r="F11" i="33"/>
  <c r="F12" i="33"/>
  <c r="F13" i="33"/>
  <c r="F14" i="33"/>
  <c r="F15" i="33"/>
  <c r="F18" i="33"/>
  <c r="F19" i="33"/>
  <c r="F21" i="33"/>
  <c r="F22" i="33"/>
  <c r="F23" i="33"/>
  <c r="F26" i="33"/>
  <c r="F27" i="33"/>
  <c r="F28" i="33"/>
  <c r="F29" i="33"/>
  <c r="F30" i="33"/>
  <c r="F31" i="33"/>
  <c r="F32" i="33"/>
  <c r="F33" i="33"/>
  <c r="F34" i="33"/>
  <c r="F35" i="33"/>
  <c r="F36" i="33"/>
  <c r="F38" i="33"/>
  <c r="F39" i="33"/>
  <c r="F40" i="33"/>
  <c r="F41" i="33"/>
  <c r="F42" i="33"/>
  <c r="F43" i="33"/>
  <c r="F44" i="33"/>
  <c r="F45" i="33"/>
  <c r="F48" i="33"/>
  <c r="F49" i="33"/>
  <c r="F50" i="33"/>
  <c r="F51" i="33"/>
  <c r="F52" i="33"/>
  <c r="F53" i="33"/>
  <c r="F54" i="33"/>
  <c r="F55" i="33"/>
  <c r="F56" i="33"/>
  <c r="F57" i="33"/>
  <c r="F58" i="33"/>
  <c r="F60" i="33"/>
  <c r="F61" i="33"/>
  <c r="F62" i="33"/>
  <c r="F63" i="33"/>
  <c r="F64" i="33"/>
  <c r="F65" i="33"/>
  <c r="F66" i="33"/>
  <c r="F67" i="33"/>
  <c r="F68" i="33"/>
  <c r="F71" i="33"/>
  <c r="F72" i="33"/>
  <c r="F73" i="33"/>
  <c r="F74" i="33"/>
  <c r="F75" i="33"/>
  <c r="F77" i="33"/>
  <c r="F78" i="33"/>
  <c r="F79" i="33"/>
  <c r="F80" i="33"/>
  <c r="F82" i="33"/>
  <c r="F83" i="33"/>
  <c r="F84" i="33"/>
  <c r="F85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5" i="33"/>
  <c r="F106" i="33"/>
  <c r="F107" i="33"/>
  <c r="F108" i="33"/>
  <c r="F109" i="33"/>
  <c r="F110" i="33"/>
  <c r="F111" i="33"/>
  <c r="F112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8" i="33"/>
  <c r="F129" i="33"/>
  <c r="F130" i="33"/>
  <c r="F131" i="33"/>
  <c r="F132" i="33"/>
  <c r="F133" i="33"/>
  <c r="F134" i="33"/>
  <c r="F135" i="33"/>
  <c r="F136" i="33"/>
  <c r="F137" i="33"/>
  <c r="F139" i="33"/>
  <c r="F140" i="33"/>
  <c r="F141" i="33"/>
  <c r="F142" i="33"/>
  <c r="F143" i="33"/>
  <c r="F144" i="33"/>
  <c r="F149" i="33"/>
  <c r="F151" i="33"/>
  <c r="F152" i="33"/>
  <c r="F159" i="33"/>
  <c r="F160" i="33"/>
  <c r="F163" i="33"/>
  <c r="F164" i="33"/>
  <c r="F165" i="33"/>
  <c r="F166" i="33"/>
  <c r="F167" i="33"/>
  <c r="F168" i="33"/>
  <c r="F169" i="33"/>
  <c r="F170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5" i="33"/>
  <c r="F186" i="33"/>
  <c r="F187" i="33"/>
  <c r="F188" i="33"/>
  <c r="F189" i="33"/>
  <c r="F190" i="33"/>
  <c r="F191" i="33"/>
  <c r="F192" i="33"/>
  <c r="F193" i="33"/>
  <c r="F194" i="33"/>
  <c r="F199" i="33"/>
  <c r="F200" i="33"/>
  <c r="F201" i="33"/>
  <c r="F202" i="33"/>
  <c r="F203" i="33"/>
  <c r="F204" i="33"/>
  <c r="F205" i="33"/>
  <c r="F206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1" i="33"/>
  <c r="F222" i="33"/>
  <c r="F223" i="33"/>
  <c r="F224" i="33"/>
  <c r="F225" i="33"/>
  <c r="F226" i="33"/>
  <c r="F227" i="33"/>
  <c r="F228" i="33"/>
  <c r="F229" i="33"/>
  <c r="F230" i="33"/>
  <c r="F232" i="33"/>
  <c r="F234" i="33"/>
  <c r="F239" i="33"/>
  <c r="F241" i="33"/>
  <c r="F242" i="33"/>
  <c r="F243" i="33"/>
  <c r="F244" i="33"/>
  <c r="F245" i="33"/>
  <c r="F248" i="33"/>
  <c r="AU196" i="33" l="1"/>
  <c r="AV196" i="33" s="1"/>
  <c r="AX196" i="33" s="1"/>
  <c r="AW17" i="33"/>
  <c r="AW25" i="33"/>
  <c r="AU158" i="33"/>
  <c r="AV158" i="33" s="1"/>
  <c r="AX158" i="33" s="1"/>
  <c r="AU240" i="33"/>
  <c r="AV240" i="33" s="1"/>
  <c r="AX240" i="33" s="1"/>
  <c r="AU88" i="33"/>
  <c r="AV88" i="33" s="1"/>
  <c r="AX88" i="33" s="1"/>
  <c r="AW146" i="33"/>
  <c r="AW155" i="33" s="1"/>
  <c r="AW157" i="33" s="1"/>
  <c r="Y162" i="33"/>
  <c r="F162" i="33"/>
  <c r="X160" i="33"/>
  <c r="AU238" i="33"/>
  <c r="AV238" i="33" s="1"/>
  <c r="AX238" i="33" s="1"/>
  <c r="AU198" i="33"/>
  <c r="AV198" i="33" s="1"/>
  <c r="AX198" i="33" s="1"/>
  <c r="AW87" i="33"/>
  <c r="AU156" i="33"/>
  <c r="AV156" i="33" s="1"/>
  <c r="AX156" i="33" s="1"/>
  <c r="AU250" i="33"/>
  <c r="AV250" i="33" s="1"/>
  <c r="AX250" i="33" s="1"/>
  <c r="AU154" i="33"/>
  <c r="AV154" i="33" s="1"/>
  <c r="AX154" i="33" s="1"/>
  <c r="AW197" i="33"/>
  <c r="AW237" i="33" s="1"/>
  <c r="AW251" i="33" s="1"/>
  <c r="AW254" i="33" s="1"/>
  <c r="AU236" i="33"/>
  <c r="AV236" i="33" s="1"/>
  <c r="AX236" i="33" s="1"/>
  <c r="AU150" i="33"/>
  <c r="AV150" i="33" s="1"/>
  <c r="AX150" i="33" s="1"/>
  <c r="AU104" i="33"/>
  <c r="AV104" i="33" s="1"/>
  <c r="AX104" i="33" s="1"/>
  <c r="AU147" i="33"/>
  <c r="AV147" i="33" s="1"/>
  <c r="AX147" i="33" s="1"/>
  <c r="F24" i="33"/>
  <c r="AU102" i="33"/>
  <c r="AV102" i="33" s="1"/>
  <c r="AX102" i="33" s="1"/>
  <c r="F235" i="33"/>
  <c r="Y20" i="33"/>
  <c r="Y145" i="33"/>
  <c r="F231" i="33"/>
  <c r="AT7" i="33"/>
  <c r="AT29" i="33"/>
  <c r="AT38" i="33"/>
  <c r="Y59" i="33"/>
  <c r="Y69" i="33"/>
  <c r="AT85" i="33"/>
  <c r="AT96" i="33"/>
  <c r="Y171" i="33"/>
  <c r="AT243" i="33"/>
  <c r="F20" i="33"/>
  <c r="AT8" i="33"/>
  <c r="AT39" i="33"/>
  <c r="AT77" i="33"/>
  <c r="AT19" i="33"/>
  <c r="F76" i="33"/>
  <c r="AT31" i="33"/>
  <c r="AT149" i="33"/>
  <c r="AT11" i="33"/>
  <c r="AT22" i="33"/>
  <c r="AT32" i="33"/>
  <c r="AT41" i="33"/>
  <c r="AT91" i="33"/>
  <c r="AT99" i="33"/>
  <c r="F207" i="33"/>
  <c r="AT12" i="33"/>
  <c r="AT33" i="33"/>
  <c r="AT42" i="33"/>
  <c r="AT92" i="33"/>
  <c r="AT152" i="33"/>
  <c r="AT13" i="33"/>
  <c r="AT34" i="33"/>
  <c r="AT43" i="33"/>
  <c r="AT82" i="33"/>
  <c r="AT93" i="33"/>
  <c r="AT140" i="33"/>
  <c r="AT159" i="33"/>
  <c r="AT30" i="33"/>
  <c r="AT5" i="33"/>
  <c r="AT14" i="33"/>
  <c r="AT27" i="33"/>
  <c r="AT35" i="33"/>
  <c r="AT44" i="33"/>
  <c r="AT83" i="33"/>
  <c r="X244" i="33"/>
  <c r="AT6" i="33"/>
  <c r="AT15" i="33"/>
  <c r="AT28" i="33"/>
  <c r="AT36" i="33"/>
  <c r="AT45" i="33"/>
  <c r="AT84" i="33"/>
  <c r="AT142" i="33"/>
  <c r="AT160" i="33"/>
  <c r="AT139" i="33"/>
  <c r="AT97" i="33"/>
  <c r="AT141" i="33"/>
  <c r="X242" i="33"/>
  <c r="X232" i="33"/>
  <c r="F249" i="33"/>
  <c r="X241" i="33"/>
  <c r="X159" i="33"/>
  <c r="X248" i="33"/>
  <c r="F220" i="33"/>
  <c r="X243" i="33"/>
  <c r="X239" i="33"/>
  <c r="X234" i="33"/>
  <c r="X245" i="33"/>
  <c r="X152" i="33"/>
  <c r="X149" i="33"/>
  <c r="X131" i="33"/>
  <c r="X98" i="33"/>
  <c r="X90" i="33"/>
  <c r="F81" i="33"/>
  <c r="X80" i="33"/>
  <c r="X72" i="33"/>
  <c r="X65" i="33"/>
  <c r="X51" i="33"/>
  <c r="X44" i="33"/>
  <c r="X35" i="33"/>
  <c r="X27" i="33"/>
  <c r="X8" i="33"/>
  <c r="Y86" i="33"/>
  <c r="AT232" i="33"/>
  <c r="AT248" i="33"/>
  <c r="X142" i="33"/>
  <c r="X136" i="33"/>
  <c r="X128" i="33"/>
  <c r="X95" i="33"/>
  <c r="X85" i="33"/>
  <c r="X77" i="33"/>
  <c r="X62" i="33"/>
  <c r="X56" i="33"/>
  <c r="X48" i="33"/>
  <c r="X41" i="33"/>
  <c r="X32" i="33"/>
  <c r="X22" i="33"/>
  <c r="X19" i="33"/>
  <c r="X13" i="33"/>
  <c r="X5" i="33"/>
  <c r="Y195" i="33"/>
  <c r="Y235" i="33"/>
  <c r="AT234" i="33"/>
  <c r="X139" i="33"/>
  <c r="X133" i="33"/>
  <c r="X100" i="33"/>
  <c r="X92" i="33"/>
  <c r="X82" i="33"/>
  <c r="X74" i="33"/>
  <c r="X67" i="33"/>
  <c r="X53" i="33"/>
  <c r="X38" i="33"/>
  <c r="AU38" i="33" s="1"/>
  <c r="X29" i="33"/>
  <c r="X10" i="33"/>
  <c r="Y37" i="33"/>
  <c r="AT26" i="33"/>
  <c r="Y113" i="33"/>
  <c r="Y127" i="33"/>
  <c r="X144" i="33"/>
  <c r="X130" i="33"/>
  <c r="F127" i="33"/>
  <c r="X97" i="33"/>
  <c r="X89" i="33"/>
  <c r="X79" i="33"/>
  <c r="X71" i="33"/>
  <c r="X64" i="33"/>
  <c r="X58" i="33"/>
  <c r="X50" i="33"/>
  <c r="X43" i="33"/>
  <c r="X34" i="33"/>
  <c r="X26" i="33"/>
  <c r="X15" i="33"/>
  <c r="X7" i="33"/>
  <c r="AT241" i="33"/>
  <c r="X141" i="33"/>
  <c r="X135" i="33"/>
  <c r="X94" i="33"/>
  <c r="F86" i="33"/>
  <c r="X84" i="33"/>
  <c r="X61" i="33"/>
  <c r="X55" i="33"/>
  <c r="X40" i="33"/>
  <c r="X31" i="33"/>
  <c r="X21" i="33"/>
  <c r="X18" i="33"/>
  <c r="F16" i="33"/>
  <c r="X12" i="33"/>
  <c r="F9" i="33"/>
  <c r="X4" i="33"/>
  <c r="AU4" i="33" s="1"/>
  <c r="AT242" i="33"/>
  <c r="X151" i="33"/>
  <c r="X132" i="33"/>
  <c r="X99" i="33"/>
  <c r="X91" i="33"/>
  <c r="X73" i="33"/>
  <c r="X66" i="33"/>
  <c r="X52" i="33"/>
  <c r="X45" i="33"/>
  <c r="X36" i="33"/>
  <c r="X28" i="33"/>
  <c r="AT94" i="33"/>
  <c r="F195" i="33"/>
  <c r="F145" i="33"/>
  <c r="X143" i="33"/>
  <c r="X137" i="33"/>
  <c r="F138" i="33"/>
  <c r="X129" i="33"/>
  <c r="F113" i="33"/>
  <c r="X96" i="33"/>
  <c r="X78" i="33"/>
  <c r="X63" i="33"/>
  <c r="X57" i="33"/>
  <c r="X49" i="33"/>
  <c r="X42" i="33"/>
  <c r="X33" i="33"/>
  <c r="X23" i="33"/>
  <c r="X14" i="33"/>
  <c r="X6" i="33"/>
  <c r="Y184" i="33"/>
  <c r="Y207" i="33"/>
  <c r="Y220" i="33"/>
  <c r="Y231" i="33"/>
  <c r="Y249" i="33"/>
  <c r="AT244" i="33"/>
  <c r="AT245" i="33"/>
  <c r="X140" i="33"/>
  <c r="X134" i="33"/>
  <c r="F101" i="33"/>
  <c r="X93" i="33"/>
  <c r="X83" i="33"/>
  <c r="X75" i="33"/>
  <c r="X68" i="33"/>
  <c r="X60" i="33"/>
  <c r="X54" i="33"/>
  <c r="X39" i="33"/>
  <c r="X30" i="33"/>
  <c r="X11" i="33"/>
  <c r="Y16" i="33"/>
  <c r="AT10" i="33"/>
  <c r="Y24" i="33"/>
  <c r="AT21" i="33"/>
  <c r="Y46" i="33"/>
  <c r="AT40" i="33"/>
  <c r="Y81" i="33"/>
  <c r="Y138" i="33"/>
  <c r="AT144" i="33"/>
  <c r="AT143" i="33"/>
  <c r="AT151" i="33"/>
  <c r="AT90" i="33"/>
  <c r="AT239" i="33"/>
  <c r="AT100" i="33"/>
  <c r="AT98" i="33"/>
  <c r="AT95" i="33"/>
  <c r="AT23" i="33"/>
  <c r="AT89" i="33"/>
  <c r="Y9" i="33"/>
  <c r="Y101" i="33"/>
  <c r="Y76" i="33"/>
  <c r="AT18" i="33"/>
  <c r="F69" i="33"/>
  <c r="F184" i="33"/>
  <c r="F46" i="33"/>
  <c r="F171" i="33"/>
  <c r="F59" i="33"/>
  <c r="F37" i="33"/>
  <c r="AU45" i="33" l="1"/>
  <c r="AU90" i="33"/>
  <c r="AU141" i="33"/>
  <c r="F17" i="33"/>
  <c r="AU13" i="33"/>
  <c r="AU6" i="33"/>
  <c r="AU96" i="33"/>
  <c r="AU243" i="33"/>
  <c r="AU83" i="33"/>
  <c r="AU7" i="33"/>
  <c r="AU22" i="33"/>
  <c r="AU33" i="33"/>
  <c r="AU43" i="33"/>
  <c r="AU19" i="33"/>
  <c r="AU41" i="33"/>
  <c r="AU245" i="33"/>
  <c r="AU85" i="33"/>
  <c r="AU35" i="33"/>
  <c r="AU95" i="33"/>
  <c r="AU14" i="33"/>
  <c r="AU15" i="33"/>
  <c r="AU100" i="33"/>
  <c r="AU139" i="33"/>
  <c r="Y25" i="33"/>
  <c r="AU244" i="33"/>
  <c r="AU160" i="33"/>
  <c r="AU31" i="33"/>
  <c r="AU32" i="33"/>
  <c r="X162" i="33"/>
  <c r="AT249" i="33"/>
  <c r="AU89" i="33"/>
  <c r="AU151" i="33"/>
  <c r="AU28" i="33"/>
  <c r="AU99" i="33"/>
  <c r="AU159" i="33"/>
  <c r="AU39" i="33"/>
  <c r="AU27" i="33"/>
  <c r="F25" i="33"/>
  <c r="AT162" i="33"/>
  <c r="AT86" i="33"/>
  <c r="AU149" i="33"/>
  <c r="AU8" i="33"/>
  <c r="E45" i="30"/>
  <c r="AU84" i="33"/>
  <c r="AU239" i="33"/>
  <c r="AU93" i="33"/>
  <c r="AU42" i="33"/>
  <c r="AU82" i="33"/>
  <c r="E46" i="30"/>
  <c r="AU92" i="33"/>
  <c r="AU248" i="33"/>
  <c r="AU30" i="33"/>
  <c r="AU29" i="33"/>
  <c r="Y70" i="33"/>
  <c r="E43" i="30"/>
  <c r="AU77" i="33"/>
  <c r="AU97" i="33"/>
  <c r="Y197" i="33"/>
  <c r="AT46" i="33"/>
  <c r="AU44" i="33"/>
  <c r="F146" i="33"/>
  <c r="AU34" i="33"/>
  <c r="AT37" i="33"/>
  <c r="AU12" i="33"/>
  <c r="Y47" i="33"/>
  <c r="AT16" i="33"/>
  <c r="E44" i="30"/>
  <c r="AU36" i="33"/>
  <c r="AU91" i="33"/>
  <c r="AT24" i="33"/>
  <c r="AT145" i="33"/>
  <c r="AU11" i="33"/>
  <c r="E20" i="30"/>
  <c r="X59" i="33"/>
  <c r="AU98" i="33"/>
  <c r="AU140" i="33"/>
  <c r="AU5" i="33"/>
  <c r="AU144" i="33"/>
  <c r="AU94" i="33"/>
  <c r="AU142" i="33"/>
  <c r="AU152" i="33"/>
  <c r="X235" i="33"/>
  <c r="X76" i="33"/>
  <c r="E21" i="30"/>
  <c r="AU23" i="33"/>
  <c r="AT235" i="33"/>
  <c r="Y17" i="33"/>
  <c r="AU143" i="33"/>
  <c r="AU21" i="33"/>
  <c r="AU241" i="33"/>
  <c r="X101" i="33"/>
  <c r="Y146" i="33"/>
  <c r="AU234" i="33"/>
  <c r="X249" i="33"/>
  <c r="F197" i="33"/>
  <c r="F237" i="33" s="1"/>
  <c r="F251" i="33" s="1"/>
  <c r="X69" i="33"/>
  <c r="AU40" i="33"/>
  <c r="F47" i="33"/>
  <c r="X37" i="33"/>
  <c r="X46" i="33"/>
  <c r="X9" i="33"/>
  <c r="X16" i="33"/>
  <c r="AU232" i="33"/>
  <c r="AU10" i="33"/>
  <c r="AU242" i="33"/>
  <c r="X20" i="33"/>
  <c r="X145" i="33"/>
  <c r="X86" i="33"/>
  <c r="X24" i="33"/>
  <c r="X81" i="33"/>
  <c r="X138" i="33"/>
  <c r="AU26" i="33"/>
  <c r="AT101" i="33"/>
  <c r="AT9" i="33"/>
  <c r="AT20" i="33"/>
  <c r="AU18" i="33"/>
  <c r="F70" i="33"/>
  <c r="Y237" i="33" l="1"/>
  <c r="Y251" i="33" s="1"/>
  <c r="AU162" i="33"/>
  <c r="AU86" i="33"/>
  <c r="AT17" i="33"/>
  <c r="AU46" i="33"/>
  <c r="AT47" i="33"/>
  <c r="X25" i="33"/>
  <c r="E40" i="30"/>
  <c r="Y87" i="33"/>
  <c r="Y103" i="33" s="1"/>
  <c r="AU249" i="33"/>
  <c r="AU101" i="33"/>
  <c r="E42" i="30"/>
  <c r="AU16" i="33"/>
  <c r="AU24" i="33"/>
  <c r="X17" i="33"/>
  <c r="AU145" i="33"/>
  <c r="AU37" i="33"/>
  <c r="E19" i="30"/>
  <c r="AT25" i="33"/>
  <c r="AU235" i="33"/>
  <c r="E22" i="30"/>
  <c r="E25" i="30"/>
  <c r="E41" i="30"/>
  <c r="E27" i="30"/>
  <c r="E14" i="30"/>
  <c r="E18" i="30"/>
  <c r="E17" i="30"/>
  <c r="E28" i="30"/>
  <c r="E24" i="30"/>
  <c r="E23" i="30"/>
  <c r="E26" i="30"/>
  <c r="E13" i="30"/>
  <c r="F87" i="33"/>
  <c r="X70" i="33"/>
  <c r="X47" i="33"/>
  <c r="E16" i="30"/>
  <c r="E15" i="30"/>
  <c r="E51" i="30"/>
  <c r="AU9" i="33"/>
  <c r="AU20" i="33"/>
  <c r="G392" i="7"/>
  <c r="AW407" i="7"/>
  <c r="Z401" i="7"/>
  <c r="Z392" i="7"/>
  <c r="Z378" i="7"/>
  <c r="Z362" i="7"/>
  <c r="Z363" i="7"/>
  <c r="Z364" i="7"/>
  <c r="Z365" i="7"/>
  <c r="Z354" i="7"/>
  <c r="Z346" i="7"/>
  <c r="Z333" i="7"/>
  <c r="Z317" i="7"/>
  <c r="Z302" i="7"/>
  <c r="Z303" i="7"/>
  <c r="Z304" i="7"/>
  <c r="Z305" i="7"/>
  <c r="Z293" i="7"/>
  <c r="Z280" i="7"/>
  <c r="Z264" i="7"/>
  <c r="Z242" i="7"/>
  <c r="Z243" i="7"/>
  <c r="Z244" i="7"/>
  <c r="Z245" i="7"/>
  <c r="Z224" i="7"/>
  <c r="Z213" i="7"/>
  <c r="Z200" i="7"/>
  <c r="Z182" i="7"/>
  <c r="Z183" i="7"/>
  <c r="Z184" i="7"/>
  <c r="Z185" i="7"/>
  <c r="Z176" i="7"/>
  <c r="Z159" i="7"/>
  <c r="Z150" i="7"/>
  <c r="Z140" i="7"/>
  <c r="Z123" i="7"/>
  <c r="Z124" i="7"/>
  <c r="Z125" i="7"/>
  <c r="Z126" i="7"/>
  <c r="Z116" i="7"/>
  <c r="Z109" i="7"/>
  <c r="Z102" i="7"/>
  <c r="Z92" i="7"/>
  <c r="Z81" i="7"/>
  <c r="Z64" i="7"/>
  <c r="Z65" i="7"/>
  <c r="Z66" i="7"/>
  <c r="Z67" i="7"/>
  <c r="Z55" i="7"/>
  <c r="Z28" i="7"/>
  <c r="Z32" i="7" s="1"/>
  <c r="Y254" i="33" l="1"/>
  <c r="E39" i="30"/>
  <c r="Z164" i="7"/>
  <c r="Z148" i="33" s="1"/>
  <c r="Z153" i="33" s="1"/>
  <c r="Z155" i="33" s="1"/>
  <c r="Z157" i="33" s="1"/>
  <c r="AU47" i="33"/>
  <c r="Z94" i="7"/>
  <c r="Z118" i="7" s="1"/>
  <c r="Z142" i="7" s="1"/>
  <c r="Z215" i="7"/>
  <c r="Z226" i="7" s="1"/>
  <c r="Z348" i="7"/>
  <c r="Z403" i="7"/>
  <c r="Z295" i="7"/>
  <c r="AU25" i="33"/>
  <c r="AU17" i="33"/>
  <c r="F103" i="33"/>
  <c r="X87" i="33"/>
  <c r="Z356" i="7" l="1"/>
  <c r="Z380" i="7" s="1"/>
  <c r="Z382" i="7" s="1"/>
  <c r="Z228" i="7"/>
  <c r="Z236" i="7" s="1"/>
  <c r="Z405" i="7" s="1"/>
  <c r="Z408" i="7" s="1"/>
  <c r="D40" i="30"/>
  <c r="F40" i="30"/>
  <c r="X103" i="33"/>
  <c r="E12" i="30"/>
  <c r="F254" i="33"/>
  <c r="E242" i="33"/>
  <c r="AV242" i="33" s="1"/>
  <c r="AX242" i="33" s="1"/>
  <c r="E244" i="33"/>
  <c r="AV244" i="33" s="1"/>
  <c r="AX244" i="33" s="1"/>
  <c r="E241" i="33"/>
  <c r="AV241" i="33" s="1"/>
  <c r="E239" i="33"/>
  <c r="AV239" i="33" s="1"/>
  <c r="AX239" i="33" s="1"/>
  <c r="E234" i="33"/>
  <c r="AV234" i="33" s="1"/>
  <c r="AX234" i="33" s="1"/>
  <c r="E232" i="33"/>
  <c r="AV232" i="33" s="1"/>
  <c r="E222" i="33"/>
  <c r="E223" i="33"/>
  <c r="E224" i="33"/>
  <c r="E225" i="33"/>
  <c r="E226" i="33"/>
  <c r="E227" i="33"/>
  <c r="E228" i="33"/>
  <c r="E229" i="33"/>
  <c r="E230" i="33"/>
  <c r="E221" i="33"/>
  <c r="E212" i="33"/>
  <c r="E213" i="33"/>
  <c r="E214" i="33"/>
  <c r="E215" i="33"/>
  <c r="E216" i="33"/>
  <c r="E217" i="33"/>
  <c r="E218" i="33"/>
  <c r="E219" i="33"/>
  <c r="E211" i="33"/>
  <c r="E209" i="33"/>
  <c r="E208" i="33"/>
  <c r="E200" i="33"/>
  <c r="E201" i="33"/>
  <c r="E202" i="33"/>
  <c r="E203" i="33"/>
  <c r="E204" i="33"/>
  <c r="E205" i="33"/>
  <c r="E206" i="33"/>
  <c r="E199" i="33"/>
  <c r="E186" i="33"/>
  <c r="E187" i="33"/>
  <c r="E188" i="33"/>
  <c r="E189" i="33"/>
  <c r="E190" i="33"/>
  <c r="E191" i="33"/>
  <c r="E192" i="33"/>
  <c r="E193" i="33"/>
  <c r="E194" i="33"/>
  <c r="E185" i="33"/>
  <c r="E176" i="33"/>
  <c r="E177" i="33"/>
  <c r="E178" i="33"/>
  <c r="E179" i="33"/>
  <c r="E180" i="33"/>
  <c r="E181" i="33"/>
  <c r="E182" i="33"/>
  <c r="E183" i="33"/>
  <c r="E175" i="33"/>
  <c r="E173" i="33"/>
  <c r="E174" i="33"/>
  <c r="E172" i="33"/>
  <c r="E164" i="33"/>
  <c r="E166" i="33"/>
  <c r="E167" i="33"/>
  <c r="E168" i="33"/>
  <c r="E169" i="33"/>
  <c r="E170" i="33"/>
  <c r="E160" i="33"/>
  <c r="AV160" i="33" s="1"/>
  <c r="AX160" i="33" s="1"/>
  <c r="E159" i="33"/>
  <c r="E152" i="33"/>
  <c r="AV152" i="33" s="1"/>
  <c r="AX152" i="33" s="1"/>
  <c r="E149" i="33"/>
  <c r="AV149" i="33" s="1"/>
  <c r="AX149" i="33" s="1"/>
  <c r="E151" i="33"/>
  <c r="AV151" i="33" s="1"/>
  <c r="AX151" i="33" s="1"/>
  <c r="E140" i="33"/>
  <c r="AV140" i="33" s="1"/>
  <c r="AX140" i="33" s="1"/>
  <c r="E141" i="33"/>
  <c r="AV141" i="33" s="1"/>
  <c r="AX141" i="33" s="1"/>
  <c r="E142" i="33"/>
  <c r="AV142" i="33" s="1"/>
  <c r="AX142" i="33" s="1"/>
  <c r="E143" i="33"/>
  <c r="AV143" i="33" s="1"/>
  <c r="AX143" i="33" s="1"/>
  <c r="E144" i="33"/>
  <c r="AV144" i="33" s="1"/>
  <c r="AX144" i="33" s="1"/>
  <c r="E129" i="33"/>
  <c r="E130" i="33"/>
  <c r="E131" i="33"/>
  <c r="E132" i="33"/>
  <c r="E133" i="33"/>
  <c r="E134" i="33"/>
  <c r="E135" i="33"/>
  <c r="E136" i="33"/>
  <c r="E137" i="33"/>
  <c r="E128" i="33"/>
  <c r="E115" i="33"/>
  <c r="E116" i="33"/>
  <c r="E118" i="33"/>
  <c r="E119" i="33"/>
  <c r="E120" i="33"/>
  <c r="E121" i="33"/>
  <c r="E122" i="33"/>
  <c r="E123" i="33"/>
  <c r="E124" i="33"/>
  <c r="E125" i="33"/>
  <c r="E126" i="33"/>
  <c r="E114" i="33"/>
  <c r="E106" i="33"/>
  <c r="E107" i="33"/>
  <c r="E108" i="33"/>
  <c r="E109" i="33"/>
  <c r="E110" i="33"/>
  <c r="E111" i="33"/>
  <c r="E112" i="33"/>
  <c r="E105" i="33"/>
  <c r="E90" i="33"/>
  <c r="AV90" i="33" s="1"/>
  <c r="AX90" i="33" s="1"/>
  <c r="E91" i="33"/>
  <c r="AV91" i="33" s="1"/>
  <c r="AX91" i="33" s="1"/>
  <c r="E92" i="33"/>
  <c r="AV92" i="33" s="1"/>
  <c r="AX92" i="33" s="1"/>
  <c r="E93" i="33"/>
  <c r="AV93" i="33" s="1"/>
  <c r="AX93" i="33" s="1"/>
  <c r="E94" i="33"/>
  <c r="AV94" i="33" s="1"/>
  <c r="AX94" i="33" s="1"/>
  <c r="E95" i="33"/>
  <c r="AV95" i="33" s="1"/>
  <c r="AX95" i="33" s="1"/>
  <c r="E96" i="33"/>
  <c r="AV96" i="33" s="1"/>
  <c r="AX96" i="33" s="1"/>
  <c r="E97" i="33"/>
  <c r="AV97" i="33" s="1"/>
  <c r="AX97" i="33" s="1"/>
  <c r="E98" i="33"/>
  <c r="AV98" i="33" s="1"/>
  <c r="AX98" i="33" s="1"/>
  <c r="E99" i="33"/>
  <c r="AV99" i="33" s="1"/>
  <c r="AX99" i="33" s="1"/>
  <c r="E100" i="33"/>
  <c r="AV100" i="33" s="1"/>
  <c r="AX100" i="33" s="1"/>
  <c r="E83" i="33"/>
  <c r="AV83" i="33" s="1"/>
  <c r="AX83" i="33" s="1"/>
  <c r="E84" i="33"/>
  <c r="AV84" i="33" s="1"/>
  <c r="AX84" i="33" s="1"/>
  <c r="E85" i="33"/>
  <c r="AV85" i="33" s="1"/>
  <c r="AX85" i="33" s="1"/>
  <c r="E82" i="33"/>
  <c r="AV82" i="33" s="1"/>
  <c r="E78" i="33"/>
  <c r="E79" i="33"/>
  <c r="E80" i="33"/>
  <c r="E77" i="33"/>
  <c r="AV77" i="33" s="1"/>
  <c r="E72" i="33"/>
  <c r="E74" i="33"/>
  <c r="E75" i="33"/>
  <c r="E71" i="33"/>
  <c r="E61" i="33"/>
  <c r="E62" i="33"/>
  <c r="E63" i="33"/>
  <c r="E64" i="33"/>
  <c r="E65" i="33"/>
  <c r="E66" i="33"/>
  <c r="E67" i="33"/>
  <c r="E68" i="33"/>
  <c r="E60" i="33"/>
  <c r="E50" i="33"/>
  <c r="E51" i="33"/>
  <c r="E52" i="33"/>
  <c r="E53" i="33"/>
  <c r="E54" i="33"/>
  <c r="E55" i="33"/>
  <c r="E56" i="33"/>
  <c r="E57" i="33"/>
  <c r="E58" i="33"/>
  <c r="E48" i="33"/>
  <c r="E49" i="33"/>
  <c r="E39" i="33"/>
  <c r="AV39" i="33" s="1"/>
  <c r="AX39" i="33" s="1"/>
  <c r="E40" i="33"/>
  <c r="AV40" i="33" s="1"/>
  <c r="AX40" i="33" s="1"/>
  <c r="E41" i="33"/>
  <c r="AV41" i="33" s="1"/>
  <c r="AX41" i="33" s="1"/>
  <c r="E42" i="33"/>
  <c r="AV42" i="33" s="1"/>
  <c r="AX42" i="33" s="1"/>
  <c r="E43" i="33"/>
  <c r="AV43" i="33" s="1"/>
  <c r="AX43" i="33" s="1"/>
  <c r="E44" i="33"/>
  <c r="AV44" i="33" s="1"/>
  <c r="AX44" i="33" s="1"/>
  <c r="E45" i="33"/>
  <c r="AV45" i="33" s="1"/>
  <c r="AX45" i="33" s="1"/>
  <c r="E38" i="33"/>
  <c r="AV38" i="33" s="1"/>
  <c r="E27" i="33"/>
  <c r="AV27" i="33" s="1"/>
  <c r="AX27" i="33" s="1"/>
  <c r="E28" i="33"/>
  <c r="AV28" i="33" s="1"/>
  <c r="AX28" i="33" s="1"/>
  <c r="E29" i="33"/>
  <c r="AV29" i="33" s="1"/>
  <c r="AX29" i="33" s="1"/>
  <c r="E30" i="33"/>
  <c r="AV30" i="33" s="1"/>
  <c r="AX30" i="33" s="1"/>
  <c r="E31" i="33"/>
  <c r="AV31" i="33" s="1"/>
  <c r="AX31" i="33" s="1"/>
  <c r="E32" i="33"/>
  <c r="AV32" i="33" s="1"/>
  <c r="AX32" i="33" s="1"/>
  <c r="E33" i="33"/>
  <c r="AV33" i="33" s="1"/>
  <c r="AX33" i="33" s="1"/>
  <c r="E34" i="33"/>
  <c r="AV34" i="33" s="1"/>
  <c r="AX34" i="33" s="1"/>
  <c r="E35" i="33"/>
  <c r="AV35" i="33" s="1"/>
  <c r="AX35" i="33" s="1"/>
  <c r="E36" i="33"/>
  <c r="AV36" i="33" s="1"/>
  <c r="AX36" i="33" s="1"/>
  <c r="E26" i="33"/>
  <c r="AV26" i="33" s="1"/>
  <c r="E23" i="33"/>
  <c r="AV23" i="33" s="1"/>
  <c r="AX23" i="33" s="1"/>
  <c r="E22" i="33"/>
  <c r="AV22" i="33" s="1"/>
  <c r="AX22" i="33" s="1"/>
  <c r="E21" i="33"/>
  <c r="AV21" i="33" s="1"/>
  <c r="AV19" i="33"/>
  <c r="AX19" i="33" s="1"/>
  <c r="E11" i="33"/>
  <c r="AV11" i="33" s="1"/>
  <c r="AX11" i="33" s="1"/>
  <c r="E12" i="33"/>
  <c r="AV12" i="33" s="1"/>
  <c r="AX12" i="33" s="1"/>
  <c r="E13" i="33"/>
  <c r="AV13" i="33" s="1"/>
  <c r="AX13" i="33" s="1"/>
  <c r="E14" i="33"/>
  <c r="AV14" i="33" s="1"/>
  <c r="AX14" i="33" s="1"/>
  <c r="E15" i="33"/>
  <c r="AV15" i="33" s="1"/>
  <c r="AX15" i="33" s="1"/>
  <c r="E10" i="33"/>
  <c r="AV10" i="33" s="1"/>
  <c r="E8" i="33"/>
  <c r="AV8" i="33" s="1"/>
  <c r="AX8" i="33" s="1"/>
  <c r="E7" i="33"/>
  <c r="AV7" i="33" s="1"/>
  <c r="AX7" i="33" s="1"/>
  <c r="E6" i="33"/>
  <c r="AV6" i="33" s="1"/>
  <c r="AX6" i="33" s="1"/>
  <c r="AV159" i="33" l="1"/>
  <c r="AV162" i="33" s="1"/>
  <c r="E162" i="33"/>
  <c r="AX10" i="33"/>
  <c r="AX16" i="33" s="1"/>
  <c r="AV16" i="33"/>
  <c r="AX21" i="33"/>
  <c r="AX24" i="33" s="1"/>
  <c r="AV24" i="33"/>
  <c r="AX232" i="33"/>
  <c r="AX235" i="33" s="1"/>
  <c r="AV235" i="33"/>
  <c r="AX26" i="33"/>
  <c r="AX37" i="33" s="1"/>
  <c r="AV37" i="33"/>
  <c r="AX82" i="33"/>
  <c r="AX86" i="33" s="1"/>
  <c r="AV86" i="33"/>
  <c r="AX241" i="33"/>
  <c r="AX38" i="33"/>
  <c r="AX46" i="33" s="1"/>
  <c r="AV46" i="33"/>
  <c r="AX77" i="33"/>
  <c r="E235" i="33"/>
  <c r="E231" i="33"/>
  <c r="E207" i="33"/>
  <c r="E195" i="33"/>
  <c r="E184" i="33"/>
  <c r="E138" i="33"/>
  <c r="E113" i="33"/>
  <c r="E81" i="33"/>
  <c r="E86" i="33"/>
  <c r="E59" i="33"/>
  <c r="E69" i="33"/>
  <c r="E24" i="33"/>
  <c r="E46" i="33"/>
  <c r="E37" i="33"/>
  <c r="E16" i="33"/>
  <c r="AX159" i="33" l="1"/>
  <c r="AX162" i="33" s="1"/>
  <c r="AX47" i="33"/>
  <c r="AV47" i="33"/>
  <c r="E70" i="33"/>
  <c r="E47" i="33"/>
  <c r="E5" i="33" l="1"/>
  <c r="AV5" i="33" s="1"/>
  <c r="AX5" i="33" s="1"/>
  <c r="E4" i="33"/>
  <c r="AV4" i="33" s="1"/>
  <c r="E9" i="33" l="1"/>
  <c r="E17" i="33"/>
  <c r="AX4" i="33" l="1"/>
  <c r="AX9" i="33" s="1"/>
  <c r="AX17" i="33" s="1"/>
  <c r="AV9" i="33"/>
  <c r="AV17" i="33" s="1"/>
  <c r="AV112" i="7" l="1"/>
  <c r="AW112" i="7" s="1"/>
  <c r="AY112" i="7" s="1"/>
  <c r="E139" i="33" l="1"/>
  <c r="AV139" i="33" l="1"/>
  <c r="E145" i="33"/>
  <c r="E248" i="33"/>
  <c r="AV248" i="33" s="1"/>
  <c r="AX248" i="33" s="1"/>
  <c r="E243" i="33"/>
  <c r="AV243" i="33" l="1"/>
  <c r="AX139" i="33"/>
  <c r="AX145" i="33" s="1"/>
  <c r="AV145" i="33"/>
  <c r="AV245" i="33"/>
  <c r="AX245" i="33" s="1"/>
  <c r="F378" i="7"/>
  <c r="E210" i="33" l="1"/>
  <c r="E249" i="33"/>
  <c r="AX243" i="33"/>
  <c r="AX249" i="33" s="1"/>
  <c r="AV249" i="33"/>
  <c r="F293" i="7"/>
  <c r="E18" i="33"/>
  <c r="AV396" i="7"/>
  <c r="AW396" i="7" s="1"/>
  <c r="AY396" i="7" s="1"/>
  <c r="AV397" i="7"/>
  <c r="AW397" i="7" s="1"/>
  <c r="AY397" i="7" s="1"/>
  <c r="AV398" i="7"/>
  <c r="AW398" i="7" s="1"/>
  <c r="AY398" i="7" s="1"/>
  <c r="E427" i="1" s="1"/>
  <c r="AW400" i="7"/>
  <c r="AY400" i="7" s="1"/>
  <c r="F401" i="7"/>
  <c r="F403" i="7" s="1"/>
  <c r="AV385" i="7"/>
  <c r="AW385" i="7" s="1"/>
  <c r="AY385" i="7" s="1"/>
  <c r="AV386" i="7"/>
  <c r="AW386" i="7" s="1"/>
  <c r="AY386" i="7" s="1"/>
  <c r="AV387" i="7"/>
  <c r="AW387" i="7" s="1"/>
  <c r="AY387" i="7" s="1"/>
  <c r="E428" i="1" l="1"/>
  <c r="AS187" i="33"/>
  <c r="AS185" i="33"/>
  <c r="AR193" i="33"/>
  <c r="AS188" i="33"/>
  <c r="AR186" i="33"/>
  <c r="AR194" i="33"/>
  <c r="AS190" i="33"/>
  <c r="AS189" i="33"/>
  <c r="AR187" i="33"/>
  <c r="AR185" i="33"/>
  <c r="AR188" i="33"/>
  <c r="AR191" i="33"/>
  <c r="AS191" i="33"/>
  <c r="AR189" i="33"/>
  <c r="AS192" i="33"/>
  <c r="AR190" i="33"/>
  <c r="AS193" i="33"/>
  <c r="AS194" i="33"/>
  <c r="AS186" i="33"/>
  <c r="AR192" i="33"/>
  <c r="W190" i="33"/>
  <c r="X190" i="33" s="1"/>
  <c r="W191" i="33"/>
  <c r="X191" i="33" s="1"/>
  <c r="W186" i="33"/>
  <c r="X186" i="33" s="1"/>
  <c r="W194" i="33"/>
  <c r="W187" i="33"/>
  <c r="X187" i="33" s="1"/>
  <c r="W185" i="33"/>
  <c r="W188" i="33"/>
  <c r="X188" i="33" s="1"/>
  <c r="E165" i="33"/>
  <c r="E89" i="33"/>
  <c r="E73" i="33"/>
  <c r="E220" i="33"/>
  <c r="AV18" i="33"/>
  <c r="E20" i="33"/>
  <c r="E25" i="33" s="1"/>
  <c r="C42" i="30"/>
  <c r="C43" i="30"/>
  <c r="C44" i="30"/>
  <c r="C45" i="30"/>
  <c r="C46" i="30"/>
  <c r="C48" i="30"/>
  <c r="C49" i="30"/>
  <c r="C50" i="30"/>
  <c r="C51" i="30"/>
  <c r="C52" i="30"/>
  <c r="C58" i="30"/>
  <c r="C59" i="30"/>
  <c r="Z2" i="33"/>
  <c r="C40" i="30" s="1"/>
  <c r="C41" i="30"/>
  <c r="B46" i="30"/>
  <c r="Z3" i="33"/>
  <c r="B40" i="30" s="1"/>
  <c r="B41" i="30"/>
  <c r="B42" i="30"/>
  <c r="B44" i="30"/>
  <c r="Y3" i="33"/>
  <c r="B39" i="30" s="1"/>
  <c r="Y2" i="33"/>
  <c r="C39" i="30" s="1"/>
  <c r="H2" i="33"/>
  <c r="C14" i="30" s="1"/>
  <c r="C15" i="30"/>
  <c r="J2" i="33"/>
  <c r="C16" i="30" s="1"/>
  <c r="K2" i="33"/>
  <c r="C17" i="30" s="1"/>
  <c r="L2" i="33"/>
  <c r="C18" i="30" s="1"/>
  <c r="M2" i="33"/>
  <c r="C19" i="30" s="1"/>
  <c r="N2" i="33"/>
  <c r="C20" i="30" s="1"/>
  <c r="O2" i="33"/>
  <c r="C21" i="30" s="1"/>
  <c r="P2" i="33"/>
  <c r="C22" i="30" s="1"/>
  <c r="Q2" i="33"/>
  <c r="C23" i="30" s="1"/>
  <c r="R2" i="33"/>
  <c r="C24" i="30" s="1"/>
  <c r="S2" i="33"/>
  <c r="C25" i="30" s="1"/>
  <c r="T2" i="33"/>
  <c r="C26" i="30" s="1"/>
  <c r="U2" i="33"/>
  <c r="C27" i="30" s="1"/>
  <c r="V2" i="33"/>
  <c r="C28" i="30" s="1"/>
  <c r="W2" i="33"/>
  <c r="C29" i="30" s="1"/>
  <c r="B28" i="30"/>
  <c r="B19" i="30"/>
  <c r="B20" i="30"/>
  <c r="B21" i="30"/>
  <c r="B22" i="30"/>
  <c r="B23" i="30"/>
  <c r="B24" i="30"/>
  <c r="B25" i="30"/>
  <c r="B26" i="30"/>
  <c r="B27" i="30"/>
  <c r="B16" i="30"/>
  <c r="B17" i="30"/>
  <c r="B18" i="30"/>
  <c r="E3" i="33"/>
  <c r="B11" i="30" s="1"/>
  <c r="G2" i="33"/>
  <c r="C13" i="30" s="1"/>
  <c r="F2" i="33"/>
  <c r="C12" i="30" s="1"/>
  <c r="W193" i="33" l="1"/>
  <c r="X193" i="33" s="1"/>
  <c r="W189" i="33"/>
  <c r="AT191" i="33"/>
  <c r="AU191" i="33" s="1"/>
  <c r="AV191" i="33" s="1"/>
  <c r="AX191" i="33" s="1"/>
  <c r="AR195" i="33"/>
  <c r="W192" i="33"/>
  <c r="X192" i="33" s="1"/>
  <c r="AS195" i="33"/>
  <c r="X194" i="33"/>
  <c r="AT194" i="33"/>
  <c r="AT187" i="33"/>
  <c r="AU187" i="33" s="1"/>
  <c r="AV187" i="33" s="1"/>
  <c r="AX187" i="33" s="1"/>
  <c r="AT192" i="33"/>
  <c r="AT190" i="33"/>
  <c r="AU190" i="33" s="1"/>
  <c r="AV190" i="33" s="1"/>
  <c r="AX190" i="33" s="1"/>
  <c r="AT186" i="33"/>
  <c r="AU186" i="33" s="1"/>
  <c r="AV186" i="33" s="1"/>
  <c r="AX186" i="33" s="1"/>
  <c r="AT193" i="33"/>
  <c r="AT189" i="33"/>
  <c r="AT185" i="33"/>
  <c r="AV89" i="33"/>
  <c r="E101" i="33"/>
  <c r="X185" i="33"/>
  <c r="AV20" i="33"/>
  <c r="AV25" i="33" s="1"/>
  <c r="AX18" i="33"/>
  <c r="AX20" i="33" s="1"/>
  <c r="AX25" i="33" s="1"/>
  <c r="E171" i="33"/>
  <c r="E197" i="33" s="1"/>
  <c r="E237" i="33" s="1"/>
  <c r="E251" i="33" s="1"/>
  <c r="E76" i="33"/>
  <c r="E87" i="33" s="1"/>
  <c r="AV389" i="7"/>
  <c r="AV390" i="7"/>
  <c r="AV384" i="7"/>
  <c r="AV371" i="7"/>
  <c r="AV372" i="7"/>
  <c r="AV373" i="7"/>
  <c r="AV370" i="7"/>
  <c r="AV353" i="7"/>
  <c r="AV250" i="7"/>
  <c r="AV234" i="7"/>
  <c r="AV232" i="7"/>
  <c r="AV233" i="7"/>
  <c r="AV231" i="7"/>
  <c r="AV223" i="7"/>
  <c r="AV219" i="7"/>
  <c r="AV221" i="7"/>
  <c r="AV222" i="7"/>
  <c r="AV218" i="7"/>
  <c r="AV162" i="7"/>
  <c r="AV157" i="7"/>
  <c r="AV158" i="7"/>
  <c r="AV156" i="7"/>
  <c r="AW156" i="7" s="1"/>
  <c r="AY156" i="7" s="1"/>
  <c r="AV153" i="7"/>
  <c r="AW153" i="7" s="1"/>
  <c r="AY153" i="7" s="1"/>
  <c r="AV129" i="7"/>
  <c r="AV130" i="7"/>
  <c r="AV131" i="7"/>
  <c r="AV132" i="7"/>
  <c r="AV133" i="7"/>
  <c r="AV134" i="7"/>
  <c r="AV135" i="7"/>
  <c r="AV136" i="7"/>
  <c r="AW136" i="7" s="1"/>
  <c r="AV137" i="7"/>
  <c r="AV138" i="7"/>
  <c r="AV139" i="7"/>
  <c r="AV113" i="7"/>
  <c r="AV114" i="7"/>
  <c r="AV115" i="7"/>
  <c r="AV105" i="7"/>
  <c r="AV48" i="7"/>
  <c r="AV49" i="7"/>
  <c r="AV50" i="7"/>
  <c r="AV51" i="7"/>
  <c r="AV52" i="7"/>
  <c r="AV53" i="7"/>
  <c r="AV54" i="7"/>
  <c r="AV47" i="7"/>
  <c r="AV36" i="7"/>
  <c r="AV37" i="7"/>
  <c r="AV38" i="7"/>
  <c r="AV39" i="7"/>
  <c r="AV40" i="7"/>
  <c r="AV41" i="7"/>
  <c r="AV42" i="7"/>
  <c r="AV43" i="7"/>
  <c r="AV44" i="7"/>
  <c r="AV45" i="7"/>
  <c r="AV35" i="7"/>
  <c r="AV30" i="7"/>
  <c r="AV31" i="7"/>
  <c r="AV29" i="7"/>
  <c r="AW29" i="7" s="1"/>
  <c r="AV26" i="7"/>
  <c r="AV27" i="7"/>
  <c r="AV11" i="7"/>
  <c r="AW11" i="7" s="1"/>
  <c r="AY11" i="7" s="1"/>
  <c r="AU192" i="33" l="1"/>
  <c r="AV192" i="33" s="1"/>
  <c r="AX192" i="33" s="1"/>
  <c r="W195" i="33"/>
  <c r="X195" i="33" s="1"/>
  <c r="AU193" i="33"/>
  <c r="AV193" i="33" s="1"/>
  <c r="AX193" i="33" s="1"/>
  <c r="AT188" i="33"/>
  <c r="AU188" i="33" s="1"/>
  <c r="AV188" i="33" s="1"/>
  <c r="AX188" i="33" s="1"/>
  <c r="X189" i="33"/>
  <c r="AU189" i="33" s="1"/>
  <c r="AV189" i="33" s="1"/>
  <c r="AX189" i="33" s="1"/>
  <c r="AU194" i="33"/>
  <c r="AV194" i="33" s="1"/>
  <c r="AX194" i="33" s="1"/>
  <c r="AU185" i="33"/>
  <c r="AV185" i="33" s="1"/>
  <c r="E103" i="33"/>
  <c r="E11" i="30"/>
  <c r="E254" i="33"/>
  <c r="AX89" i="33"/>
  <c r="AX101" i="33" s="1"/>
  <c r="AV101" i="33"/>
  <c r="E351" i="1"/>
  <c r="AV55" i="7"/>
  <c r="AV378" i="7"/>
  <c r="AT195" i="33" l="1"/>
  <c r="AU195" i="33"/>
  <c r="AX185" i="33"/>
  <c r="AX195" i="33" s="1"/>
  <c r="AV195" i="33"/>
  <c r="E16" i="16" l="1"/>
  <c r="E15" i="16"/>
  <c r="E14" i="16"/>
  <c r="E13" i="16"/>
  <c r="E12" i="16"/>
  <c r="AI401" i="7" l="1"/>
  <c r="AI392" i="7"/>
  <c r="AI378" i="7"/>
  <c r="AI365" i="7"/>
  <c r="AI364" i="7"/>
  <c r="AI363" i="7"/>
  <c r="AI354" i="7"/>
  <c r="AI346" i="7"/>
  <c r="AI333" i="7"/>
  <c r="AI317" i="7"/>
  <c r="AI305" i="7"/>
  <c r="AI304" i="7"/>
  <c r="AI303" i="7"/>
  <c r="AI293" i="7"/>
  <c r="AI280" i="7"/>
  <c r="AI264" i="7"/>
  <c r="AI245" i="7"/>
  <c r="AI244" i="7"/>
  <c r="AI243" i="7"/>
  <c r="AI224" i="7"/>
  <c r="AI213" i="7"/>
  <c r="AI200" i="7"/>
  <c r="AI185" i="7"/>
  <c r="AI184" i="7"/>
  <c r="AI183" i="7"/>
  <c r="AI176" i="7"/>
  <c r="AI159" i="7"/>
  <c r="AI150" i="7"/>
  <c r="AI140" i="7"/>
  <c r="AI126" i="7"/>
  <c r="AI125" i="7"/>
  <c r="AI124" i="7"/>
  <c r="AI116" i="7"/>
  <c r="AI109" i="7"/>
  <c r="AI102" i="7"/>
  <c r="AI92" i="7"/>
  <c r="AI81" i="7"/>
  <c r="AI67" i="7"/>
  <c r="AI66" i="7"/>
  <c r="AI65" i="7"/>
  <c r="AI55" i="7"/>
  <c r="AI28" i="7"/>
  <c r="AI32" i="7" s="1"/>
  <c r="AI242" i="7" l="1"/>
  <c r="B45" i="30"/>
  <c r="AI403" i="7"/>
  <c r="AI123" i="7"/>
  <c r="AI182" i="7"/>
  <c r="AI302" i="7"/>
  <c r="AI362" i="7"/>
  <c r="AI164" i="7"/>
  <c r="AI94" i="7"/>
  <c r="AI118" i="7" s="1"/>
  <c r="AI142" i="7" s="1"/>
  <c r="AI348" i="7"/>
  <c r="AI215" i="7"/>
  <c r="AI226" i="7" s="1"/>
  <c r="AI295" i="7"/>
  <c r="AI64" i="7"/>
  <c r="AV128" i="7"/>
  <c r="AV140" i="7" l="1"/>
  <c r="AW128" i="7"/>
  <c r="AY128" i="7" s="1"/>
  <c r="AI356" i="7"/>
  <c r="AI380" i="7" s="1"/>
  <c r="AI382" i="7" s="1"/>
  <c r="AI228" i="7"/>
  <c r="AI236" i="7" s="1"/>
  <c r="AI405" i="7" s="1"/>
  <c r="AI408" i="7" s="1"/>
  <c r="AA28" i="7"/>
  <c r="AA32" i="7" s="1"/>
  <c r="AA55" i="7"/>
  <c r="AA64" i="7"/>
  <c r="AA65" i="7"/>
  <c r="AA66" i="7"/>
  <c r="AA67" i="7"/>
  <c r="AA81" i="7"/>
  <c r="AA92" i="7"/>
  <c r="AA102" i="7"/>
  <c r="AA109" i="7"/>
  <c r="AA116" i="7"/>
  <c r="AA123" i="7"/>
  <c r="AA124" i="7"/>
  <c r="AA125" i="7"/>
  <c r="AA126" i="7"/>
  <c r="AA140" i="7"/>
  <c r="AA150" i="7"/>
  <c r="AA159" i="7"/>
  <c r="AA176" i="7"/>
  <c r="AA182" i="7"/>
  <c r="AA183" i="7"/>
  <c r="AA184" i="7"/>
  <c r="AA185" i="7"/>
  <c r="AA200" i="7"/>
  <c r="AA213" i="7"/>
  <c r="AA224" i="7"/>
  <c r="AA242" i="7"/>
  <c r="AA243" i="7"/>
  <c r="AA244" i="7"/>
  <c r="AA245" i="7"/>
  <c r="AA264" i="7"/>
  <c r="AA280" i="7"/>
  <c r="AA293" i="7"/>
  <c r="AA302" i="7"/>
  <c r="AA303" i="7"/>
  <c r="AA304" i="7"/>
  <c r="AA305" i="7"/>
  <c r="AA317" i="7"/>
  <c r="AA333" i="7"/>
  <c r="AA346" i="7"/>
  <c r="AA354" i="7"/>
  <c r="AA362" i="7"/>
  <c r="AA363" i="7"/>
  <c r="AA364" i="7"/>
  <c r="AA365" i="7"/>
  <c r="AA378" i="7"/>
  <c r="AA392" i="7"/>
  <c r="AA401" i="7"/>
  <c r="Y401" i="7"/>
  <c r="Y378" i="7"/>
  <c r="Y365" i="7"/>
  <c r="Y364" i="7"/>
  <c r="Y363" i="7"/>
  <c r="Y362" i="7"/>
  <c r="Y354" i="7"/>
  <c r="Y346" i="7"/>
  <c r="Y333" i="7"/>
  <c r="Y317" i="7"/>
  <c r="Y305" i="7"/>
  <c r="Y304" i="7"/>
  <c r="Y303" i="7"/>
  <c r="Y293" i="7"/>
  <c r="Y280" i="7"/>
  <c r="Y264" i="7"/>
  <c r="Y245" i="7"/>
  <c r="Y244" i="7"/>
  <c r="Y243" i="7"/>
  <c r="Y224" i="7"/>
  <c r="Y213" i="7"/>
  <c r="Y200" i="7"/>
  <c r="Y185" i="7"/>
  <c r="Y184" i="7"/>
  <c r="Y183" i="7"/>
  <c r="Y176" i="7"/>
  <c r="Y159" i="7"/>
  <c r="Y150" i="7"/>
  <c r="Y140" i="7"/>
  <c r="Y126" i="7"/>
  <c r="Y125" i="7"/>
  <c r="Y124" i="7"/>
  <c r="Y123" i="7"/>
  <c r="Y116" i="7"/>
  <c r="Y109" i="7"/>
  <c r="Y102" i="7"/>
  <c r="Y92" i="7"/>
  <c r="Y81" i="7"/>
  <c r="Y67" i="7"/>
  <c r="Y66" i="7"/>
  <c r="Y65" i="7"/>
  <c r="Y55" i="7"/>
  <c r="Y28" i="7"/>
  <c r="Y32" i="7" s="1"/>
  <c r="Y302" i="7"/>
  <c r="AV251" i="7"/>
  <c r="AV253" i="7" s="1"/>
  <c r="AV354" i="7" l="1"/>
  <c r="Y392" i="7"/>
  <c r="Y403" i="7" s="1"/>
  <c r="AV388" i="7"/>
  <c r="AV392" i="7" s="1"/>
  <c r="Y215" i="7"/>
  <c r="Y226" i="7" s="1"/>
  <c r="Y295" i="7"/>
  <c r="Y164" i="7"/>
  <c r="Y148" i="33" s="1"/>
  <c r="Y94" i="7"/>
  <c r="Y118" i="7" s="1"/>
  <c r="Y142" i="7" s="1"/>
  <c r="AA403" i="7"/>
  <c r="AA164" i="7"/>
  <c r="AA148" i="33" s="1"/>
  <c r="AA153" i="33" s="1"/>
  <c r="AA155" i="33" s="1"/>
  <c r="AA157" i="33" s="1"/>
  <c r="Y348" i="7"/>
  <c r="AA295" i="7"/>
  <c r="AA215" i="7"/>
  <c r="AA226" i="7" s="1"/>
  <c r="AA348" i="7"/>
  <c r="AA94" i="7"/>
  <c r="AA118" i="7" s="1"/>
  <c r="AA142" i="7" s="1"/>
  <c r="Y64" i="7"/>
  <c r="Y242" i="7"/>
  <c r="Y182" i="7"/>
  <c r="D41" i="30" l="1"/>
  <c r="F41" i="30"/>
  <c r="Y228" i="7"/>
  <c r="Y236" i="7" s="1"/>
  <c r="Y153" i="33"/>
  <c r="Y155" i="33" s="1"/>
  <c r="Y157" i="33" s="1"/>
  <c r="Y253" i="33" s="1"/>
  <c r="Y356" i="7"/>
  <c r="Y380" i="7" s="1"/>
  <c r="Y382" i="7" s="1"/>
  <c r="AA356" i="7"/>
  <c r="AA380" i="7" s="1"/>
  <c r="AA382" i="7" s="1"/>
  <c r="AA228" i="7"/>
  <c r="AA236" i="7" s="1"/>
  <c r="AA405" i="7" s="1"/>
  <c r="AA408" i="7" s="1"/>
  <c r="Y405" i="7" l="1"/>
  <c r="Y408" i="7" s="1"/>
  <c r="D39" i="30"/>
  <c r="D61" i="30" s="1"/>
  <c r="AV220" i="7"/>
  <c r="F39" i="30" l="1"/>
  <c r="X28" i="7"/>
  <c r="X32" i="7" s="1"/>
  <c r="X55" i="7"/>
  <c r="X64" i="7"/>
  <c r="X65" i="7"/>
  <c r="X66" i="7"/>
  <c r="X67" i="7"/>
  <c r="X81" i="7"/>
  <c r="X92" i="7"/>
  <c r="X102" i="7"/>
  <c r="X109" i="7"/>
  <c r="X116" i="7"/>
  <c r="X123" i="7"/>
  <c r="X124" i="7"/>
  <c r="X125" i="7"/>
  <c r="X126" i="7"/>
  <c r="X140" i="7"/>
  <c r="X150" i="7"/>
  <c r="X159" i="7"/>
  <c r="X182" i="7"/>
  <c r="X183" i="7"/>
  <c r="X184" i="7"/>
  <c r="X185" i="7"/>
  <c r="X213" i="7"/>
  <c r="X224" i="7"/>
  <c r="X242" i="7"/>
  <c r="X243" i="7"/>
  <c r="X244" i="7"/>
  <c r="X245" i="7"/>
  <c r="X293" i="7"/>
  <c r="X302" i="7"/>
  <c r="X303" i="7"/>
  <c r="X304" i="7"/>
  <c r="X305" i="7"/>
  <c r="X354" i="7"/>
  <c r="X362" i="7"/>
  <c r="X363" i="7"/>
  <c r="X364" i="7"/>
  <c r="X365" i="7"/>
  <c r="X378" i="7"/>
  <c r="X392" i="7"/>
  <c r="X401" i="7"/>
  <c r="X403" i="7" l="1"/>
  <c r="X164" i="7"/>
  <c r="W148" i="33" s="1"/>
  <c r="W153" i="33" s="1"/>
  <c r="W155" i="33" s="1"/>
  <c r="W157" i="33" s="1"/>
  <c r="X94" i="7"/>
  <c r="X118" i="7"/>
  <c r="X142" i="7" s="1"/>
  <c r="E430" i="1"/>
  <c r="W401" i="7"/>
  <c r="AC401" i="7"/>
  <c r="AD401" i="7"/>
  <c r="AE401" i="7"/>
  <c r="AK401" i="7"/>
  <c r="AL401" i="7"/>
  <c r="AM401" i="7"/>
  <c r="AS401" i="7"/>
  <c r="AT401" i="7"/>
  <c r="G401" i="7"/>
  <c r="G403" i="7" s="1"/>
  <c r="H401" i="7"/>
  <c r="I401" i="7"/>
  <c r="J401" i="7"/>
  <c r="K401" i="7"/>
  <c r="L401" i="7"/>
  <c r="M401" i="7"/>
  <c r="N401" i="7"/>
  <c r="O401" i="7"/>
  <c r="P401" i="7"/>
  <c r="Q401" i="7"/>
  <c r="R401" i="7"/>
  <c r="S401" i="7"/>
  <c r="U401" i="7"/>
  <c r="V401" i="7"/>
  <c r="I64" i="21" l="1"/>
  <c r="I50" i="21"/>
  <c r="J7" i="22" l="1"/>
  <c r="I46" i="21" l="1"/>
  <c r="F346" i="7" l="1"/>
  <c r="W223" i="33" s="1"/>
  <c r="AS227" i="33" l="1"/>
  <c r="AS228" i="33"/>
  <c r="AS229" i="33"/>
  <c r="AR227" i="33"/>
  <c r="AS223" i="33"/>
  <c r="AS230" i="33"/>
  <c r="AR228" i="33"/>
  <c r="AS222" i="33"/>
  <c r="AS221" i="33"/>
  <c r="AR229" i="33"/>
  <c r="AR223" i="33"/>
  <c r="AR230" i="33"/>
  <c r="AS224" i="33"/>
  <c r="AS225" i="33"/>
  <c r="AR222" i="33"/>
  <c r="AR221" i="33"/>
  <c r="AS226" i="33"/>
  <c r="AR224" i="33"/>
  <c r="AR225" i="33"/>
  <c r="AR226" i="33"/>
  <c r="W229" i="33"/>
  <c r="W222" i="33"/>
  <c r="W230" i="33"/>
  <c r="W221" i="33"/>
  <c r="W224" i="33"/>
  <c r="W226" i="33"/>
  <c r="W227" i="33"/>
  <c r="W228" i="33"/>
  <c r="W225" i="33"/>
  <c r="AV148" i="7"/>
  <c r="AW148" i="7" s="1"/>
  <c r="AY148" i="7" s="1"/>
  <c r="BA148" i="7" s="1"/>
  <c r="AT228" i="33" l="1"/>
  <c r="AT222" i="33"/>
  <c r="AT229" i="33"/>
  <c r="AR231" i="33"/>
  <c r="AS231" i="33"/>
  <c r="W231" i="33"/>
  <c r="AT227" i="33"/>
  <c r="AT225" i="33"/>
  <c r="AT226" i="33"/>
  <c r="AT221" i="33"/>
  <c r="AT223" i="33"/>
  <c r="AT224" i="33"/>
  <c r="AV341" i="7"/>
  <c r="X226" i="33"/>
  <c r="AV336" i="7"/>
  <c r="AW336" i="7" s="1"/>
  <c r="X346" i="7"/>
  <c r="AV337" i="7"/>
  <c r="X222" i="33"/>
  <c r="AV345" i="7"/>
  <c r="X230" i="33"/>
  <c r="AV340" i="7"/>
  <c r="X225" i="33"/>
  <c r="AV343" i="7"/>
  <c r="X228" i="33"/>
  <c r="AV338" i="7"/>
  <c r="X223" i="33"/>
  <c r="AV339" i="7"/>
  <c r="X224" i="33"/>
  <c r="AV342" i="7"/>
  <c r="X227" i="33"/>
  <c r="AV344" i="7"/>
  <c r="X229" i="33"/>
  <c r="AY351" i="7"/>
  <c r="AU228" i="33" l="1"/>
  <c r="AV228" i="33" s="1"/>
  <c r="AX228" i="33" s="1"/>
  <c r="AU226" i="33"/>
  <c r="AV226" i="33" s="1"/>
  <c r="AX226" i="33" s="1"/>
  <c r="AU222" i="33"/>
  <c r="AV222" i="33" s="1"/>
  <c r="AX222" i="33" s="1"/>
  <c r="AU229" i="33"/>
  <c r="AV229" i="33" s="1"/>
  <c r="AX229" i="33" s="1"/>
  <c r="AT230" i="33"/>
  <c r="AU230" i="33" s="1"/>
  <c r="AV230" i="33" s="1"/>
  <c r="AX230" i="33" s="1"/>
  <c r="AU223" i="33"/>
  <c r="AV223" i="33" s="1"/>
  <c r="AX223" i="33" s="1"/>
  <c r="AU227" i="33"/>
  <c r="AV227" i="33" s="1"/>
  <c r="AX227" i="33" s="1"/>
  <c r="AU225" i="33"/>
  <c r="AV225" i="33" s="1"/>
  <c r="AX225" i="33" s="1"/>
  <c r="AU224" i="33"/>
  <c r="AV224" i="33" s="1"/>
  <c r="AX224" i="33" s="1"/>
  <c r="X231" i="33"/>
  <c r="X221" i="33"/>
  <c r="AU221" i="33" s="1"/>
  <c r="AT231" i="33" l="1"/>
  <c r="AU231" i="33"/>
  <c r="AV221" i="33"/>
  <c r="AV231" i="33" l="1"/>
  <c r="AX221" i="33"/>
  <c r="AX231" i="33" s="1"/>
  <c r="F176" i="7"/>
  <c r="AS110" i="33" l="1"/>
  <c r="AS174" i="7"/>
  <c r="AR111" i="33" s="1"/>
  <c r="AS111" i="33"/>
  <c r="AS175" i="7"/>
  <c r="AR112" i="33" s="1"/>
  <c r="AS105" i="33"/>
  <c r="AS169" i="7"/>
  <c r="AR106" i="33" s="1"/>
  <c r="AS112" i="33"/>
  <c r="AS168" i="7"/>
  <c r="AR105" i="33" s="1"/>
  <c r="AS108" i="33"/>
  <c r="AS106" i="33"/>
  <c r="AS171" i="7"/>
  <c r="AR108" i="33" s="1"/>
  <c r="AS109" i="33"/>
  <c r="AR109" i="33"/>
  <c r="AS173" i="7"/>
  <c r="AS107" i="33"/>
  <c r="AS170" i="7"/>
  <c r="X108" i="33"/>
  <c r="X109" i="33"/>
  <c r="X107" i="33"/>
  <c r="X110" i="33"/>
  <c r="X111" i="33"/>
  <c r="X112" i="33"/>
  <c r="AT106" i="33" l="1"/>
  <c r="AT108" i="33"/>
  <c r="AU108" i="33" s="1"/>
  <c r="AV108" i="33" s="1"/>
  <c r="AX108" i="33" s="1"/>
  <c r="AR107" i="33"/>
  <c r="AT107" i="33" s="1"/>
  <c r="AU107" i="33" s="1"/>
  <c r="AV107" i="33" s="1"/>
  <c r="AX107" i="33" s="1"/>
  <c r="AR110" i="33"/>
  <c r="AT110" i="33" s="1"/>
  <c r="AU110" i="33" s="1"/>
  <c r="AV110" i="33" s="1"/>
  <c r="AX110" i="33" s="1"/>
  <c r="AS113" i="33"/>
  <c r="AT109" i="33"/>
  <c r="AU109" i="33" s="1"/>
  <c r="AV109" i="33" s="1"/>
  <c r="AX109" i="33" s="1"/>
  <c r="AT111" i="33"/>
  <c r="AU111" i="33" s="1"/>
  <c r="AV111" i="33" s="1"/>
  <c r="AX111" i="33" s="1"/>
  <c r="AT112" i="33"/>
  <c r="AU112" i="33" s="1"/>
  <c r="AV112" i="33" s="1"/>
  <c r="AX112" i="33" s="1"/>
  <c r="AV173" i="7"/>
  <c r="AV175" i="7"/>
  <c r="AV174" i="7"/>
  <c r="X113" i="33"/>
  <c r="X105" i="33"/>
  <c r="AV170" i="7"/>
  <c r="AV171" i="7"/>
  <c r="AV172" i="7"/>
  <c r="X106" i="33"/>
  <c r="AU106" i="33" s="1"/>
  <c r="AV106" i="33" s="1"/>
  <c r="AX106" i="33" s="1"/>
  <c r="X176" i="7"/>
  <c r="AV168" i="7"/>
  <c r="AT105" i="33"/>
  <c r="AV169" i="7"/>
  <c r="AW169" i="7" s="1"/>
  <c r="AY169" i="7" s="1"/>
  <c r="I34" i="21"/>
  <c r="I35" i="21"/>
  <c r="I36" i="21"/>
  <c r="I37" i="21"/>
  <c r="I38" i="21"/>
  <c r="I40" i="21"/>
  <c r="I41" i="21"/>
  <c r="I42" i="21"/>
  <c r="I44" i="21"/>
  <c r="I45" i="21"/>
  <c r="I47" i="21"/>
  <c r="I48" i="21"/>
  <c r="I51" i="21"/>
  <c r="I52" i="21"/>
  <c r="I55" i="21"/>
  <c r="I56" i="21"/>
  <c r="I58" i="21"/>
  <c r="I60" i="21"/>
  <c r="I61" i="21"/>
  <c r="I62" i="21"/>
  <c r="I63" i="21"/>
  <c r="I65" i="21"/>
  <c r="I66" i="21"/>
  <c r="I67" i="21"/>
  <c r="I68" i="21"/>
  <c r="AR113" i="33" l="1"/>
  <c r="AU105" i="33"/>
  <c r="AT113" i="33"/>
  <c r="I39" i="21"/>
  <c r="AU113" i="33" l="1"/>
  <c r="AV105" i="33"/>
  <c r="AX105" i="33" l="1"/>
  <c r="AX113" i="33" s="1"/>
  <c r="AV113" i="33"/>
  <c r="E17" i="16"/>
  <c r="AW220" i="7" l="1"/>
  <c r="AY220" i="7" s="1"/>
  <c r="AY407" i="7" l="1"/>
  <c r="AT28" i="7" l="1"/>
  <c r="AT32" i="7" s="1"/>
  <c r="AT55" i="7"/>
  <c r="AT65" i="7"/>
  <c r="AT66" i="7"/>
  <c r="AT67" i="7"/>
  <c r="AT81" i="7"/>
  <c r="AT92" i="7"/>
  <c r="AT102" i="7"/>
  <c r="AT109" i="7"/>
  <c r="AT116" i="7"/>
  <c r="AT124" i="7"/>
  <c r="AT125" i="7"/>
  <c r="AT126" i="7"/>
  <c r="AT140" i="7"/>
  <c r="AT150" i="7"/>
  <c r="AT159" i="7"/>
  <c r="AT176" i="7"/>
  <c r="AT183" i="7"/>
  <c r="AT184" i="7"/>
  <c r="AT185" i="7"/>
  <c r="AT224" i="7"/>
  <c r="AT243" i="7"/>
  <c r="AT244" i="7"/>
  <c r="AT245" i="7"/>
  <c r="AT293" i="7"/>
  <c r="AT303" i="7"/>
  <c r="AT304" i="7"/>
  <c r="AT305" i="7"/>
  <c r="AT346" i="7"/>
  <c r="AT354" i="7"/>
  <c r="AT363" i="7"/>
  <c r="AT364" i="7"/>
  <c r="AT365" i="7"/>
  <c r="AT378" i="7"/>
  <c r="AT392" i="7"/>
  <c r="AT403" i="7" s="1"/>
  <c r="B48" i="30" l="1"/>
  <c r="AT94" i="7"/>
  <c r="AT118" i="7" s="1"/>
  <c r="AT142" i="7" s="1"/>
  <c r="AT164" i="7"/>
  <c r="AS148" i="33" s="1"/>
  <c r="AS153" i="33" s="1"/>
  <c r="AT5" i="7" l="1"/>
  <c r="AS3" i="33" s="1"/>
  <c r="B49" i="30"/>
  <c r="B50" i="30" l="1"/>
  <c r="AT242" i="7"/>
  <c r="AT302" i="7"/>
  <c r="AT64" i="7"/>
  <c r="AT362" i="7"/>
  <c r="AT123" i="7"/>
  <c r="AT182" i="7"/>
  <c r="C17" i="6"/>
  <c r="B51" i="30" l="1"/>
  <c r="AK392" i="7"/>
  <c r="AK378" i="7"/>
  <c r="AK362" i="7"/>
  <c r="AK363" i="7"/>
  <c r="AK364" i="7"/>
  <c r="AK365" i="7"/>
  <c r="AK354" i="7"/>
  <c r="AK346" i="7"/>
  <c r="AK333" i="7"/>
  <c r="AK317" i="7"/>
  <c r="AK302" i="7"/>
  <c r="AK303" i="7"/>
  <c r="AK304" i="7"/>
  <c r="AK305" i="7"/>
  <c r="AK293" i="7"/>
  <c r="AK280" i="7"/>
  <c r="AK264" i="7"/>
  <c r="AK242" i="7"/>
  <c r="AK243" i="7"/>
  <c r="AK244" i="7"/>
  <c r="AK245" i="7"/>
  <c r="AK224" i="7"/>
  <c r="AK213" i="7"/>
  <c r="AK200" i="7"/>
  <c r="AK182" i="7"/>
  <c r="AK183" i="7"/>
  <c r="AK184" i="7"/>
  <c r="AK185" i="7"/>
  <c r="AK176" i="7"/>
  <c r="AK159" i="7"/>
  <c r="AK150" i="7"/>
  <c r="AK140" i="7"/>
  <c r="AK123" i="7"/>
  <c r="AK124" i="7"/>
  <c r="AK125" i="7"/>
  <c r="AK126" i="7"/>
  <c r="AK116" i="7"/>
  <c r="AK109" i="7"/>
  <c r="AK102" i="7"/>
  <c r="AK92" i="7"/>
  <c r="AK81" i="7"/>
  <c r="AK64" i="7"/>
  <c r="AK65" i="7"/>
  <c r="AK66" i="7"/>
  <c r="AK67" i="7"/>
  <c r="AK55" i="7"/>
  <c r="AK28" i="7"/>
  <c r="AK32" i="7" s="1"/>
  <c r="B52" i="30" l="1"/>
  <c r="AK403" i="7"/>
  <c r="AK295" i="7"/>
  <c r="AK348" i="7"/>
  <c r="AK164" i="7"/>
  <c r="AK215" i="7"/>
  <c r="AK226" i="7" s="1"/>
  <c r="AK94" i="7"/>
  <c r="AK118" i="7" s="1"/>
  <c r="AK142" i="7" s="1"/>
  <c r="B58" i="30" l="1"/>
  <c r="AK356" i="7"/>
  <c r="AK380" i="7" s="1"/>
  <c r="AK382" i="7" s="1"/>
  <c r="AK228" i="7"/>
  <c r="AK236" i="7" s="1"/>
  <c r="AK405" i="7" s="1"/>
  <c r="AK408" i="7" s="1"/>
  <c r="B59" i="30" l="1"/>
  <c r="V28" i="7"/>
  <c r="V32" i="7" s="1"/>
  <c r="W28" i="7"/>
  <c r="W32" i="7" s="1"/>
  <c r="V55" i="7"/>
  <c r="W55" i="7"/>
  <c r="V64" i="7"/>
  <c r="W64" i="7"/>
  <c r="V65" i="7"/>
  <c r="W65" i="7"/>
  <c r="V66" i="7"/>
  <c r="W66" i="7"/>
  <c r="V67" i="7"/>
  <c r="W67" i="7"/>
  <c r="V81" i="7"/>
  <c r="W81" i="7"/>
  <c r="V92" i="7"/>
  <c r="W92" i="7"/>
  <c r="V102" i="7"/>
  <c r="W102" i="7"/>
  <c r="V109" i="7"/>
  <c r="W109" i="7"/>
  <c r="V116" i="7"/>
  <c r="W116" i="7"/>
  <c r="V123" i="7"/>
  <c r="W123" i="7"/>
  <c r="V124" i="7"/>
  <c r="W124" i="7"/>
  <c r="V125" i="7"/>
  <c r="W125" i="7"/>
  <c r="V126" i="7"/>
  <c r="W126" i="7"/>
  <c r="V140" i="7"/>
  <c r="W140" i="7"/>
  <c r="V150" i="7"/>
  <c r="W150" i="7"/>
  <c r="V159" i="7"/>
  <c r="W159" i="7"/>
  <c r="V176" i="7"/>
  <c r="W176" i="7"/>
  <c r="V182" i="7"/>
  <c r="W182" i="7"/>
  <c r="V183" i="7"/>
  <c r="W183" i="7"/>
  <c r="V184" i="7"/>
  <c r="W184" i="7"/>
  <c r="V185" i="7"/>
  <c r="W185" i="7"/>
  <c r="V200" i="7"/>
  <c r="W200" i="7"/>
  <c r="V213" i="7"/>
  <c r="W213" i="7"/>
  <c r="V224" i="7"/>
  <c r="W224" i="7"/>
  <c r="V242" i="7"/>
  <c r="W242" i="7"/>
  <c r="V243" i="7"/>
  <c r="W243" i="7"/>
  <c r="V244" i="7"/>
  <c r="W244" i="7"/>
  <c r="V245" i="7"/>
  <c r="W245" i="7"/>
  <c r="V264" i="7"/>
  <c r="W264" i="7"/>
  <c r="V280" i="7"/>
  <c r="W280" i="7"/>
  <c r="V293" i="7"/>
  <c r="W293" i="7"/>
  <c r="V302" i="7"/>
  <c r="W302" i="7"/>
  <c r="V303" i="7"/>
  <c r="W303" i="7"/>
  <c r="V304" i="7"/>
  <c r="W304" i="7"/>
  <c r="V305" i="7"/>
  <c r="W305" i="7"/>
  <c r="V317" i="7"/>
  <c r="W317" i="7"/>
  <c r="V333" i="7"/>
  <c r="W333" i="7"/>
  <c r="V346" i="7"/>
  <c r="W346" i="7"/>
  <c r="V354" i="7"/>
  <c r="W354" i="7"/>
  <c r="V362" i="7"/>
  <c r="W362" i="7"/>
  <c r="V363" i="7"/>
  <c r="W363" i="7"/>
  <c r="V364" i="7"/>
  <c r="W364" i="7"/>
  <c r="V365" i="7"/>
  <c r="W365" i="7"/>
  <c r="V378" i="7"/>
  <c r="W378" i="7"/>
  <c r="V392" i="7"/>
  <c r="W392" i="7"/>
  <c r="V403" i="7" l="1"/>
  <c r="W403" i="7"/>
  <c r="W164" i="7"/>
  <c r="V148" i="33" s="1"/>
  <c r="V153" i="33" s="1"/>
  <c r="V155" i="33" s="1"/>
  <c r="V157" i="33" s="1"/>
  <c r="V164" i="7"/>
  <c r="U148" i="33" s="1"/>
  <c r="U153" i="33" s="1"/>
  <c r="U155" i="33" s="1"/>
  <c r="U157" i="33" s="1"/>
  <c r="V94" i="7"/>
  <c r="V118" i="7" s="1"/>
  <c r="V142" i="7" s="1"/>
  <c r="W94" i="7"/>
  <c r="W118" i="7" s="1"/>
  <c r="W142" i="7" s="1"/>
  <c r="W215" i="7"/>
  <c r="W226" i="7" s="1"/>
  <c r="V348" i="7"/>
  <c r="V295" i="7"/>
  <c r="W295" i="7"/>
  <c r="V215" i="7"/>
  <c r="V226" i="7" s="1"/>
  <c r="W348" i="7"/>
  <c r="D28" i="30" l="1"/>
  <c r="F28" i="30"/>
  <c r="D29" i="30"/>
  <c r="V356" i="7"/>
  <c r="V380" i="7" s="1"/>
  <c r="V382" i="7" s="1"/>
  <c r="W228" i="7"/>
  <c r="W236" i="7" s="1"/>
  <c r="W405" i="7" s="1"/>
  <c r="W408" i="7" s="1"/>
  <c r="W356" i="7"/>
  <c r="W380" i="7" s="1"/>
  <c r="W382" i="7" s="1"/>
  <c r="V228" i="7"/>
  <c r="V236" i="7" s="1"/>
  <c r="V405" i="7" s="1"/>
  <c r="V408" i="7" s="1"/>
  <c r="E419" i="7" l="1"/>
  <c r="E420" i="7" s="1"/>
  <c r="E19" i="17" l="1"/>
  <c r="E17" i="17"/>
  <c r="E16" i="17"/>
  <c r="E18" i="17" s="1"/>
  <c r="F18" i="17" s="1"/>
  <c r="G18" i="17" s="1"/>
  <c r="F23" i="17"/>
  <c r="AW373" i="7" l="1"/>
  <c r="AY373" i="7" s="1"/>
  <c r="AV146" i="7"/>
  <c r="AV147" i="7"/>
  <c r="AW147" i="7" s="1"/>
  <c r="AY147" i="7" s="1"/>
  <c r="AV149" i="7"/>
  <c r="AV230" i="7"/>
  <c r="C28" i="6" l="1"/>
  <c r="B38" i="12" l="1"/>
  <c r="C40" i="12"/>
  <c r="I57" i="21" l="1"/>
  <c r="F401" i="1"/>
  <c r="F399" i="1"/>
  <c r="D19" i="17" l="1"/>
  <c r="D17" i="17"/>
  <c r="D16" i="17"/>
  <c r="D15" i="17"/>
  <c r="D20" i="17" l="1"/>
  <c r="F15" i="17"/>
  <c r="AS392" i="7"/>
  <c r="AS378" i="7"/>
  <c r="AS365" i="7"/>
  <c r="AS364" i="7"/>
  <c r="AS363" i="7"/>
  <c r="AS346" i="7"/>
  <c r="AS305" i="7"/>
  <c r="AS304" i="7"/>
  <c r="AS303" i="7"/>
  <c r="AS293" i="7"/>
  <c r="AS245" i="7"/>
  <c r="AS244" i="7"/>
  <c r="AS243" i="7"/>
  <c r="AS224" i="7"/>
  <c r="AS185" i="7"/>
  <c r="AS184" i="7"/>
  <c r="AS183" i="7"/>
  <c r="AS176" i="7"/>
  <c r="AS159" i="7"/>
  <c r="AS150" i="7"/>
  <c r="AS140" i="7"/>
  <c r="AS126" i="7"/>
  <c r="AS125" i="7"/>
  <c r="AS124" i="7"/>
  <c r="AS116" i="7"/>
  <c r="AS109" i="7"/>
  <c r="AS102" i="7"/>
  <c r="AS92" i="7"/>
  <c r="AS81" i="7"/>
  <c r="AS67" i="7"/>
  <c r="AS66" i="7"/>
  <c r="AS65" i="7"/>
  <c r="AS55" i="7"/>
  <c r="AS28" i="7"/>
  <c r="AS32" i="7" s="1"/>
  <c r="AS403" i="7" l="1"/>
  <c r="AS164" i="7"/>
  <c r="AR148" i="33" s="1"/>
  <c r="AR153" i="33" s="1"/>
  <c r="AS94" i="7"/>
  <c r="AS118" i="7" s="1"/>
  <c r="AS142" i="7" s="1"/>
  <c r="T12" i="7" l="1"/>
  <c r="AV12" i="7" s="1"/>
  <c r="T13" i="7"/>
  <c r="AV13" i="7" s="1"/>
  <c r="T14" i="7"/>
  <c r="AV14" i="7" s="1"/>
  <c r="T15" i="7"/>
  <c r="AV15" i="7" s="1"/>
  <c r="T16" i="7"/>
  <c r="AV16" i="7" s="1"/>
  <c r="T17" i="7"/>
  <c r="AV17" i="7" s="1"/>
  <c r="T18" i="7"/>
  <c r="AV18" i="7" s="1"/>
  <c r="T19" i="7"/>
  <c r="AV19" i="7" s="1"/>
  <c r="T20" i="7"/>
  <c r="AV20" i="7" s="1"/>
  <c r="T21" i="7"/>
  <c r="AV21" i="7" s="1"/>
  <c r="T22" i="7"/>
  <c r="AV22" i="7" s="1"/>
  <c r="T23" i="7"/>
  <c r="AV23" i="7" s="1"/>
  <c r="T24" i="7"/>
  <c r="AV24" i="7" s="1"/>
  <c r="T25" i="7"/>
  <c r="AV25" i="7" s="1"/>
  <c r="T55" i="7"/>
  <c r="T64" i="7"/>
  <c r="T65" i="7"/>
  <c r="T66" i="7"/>
  <c r="T67" i="7"/>
  <c r="T81" i="7"/>
  <c r="T92" i="7"/>
  <c r="T102" i="7"/>
  <c r="T109" i="7"/>
  <c r="T116" i="7"/>
  <c r="T123" i="7"/>
  <c r="T124" i="7"/>
  <c r="T125" i="7"/>
  <c r="T126" i="7"/>
  <c r="T140" i="7"/>
  <c r="T150" i="7"/>
  <c r="T159" i="7"/>
  <c r="T176" i="7"/>
  <c r="T182" i="7"/>
  <c r="T183" i="7"/>
  <c r="T184" i="7"/>
  <c r="T185" i="7"/>
  <c r="T200" i="7"/>
  <c r="T213" i="7"/>
  <c r="T224" i="7"/>
  <c r="T242" i="7"/>
  <c r="T243" i="7"/>
  <c r="T244" i="7"/>
  <c r="T245" i="7"/>
  <c r="T264" i="7"/>
  <c r="T280" i="7"/>
  <c r="T293" i="7"/>
  <c r="T302" i="7"/>
  <c r="T303" i="7"/>
  <c r="T304" i="7"/>
  <c r="T305" i="7"/>
  <c r="T317" i="7"/>
  <c r="T333" i="7"/>
  <c r="T346" i="7"/>
  <c r="T354" i="7"/>
  <c r="T362" i="7"/>
  <c r="T363" i="7"/>
  <c r="T364" i="7"/>
  <c r="T365" i="7"/>
  <c r="T378" i="7"/>
  <c r="T392" i="7"/>
  <c r="AV28" i="7" l="1"/>
  <c r="AV32" i="7" s="1"/>
  <c r="T164" i="7"/>
  <c r="S148" i="33" s="1"/>
  <c r="S153" i="33" s="1"/>
  <c r="S155" i="33" s="1"/>
  <c r="S157" i="33" s="1"/>
  <c r="S253" i="33" s="1"/>
  <c r="T215" i="7"/>
  <c r="T226" i="7" s="1"/>
  <c r="T348" i="7"/>
  <c r="T94" i="7"/>
  <c r="T295" i="7"/>
  <c r="T28" i="7"/>
  <c r="T32" i="7" s="1"/>
  <c r="T118" i="7" l="1"/>
  <c r="T142" i="7" s="1"/>
  <c r="T228" i="7" s="1"/>
  <c r="T236" i="7" s="1"/>
  <c r="T405" i="7" s="1"/>
  <c r="T408" i="7" s="1"/>
  <c r="T356" i="7"/>
  <c r="T380" i="7" s="1"/>
  <c r="T382" i="7" s="1"/>
  <c r="CK259" i="1" l="1"/>
  <c r="CK266" i="1"/>
  <c r="CK273" i="1"/>
  <c r="CK280" i="1"/>
  <c r="CK287" i="1"/>
  <c r="CK294" i="1"/>
  <c r="CK301" i="1"/>
  <c r="CK308" i="1"/>
  <c r="CK336" i="1"/>
  <c r="CK329" i="1"/>
  <c r="CK322" i="1"/>
  <c r="CK315" i="1"/>
  <c r="F17" i="3" l="1"/>
  <c r="G17" i="3"/>
  <c r="H17" i="3"/>
  <c r="I17" i="3"/>
  <c r="CI294" i="1" l="1"/>
  <c r="CI295" i="1"/>
  <c r="A116" i="1" l="1"/>
  <c r="A89" i="1"/>
  <c r="D12" i="18" l="1"/>
  <c r="D11" i="18"/>
  <c r="D10" i="18"/>
  <c r="D9" i="18"/>
  <c r="E9" i="18" s="1"/>
  <c r="R392" i="7" l="1"/>
  <c r="R378" i="7"/>
  <c r="R365" i="7"/>
  <c r="R364" i="7"/>
  <c r="R363" i="7"/>
  <c r="R354" i="7"/>
  <c r="R346" i="7"/>
  <c r="R333" i="7"/>
  <c r="R317" i="7"/>
  <c r="R305" i="7"/>
  <c r="R304" i="7"/>
  <c r="R303" i="7"/>
  <c r="R293" i="7"/>
  <c r="R280" i="7"/>
  <c r="R264" i="7"/>
  <c r="R245" i="7"/>
  <c r="R244" i="7"/>
  <c r="R243" i="7"/>
  <c r="R224" i="7"/>
  <c r="R213" i="7"/>
  <c r="R200" i="7"/>
  <c r="R185" i="7"/>
  <c r="R184" i="7"/>
  <c r="R183" i="7"/>
  <c r="R176" i="7"/>
  <c r="R159" i="7"/>
  <c r="R150" i="7"/>
  <c r="R140" i="7"/>
  <c r="R126" i="7"/>
  <c r="R125" i="7"/>
  <c r="R124" i="7"/>
  <c r="R116" i="7"/>
  <c r="R109" i="7"/>
  <c r="R102" i="7"/>
  <c r="R92" i="7"/>
  <c r="R81" i="7"/>
  <c r="R67" i="7"/>
  <c r="R66" i="7"/>
  <c r="R65" i="7"/>
  <c r="R55" i="7"/>
  <c r="R28" i="7"/>
  <c r="R32" i="7" s="1"/>
  <c r="Q392" i="7"/>
  <c r="P392" i="7"/>
  <c r="Q378" i="7"/>
  <c r="P378" i="7"/>
  <c r="Q365" i="7"/>
  <c r="P365" i="7"/>
  <c r="Q364" i="7"/>
  <c r="P364" i="7"/>
  <c r="Q363" i="7"/>
  <c r="P363" i="7"/>
  <c r="Q354" i="7"/>
  <c r="P354" i="7"/>
  <c r="Q346" i="7"/>
  <c r="P346" i="7"/>
  <c r="Q333" i="7"/>
  <c r="P333" i="7"/>
  <c r="Q317" i="7"/>
  <c r="P317" i="7"/>
  <c r="Q305" i="7"/>
  <c r="P305" i="7"/>
  <c r="Q304" i="7"/>
  <c r="P304" i="7"/>
  <c r="Q303" i="7"/>
  <c r="P303" i="7"/>
  <c r="Q293" i="7"/>
  <c r="P293" i="7"/>
  <c r="Q280" i="7"/>
  <c r="P280" i="7"/>
  <c r="Q264" i="7"/>
  <c r="P264" i="7"/>
  <c r="Q245" i="7"/>
  <c r="P245" i="7"/>
  <c r="Q244" i="7"/>
  <c r="P244" i="7"/>
  <c r="Q243" i="7"/>
  <c r="P243" i="7"/>
  <c r="Q224" i="7"/>
  <c r="P224" i="7"/>
  <c r="Q213" i="7"/>
  <c r="P213" i="7"/>
  <c r="Q200" i="7"/>
  <c r="P200" i="7"/>
  <c r="Q185" i="7"/>
  <c r="P185" i="7"/>
  <c r="Q184" i="7"/>
  <c r="P184" i="7"/>
  <c r="Q183" i="7"/>
  <c r="P183" i="7"/>
  <c r="Q176" i="7"/>
  <c r="P176" i="7"/>
  <c r="Q159" i="7"/>
  <c r="P159" i="7"/>
  <c r="Q150" i="7"/>
  <c r="P150" i="7"/>
  <c r="Q140" i="7"/>
  <c r="P140" i="7"/>
  <c r="Q126" i="7"/>
  <c r="P126" i="7"/>
  <c r="Q125" i="7"/>
  <c r="P125" i="7"/>
  <c r="Q124" i="7"/>
  <c r="P124" i="7"/>
  <c r="Q116" i="7"/>
  <c r="P116" i="7"/>
  <c r="Q109" i="7"/>
  <c r="P109" i="7"/>
  <c r="Q102" i="7"/>
  <c r="P102" i="7"/>
  <c r="Q92" i="7"/>
  <c r="P92" i="7"/>
  <c r="Q81" i="7"/>
  <c r="P81" i="7"/>
  <c r="Q67" i="7"/>
  <c r="P67" i="7"/>
  <c r="Q66" i="7"/>
  <c r="P66" i="7"/>
  <c r="Q65" i="7"/>
  <c r="P65" i="7"/>
  <c r="Q55" i="7"/>
  <c r="P55" i="7"/>
  <c r="Q28" i="7"/>
  <c r="Q32" i="7" s="1"/>
  <c r="P28" i="7"/>
  <c r="P32" i="7" s="1"/>
  <c r="K28" i="7"/>
  <c r="K32" i="7" s="1"/>
  <c r="K55" i="7"/>
  <c r="K64" i="7"/>
  <c r="K65" i="7"/>
  <c r="K66" i="7"/>
  <c r="K67" i="7"/>
  <c r="K81" i="7"/>
  <c r="K92" i="7"/>
  <c r="K102" i="7"/>
  <c r="K109" i="7"/>
  <c r="K116" i="7"/>
  <c r="K123" i="7"/>
  <c r="K124" i="7"/>
  <c r="K125" i="7"/>
  <c r="K126" i="7"/>
  <c r="K140" i="7"/>
  <c r="K150" i="7"/>
  <c r="K176" i="7"/>
  <c r="K182" i="7"/>
  <c r="K183" i="7"/>
  <c r="K184" i="7"/>
  <c r="K185" i="7"/>
  <c r="K200" i="7"/>
  <c r="K213" i="7"/>
  <c r="K224" i="7"/>
  <c r="K242" i="7"/>
  <c r="K243" i="7"/>
  <c r="K244" i="7"/>
  <c r="K245" i="7"/>
  <c r="K264" i="7"/>
  <c r="K280" i="7"/>
  <c r="K293" i="7"/>
  <c r="K302" i="7"/>
  <c r="K303" i="7"/>
  <c r="K304" i="7"/>
  <c r="K305" i="7"/>
  <c r="K317" i="7"/>
  <c r="K333" i="7"/>
  <c r="K346" i="7"/>
  <c r="K354" i="7"/>
  <c r="K362" i="7"/>
  <c r="K363" i="7"/>
  <c r="K364" i="7"/>
  <c r="K365" i="7"/>
  <c r="K378" i="7"/>
  <c r="K392" i="7"/>
  <c r="J28" i="7"/>
  <c r="J32" i="7" s="1"/>
  <c r="J392" i="7"/>
  <c r="J378" i="7"/>
  <c r="J365" i="7"/>
  <c r="J364" i="7"/>
  <c r="J363" i="7"/>
  <c r="J354" i="7"/>
  <c r="J346" i="7"/>
  <c r="J333" i="7"/>
  <c r="J317" i="7"/>
  <c r="J305" i="7"/>
  <c r="J304" i="7"/>
  <c r="J303" i="7"/>
  <c r="J293" i="7"/>
  <c r="J280" i="7"/>
  <c r="J264" i="7"/>
  <c r="J245" i="7"/>
  <c r="J244" i="7"/>
  <c r="J243" i="7"/>
  <c r="J224" i="7"/>
  <c r="J213" i="7"/>
  <c r="J200" i="7"/>
  <c r="J185" i="7"/>
  <c r="J184" i="7"/>
  <c r="J183" i="7"/>
  <c r="J176" i="7"/>
  <c r="J159" i="7"/>
  <c r="J150" i="7"/>
  <c r="J140" i="7"/>
  <c r="J126" i="7"/>
  <c r="J125" i="7"/>
  <c r="J124" i="7"/>
  <c r="J116" i="7"/>
  <c r="J109" i="7"/>
  <c r="J102" i="7"/>
  <c r="J92" i="7"/>
  <c r="J81" i="7"/>
  <c r="J67" i="7"/>
  <c r="J66" i="7"/>
  <c r="J65" i="7"/>
  <c r="J55" i="7"/>
  <c r="J302" i="7"/>
  <c r="R348" i="7" l="1"/>
  <c r="R403" i="7"/>
  <c r="Q94" i="7"/>
  <c r="Q118" i="7" s="1"/>
  <c r="Q142" i="7" s="1"/>
  <c r="Q164" i="7"/>
  <c r="P148" i="33" s="1"/>
  <c r="P153" i="33" s="1"/>
  <c r="P155" i="33" s="1"/>
  <c r="P157" i="33" s="1"/>
  <c r="Q403" i="7"/>
  <c r="Q215" i="7"/>
  <c r="Q226" i="7" s="1"/>
  <c r="R215" i="7"/>
  <c r="R226" i="7" s="1"/>
  <c r="P94" i="7"/>
  <c r="P118" i="7" s="1"/>
  <c r="P142" i="7" s="1"/>
  <c r="P164" i="7"/>
  <c r="O148" i="33" s="1"/>
  <c r="O153" i="33" s="1"/>
  <c r="O155" i="33" s="1"/>
  <c r="O157" i="33" s="1"/>
  <c r="J164" i="7"/>
  <c r="I148" i="33" s="1"/>
  <c r="I153" i="33" s="1"/>
  <c r="I155" i="33" s="1"/>
  <c r="I157" i="33" s="1"/>
  <c r="R164" i="7"/>
  <c r="Q148" i="33" s="1"/>
  <c r="Q153" i="33" s="1"/>
  <c r="Q155" i="33" s="1"/>
  <c r="Q157" i="33" s="1"/>
  <c r="R94" i="7"/>
  <c r="R118" i="7" s="1"/>
  <c r="R142" i="7" s="1"/>
  <c r="Q295" i="7"/>
  <c r="Q348" i="7"/>
  <c r="P215" i="7"/>
  <c r="P226" i="7" s="1"/>
  <c r="P295" i="7"/>
  <c r="P348" i="7"/>
  <c r="P403" i="7"/>
  <c r="R295" i="7"/>
  <c r="J94" i="7"/>
  <c r="J118" i="7" s="1"/>
  <c r="J142" i="7" s="1"/>
  <c r="K295" i="7"/>
  <c r="K215" i="7"/>
  <c r="K226" i="7" s="1"/>
  <c r="J215" i="7"/>
  <c r="J226" i="7" s="1"/>
  <c r="J295" i="7"/>
  <c r="K94" i="7"/>
  <c r="K118" i="7" s="1"/>
  <c r="K142" i="7" s="1"/>
  <c r="J348" i="7"/>
  <c r="K348" i="7"/>
  <c r="K403" i="7"/>
  <c r="K164" i="7"/>
  <c r="J148" i="33" s="1"/>
  <c r="J153" i="33" s="1"/>
  <c r="J155" i="33" s="1"/>
  <c r="J157" i="33" s="1"/>
  <c r="J403" i="7"/>
  <c r="J64" i="7"/>
  <c r="J242" i="7"/>
  <c r="J123" i="7"/>
  <c r="J362" i="7"/>
  <c r="J182" i="7"/>
  <c r="F15" i="30" l="1"/>
  <c r="D15" i="30"/>
  <c r="D23" i="30"/>
  <c r="F23" i="30"/>
  <c r="D22" i="30"/>
  <c r="F22" i="30"/>
  <c r="D16" i="30"/>
  <c r="F16" i="30"/>
  <c r="R356" i="7"/>
  <c r="R380" i="7" s="1"/>
  <c r="R382" i="7" s="1"/>
  <c r="Q228" i="7"/>
  <c r="Q236" i="7" s="1"/>
  <c r="Q405" i="7" s="1"/>
  <c r="Q408" i="7" s="1"/>
  <c r="Q356" i="7"/>
  <c r="Q380" i="7" s="1"/>
  <c r="Q382" i="7" s="1"/>
  <c r="R228" i="7"/>
  <c r="R236" i="7" s="1"/>
  <c r="R405" i="7" s="1"/>
  <c r="R408" i="7" s="1"/>
  <c r="K356" i="7"/>
  <c r="K380" i="7" s="1"/>
  <c r="K382" i="7" s="1"/>
  <c r="P228" i="7"/>
  <c r="P236" i="7" s="1"/>
  <c r="P405" i="7" s="1"/>
  <c r="P408" i="7" s="1"/>
  <c r="J356" i="7"/>
  <c r="J380" i="7" s="1"/>
  <c r="J382" i="7" s="1"/>
  <c r="P356" i="7"/>
  <c r="P380" i="7" s="1"/>
  <c r="P382" i="7" s="1"/>
  <c r="K228" i="7"/>
  <c r="K236" i="7" s="1"/>
  <c r="K405" i="7" s="1"/>
  <c r="K408" i="7" s="1"/>
  <c r="J228" i="7"/>
  <c r="J236" i="7" l="1"/>
  <c r="J405" i="7" s="1"/>
  <c r="J408" i="7" s="1"/>
  <c r="Q159" i="20" l="1"/>
  <c r="Q158" i="20"/>
  <c r="I18" i="21" l="1"/>
  <c r="I19" i="21"/>
  <c r="I20" i="21"/>
  <c r="I28" i="21" l="1"/>
  <c r="E196" i="1" l="1"/>
  <c r="E197" i="1"/>
  <c r="E198" i="1"/>
  <c r="E199" i="1"/>
  <c r="E200" i="1"/>
  <c r="E201" i="1"/>
  <c r="E195" i="1"/>
  <c r="E192" i="1"/>
  <c r="E193" i="1"/>
  <c r="E184" i="1"/>
  <c r="E185" i="1"/>
  <c r="E186" i="1"/>
  <c r="E187" i="1"/>
  <c r="E188" i="1"/>
  <c r="E189" i="1"/>
  <c r="E190" i="1"/>
  <c r="C38" i="12" l="1"/>
  <c r="C39" i="12"/>
  <c r="B40" i="12"/>
  <c r="B39" i="12"/>
  <c r="B37" i="12"/>
  <c r="AH370" i="1"/>
  <c r="AG370" i="1"/>
  <c r="AF370" i="1"/>
  <c r="AE370" i="1"/>
  <c r="AD370" i="1"/>
  <c r="AC370" i="1"/>
  <c r="AB370" i="1"/>
  <c r="Y370" i="1"/>
  <c r="X370" i="1"/>
  <c r="V370" i="1"/>
  <c r="U370" i="1"/>
  <c r="S370" i="1"/>
  <c r="AH369" i="1"/>
  <c r="AG369" i="1"/>
  <c r="AF369" i="1"/>
  <c r="AE369" i="1"/>
  <c r="AD369" i="1"/>
  <c r="AC369" i="1"/>
  <c r="AB369" i="1"/>
  <c r="Z369" i="1"/>
  <c r="Y369" i="1"/>
  <c r="V369" i="1"/>
  <c r="U369" i="1"/>
  <c r="AH77" i="1"/>
  <c r="AG77" i="1"/>
  <c r="AF77" i="1"/>
  <c r="AE77" i="1"/>
  <c r="AD77" i="1"/>
  <c r="AC77" i="1"/>
  <c r="AB77" i="1"/>
  <c r="Y77" i="1"/>
  <c r="X77" i="1"/>
  <c r="V77" i="1"/>
  <c r="U77" i="1"/>
  <c r="S77" i="1"/>
  <c r="AH76" i="1"/>
  <c r="AG76" i="1"/>
  <c r="AF76" i="1"/>
  <c r="AE76" i="1"/>
  <c r="AD76" i="1"/>
  <c r="AC76" i="1"/>
  <c r="AB76" i="1"/>
  <c r="Z76" i="1"/>
  <c r="Y76" i="1"/>
  <c r="V76" i="1"/>
  <c r="U76" i="1"/>
  <c r="X11" i="20" l="1"/>
  <c r="A370" i="1" l="1"/>
  <c r="A76" i="1"/>
  <c r="A30" i="1"/>
  <c r="B2" i="23" l="1"/>
  <c r="B3" i="23"/>
  <c r="E56" i="23"/>
  <c r="F56" i="23"/>
  <c r="F59" i="23"/>
  <c r="F61" i="23" s="1"/>
  <c r="E61" i="23"/>
  <c r="E81" i="23"/>
  <c r="F81" i="23"/>
  <c r="A11" i="22"/>
  <c r="I3" i="21"/>
  <c r="E9" i="21"/>
  <c r="E81" i="21" s="1"/>
  <c r="F9" i="21"/>
  <c r="F81" i="21" s="1"/>
  <c r="G9" i="21"/>
  <c r="G81" i="21" s="1"/>
  <c r="H9" i="21"/>
  <c r="H81" i="21" s="1"/>
  <c r="I12" i="21"/>
  <c r="I21" i="21"/>
  <c r="I27" i="21"/>
  <c r="I75" i="21" s="1"/>
  <c r="D73" i="21"/>
  <c r="E73" i="21"/>
  <c r="E5" i="21" s="1"/>
  <c r="F73" i="21"/>
  <c r="F5" i="21" s="1"/>
  <c r="G73" i="21"/>
  <c r="G5" i="21" s="1"/>
  <c r="H73" i="21"/>
  <c r="H5" i="21" s="1"/>
  <c r="F75" i="21"/>
  <c r="G75" i="21"/>
  <c r="H75" i="21"/>
  <c r="D34" i="22"/>
  <c r="E77" i="21"/>
  <c r="E34" i="22" s="1"/>
  <c r="F77" i="21"/>
  <c r="F34" i="22" s="1"/>
  <c r="G77" i="21"/>
  <c r="G34" i="22" s="1"/>
  <c r="H77" i="21"/>
  <c r="H34" i="22" s="1"/>
  <c r="A4" i="18"/>
  <c r="E8" i="3"/>
  <c r="E10" i="18"/>
  <c r="F8" i="3" s="1"/>
  <c r="E11" i="18"/>
  <c r="G8" i="3" s="1"/>
  <c r="E12" i="18"/>
  <c r="H8" i="3" s="1"/>
  <c r="A4" i="17"/>
  <c r="F16" i="17"/>
  <c r="F17" i="17"/>
  <c r="G17" i="17" s="1"/>
  <c r="F19" i="17"/>
  <c r="G19" i="17" s="1"/>
  <c r="G23" i="17"/>
  <c r="H16" i="11"/>
  <c r="G5" i="7"/>
  <c r="AV5" i="7"/>
  <c r="AW5" i="7"/>
  <c r="AW182" i="7" s="1"/>
  <c r="AX5" i="7"/>
  <c r="AY5" i="7"/>
  <c r="AW12" i="7"/>
  <c r="AY12" i="7" s="1"/>
  <c r="AW14" i="7"/>
  <c r="AY14" i="7" s="1"/>
  <c r="AW15" i="7"/>
  <c r="AY15" i="7" s="1"/>
  <c r="AW16" i="7"/>
  <c r="AY16" i="7" s="1"/>
  <c r="AW17" i="7"/>
  <c r="AY17" i="7" s="1"/>
  <c r="AW18" i="7"/>
  <c r="AY18" i="7" s="1"/>
  <c r="AW19" i="7"/>
  <c r="AY19" i="7" s="1"/>
  <c r="AW20" i="7"/>
  <c r="AY20" i="7" s="1"/>
  <c r="AW21" i="7"/>
  <c r="AY21" i="7" s="1"/>
  <c r="AW22" i="7"/>
  <c r="AY22" i="7" s="1"/>
  <c r="AW23" i="7"/>
  <c r="AY23" i="7" s="1"/>
  <c r="AW24" i="7"/>
  <c r="AY24" i="7" s="1"/>
  <c r="AW25" i="7"/>
  <c r="AY25" i="7" s="1"/>
  <c r="AW26" i="7"/>
  <c r="AY26" i="7" s="1"/>
  <c r="AW27" i="7"/>
  <c r="AY27" i="7" s="1"/>
  <c r="F28" i="7"/>
  <c r="F32" i="7" s="1"/>
  <c r="G28" i="7"/>
  <c r="G32" i="7" s="1"/>
  <c r="H28" i="7"/>
  <c r="H32" i="7" s="1"/>
  <c r="I28" i="7"/>
  <c r="I32" i="7" s="1"/>
  <c r="L28" i="7"/>
  <c r="L32" i="7" s="1"/>
  <c r="M28" i="7"/>
  <c r="M32" i="7" s="1"/>
  <c r="N28" i="7"/>
  <c r="N32" i="7" s="1"/>
  <c r="O28" i="7"/>
  <c r="O32" i="7" s="1"/>
  <c r="U28" i="7"/>
  <c r="U32" i="7" s="1"/>
  <c r="AC28" i="7"/>
  <c r="AC32" i="7" s="1"/>
  <c r="AD28" i="7"/>
  <c r="AD32" i="7" s="1"/>
  <c r="AE28" i="7"/>
  <c r="AE32" i="7" s="1"/>
  <c r="AL28" i="7"/>
  <c r="AL32" i="7" s="1"/>
  <c r="AM32" i="7"/>
  <c r="AW30" i="7"/>
  <c r="AW31" i="7"/>
  <c r="AY31" i="7" s="1"/>
  <c r="AW35" i="7"/>
  <c r="AY35" i="7" s="1"/>
  <c r="E183" i="1" s="1"/>
  <c r="AW36" i="7"/>
  <c r="AW38" i="7"/>
  <c r="AW39" i="7"/>
  <c r="AW40" i="7"/>
  <c r="AW41" i="7"/>
  <c r="AW42" i="7"/>
  <c r="AW43" i="7"/>
  <c r="AY43" i="7" s="1"/>
  <c r="E191" i="1" s="1"/>
  <c r="AW44" i="7"/>
  <c r="AW45" i="7"/>
  <c r="AW47" i="7"/>
  <c r="AW48" i="7"/>
  <c r="AW49" i="7"/>
  <c r="AW50" i="7"/>
  <c r="AW51" i="7"/>
  <c r="AW52" i="7"/>
  <c r="AW53" i="7"/>
  <c r="AW54" i="7"/>
  <c r="AY54" i="7" s="1"/>
  <c r="G55" i="7"/>
  <c r="H55" i="7"/>
  <c r="I55" i="7"/>
  <c r="S55" i="7"/>
  <c r="L55" i="7"/>
  <c r="M55" i="7"/>
  <c r="N55" i="7"/>
  <c r="O55" i="7"/>
  <c r="U55" i="7"/>
  <c r="AC55" i="7"/>
  <c r="AD55" i="7"/>
  <c r="AE55" i="7"/>
  <c r="AL55" i="7"/>
  <c r="AM55" i="7"/>
  <c r="B60" i="7"/>
  <c r="I60" i="7"/>
  <c r="B61" i="7"/>
  <c r="O61" i="7"/>
  <c r="AE61" i="7"/>
  <c r="B62" i="7"/>
  <c r="F64" i="7"/>
  <c r="B65" i="7"/>
  <c r="C65" i="7"/>
  <c r="D65" i="7"/>
  <c r="E65" i="7"/>
  <c r="G65" i="7"/>
  <c r="H65" i="7"/>
  <c r="I65" i="7"/>
  <c r="S65" i="7"/>
  <c r="L65" i="7"/>
  <c r="M65" i="7"/>
  <c r="N65" i="7"/>
  <c r="O65" i="7"/>
  <c r="U65" i="7"/>
  <c r="AC65" i="7"/>
  <c r="AD65" i="7"/>
  <c r="AE65" i="7"/>
  <c r="AL65" i="7"/>
  <c r="AM65" i="7"/>
  <c r="AV65" i="7"/>
  <c r="AW65" i="7"/>
  <c r="AY65" i="7"/>
  <c r="B66" i="7"/>
  <c r="C66" i="7"/>
  <c r="E66" i="7"/>
  <c r="G66" i="7"/>
  <c r="H66" i="7"/>
  <c r="I66" i="7"/>
  <c r="S66" i="7"/>
  <c r="L66" i="7"/>
  <c r="M66" i="7"/>
  <c r="N66" i="7"/>
  <c r="O66" i="7"/>
  <c r="U66" i="7"/>
  <c r="AC66" i="7"/>
  <c r="AD66" i="7"/>
  <c r="AE66" i="7"/>
  <c r="AL66" i="7"/>
  <c r="AM66" i="7"/>
  <c r="AV66" i="7"/>
  <c r="AW66" i="7"/>
  <c r="AY66" i="7"/>
  <c r="B67" i="7"/>
  <c r="C67" i="7"/>
  <c r="D67" i="7"/>
  <c r="E67" i="7"/>
  <c r="G67" i="7"/>
  <c r="H67" i="7"/>
  <c r="I67" i="7"/>
  <c r="S67" i="7"/>
  <c r="L67" i="7"/>
  <c r="M67" i="7"/>
  <c r="N67" i="7"/>
  <c r="O67" i="7"/>
  <c r="U67" i="7"/>
  <c r="AC67" i="7"/>
  <c r="AD67" i="7"/>
  <c r="AE67" i="7"/>
  <c r="AL67" i="7"/>
  <c r="AM67" i="7"/>
  <c r="AV67" i="7"/>
  <c r="AW67" i="7"/>
  <c r="AY67" i="7"/>
  <c r="F81" i="7"/>
  <c r="G81" i="7"/>
  <c r="H81" i="7"/>
  <c r="I81" i="7"/>
  <c r="S81" i="7"/>
  <c r="L81" i="7"/>
  <c r="M81" i="7"/>
  <c r="N81" i="7"/>
  <c r="O81" i="7"/>
  <c r="U81" i="7"/>
  <c r="AD81" i="7"/>
  <c r="AM81" i="7"/>
  <c r="F92" i="7"/>
  <c r="G92" i="7"/>
  <c r="H92" i="7"/>
  <c r="I92" i="7"/>
  <c r="S92" i="7"/>
  <c r="L92" i="7"/>
  <c r="M92" i="7"/>
  <c r="N92" i="7"/>
  <c r="O92" i="7"/>
  <c r="U92" i="7"/>
  <c r="AD92" i="7"/>
  <c r="AM92" i="7"/>
  <c r="F102" i="7"/>
  <c r="G102" i="7"/>
  <c r="H102" i="7"/>
  <c r="I102" i="7"/>
  <c r="S102" i="7"/>
  <c r="L102" i="7"/>
  <c r="M102" i="7"/>
  <c r="N102" i="7"/>
  <c r="O102" i="7"/>
  <c r="U102" i="7"/>
  <c r="AD102" i="7"/>
  <c r="AL102" i="7"/>
  <c r="AM102" i="7"/>
  <c r="F109" i="7"/>
  <c r="G109" i="7"/>
  <c r="H109" i="7"/>
  <c r="I109" i="7"/>
  <c r="S109" i="7"/>
  <c r="L109" i="7"/>
  <c r="M109" i="7"/>
  <c r="N109" i="7"/>
  <c r="O109" i="7"/>
  <c r="U109" i="7"/>
  <c r="AD109" i="7"/>
  <c r="AL109" i="7"/>
  <c r="AM109" i="7"/>
  <c r="AW113" i="7"/>
  <c r="AY113" i="7" s="1"/>
  <c r="AW114" i="7"/>
  <c r="AW115" i="7"/>
  <c r="AY115" i="7" s="1"/>
  <c r="E250" i="1" s="1"/>
  <c r="F116" i="7"/>
  <c r="G116" i="7"/>
  <c r="H116" i="7"/>
  <c r="I116" i="7"/>
  <c r="S116" i="7"/>
  <c r="L116" i="7"/>
  <c r="M116" i="7"/>
  <c r="N116" i="7"/>
  <c r="O116" i="7"/>
  <c r="U116" i="7"/>
  <c r="AC116" i="7"/>
  <c r="AD116" i="7"/>
  <c r="AE116" i="7"/>
  <c r="AL116" i="7"/>
  <c r="AM116" i="7"/>
  <c r="B119" i="7"/>
  <c r="I119" i="7"/>
  <c r="B120" i="7"/>
  <c r="O120" i="7"/>
  <c r="AE120" i="7" s="1"/>
  <c r="B121" i="7"/>
  <c r="F123" i="7"/>
  <c r="B124" i="7"/>
  <c r="C124" i="7"/>
  <c r="D124" i="7"/>
  <c r="E124" i="7"/>
  <c r="G124" i="7"/>
  <c r="H124" i="7"/>
  <c r="I124" i="7"/>
  <c r="S124" i="7"/>
  <c r="L124" i="7"/>
  <c r="M124" i="7"/>
  <c r="N124" i="7"/>
  <c r="O124" i="7"/>
  <c r="U124" i="7"/>
  <c r="AC124" i="7"/>
  <c r="AD124" i="7"/>
  <c r="AE124" i="7"/>
  <c r="AL124" i="7"/>
  <c r="AM124" i="7"/>
  <c r="AV124" i="7"/>
  <c r="AW124" i="7"/>
  <c r="AY124" i="7"/>
  <c r="B125" i="7"/>
  <c r="C125" i="7"/>
  <c r="E125" i="7"/>
  <c r="G125" i="7"/>
  <c r="H125" i="7"/>
  <c r="I125" i="7"/>
  <c r="S125" i="7"/>
  <c r="L125" i="7"/>
  <c r="M125" i="7"/>
  <c r="N125" i="7"/>
  <c r="O125" i="7"/>
  <c r="U125" i="7"/>
  <c r="AC125" i="7"/>
  <c r="AD125" i="7"/>
  <c r="AE125" i="7"/>
  <c r="AL125" i="7"/>
  <c r="AM125" i="7"/>
  <c r="AV125" i="7"/>
  <c r="AW125" i="7"/>
  <c r="AY125" i="7"/>
  <c r="B126" i="7"/>
  <c r="C126" i="7"/>
  <c r="D126" i="7"/>
  <c r="E126" i="7"/>
  <c r="G126" i="7"/>
  <c r="H126" i="7"/>
  <c r="I126" i="7"/>
  <c r="S126" i="7"/>
  <c r="L126" i="7"/>
  <c r="M126" i="7"/>
  <c r="N126" i="7"/>
  <c r="O126" i="7"/>
  <c r="U126" i="7"/>
  <c r="AC126" i="7"/>
  <c r="AD126" i="7"/>
  <c r="AE126" i="7"/>
  <c r="AL126" i="7"/>
  <c r="AM126" i="7"/>
  <c r="AV126" i="7"/>
  <c r="AW126" i="7"/>
  <c r="AY126" i="7"/>
  <c r="AW129" i="7"/>
  <c r="AY129" i="7" s="1"/>
  <c r="AW130" i="7"/>
  <c r="AY130" i="7" s="1"/>
  <c r="E273" i="1" s="1"/>
  <c r="AW131" i="7"/>
  <c r="AY131" i="7" s="1"/>
  <c r="E280" i="1" s="1"/>
  <c r="AW132" i="7"/>
  <c r="AY132" i="7" s="1"/>
  <c r="E289" i="1" s="1"/>
  <c r="AW133" i="7"/>
  <c r="AY133" i="7" s="1"/>
  <c r="E294" i="1" s="1"/>
  <c r="AW134" i="7"/>
  <c r="AY134" i="7" s="1"/>
  <c r="E306" i="1" s="1"/>
  <c r="AW135" i="7"/>
  <c r="AY135" i="7" s="1"/>
  <c r="E310" i="1" s="1"/>
  <c r="AW137" i="7"/>
  <c r="AW138" i="7"/>
  <c r="AY138" i="7" s="1"/>
  <c r="E329" i="1" s="1"/>
  <c r="AW139" i="7"/>
  <c r="AY139" i="7" s="1"/>
  <c r="E336" i="1" s="1"/>
  <c r="F140" i="7"/>
  <c r="G140" i="7"/>
  <c r="H140" i="7"/>
  <c r="I140" i="7"/>
  <c r="S140" i="7"/>
  <c r="L140" i="7"/>
  <c r="M140" i="7"/>
  <c r="N140" i="7"/>
  <c r="O140" i="7"/>
  <c r="U140" i="7"/>
  <c r="AC140" i="7"/>
  <c r="AD140" i="7"/>
  <c r="AE140" i="7"/>
  <c r="AL140" i="7"/>
  <c r="AM140" i="7"/>
  <c r="AW146" i="7"/>
  <c r="AW149" i="7"/>
  <c r="AY149" i="7" s="1"/>
  <c r="F150" i="7"/>
  <c r="F164" i="7" s="1"/>
  <c r="G150" i="7"/>
  <c r="H150" i="7"/>
  <c r="I150" i="7"/>
  <c r="S150" i="7"/>
  <c r="L150" i="7"/>
  <c r="L164" i="7" s="1"/>
  <c r="K148" i="33" s="1"/>
  <c r="K153" i="33" s="1"/>
  <c r="K155" i="33" s="1"/>
  <c r="K157" i="33" s="1"/>
  <c r="M150" i="7"/>
  <c r="N150" i="7"/>
  <c r="O150" i="7"/>
  <c r="U150" i="7"/>
  <c r="AC150" i="7"/>
  <c r="AD150" i="7"/>
  <c r="AE150" i="7"/>
  <c r="AL150" i="7"/>
  <c r="AM150" i="7"/>
  <c r="AW157" i="7"/>
  <c r="AY157" i="7" s="1"/>
  <c r="AW158" i="7"/>
  <c r="AY158" i="7" s="1"/>
  <c r="G159" i="7"/>
  <c r="H159" i="7"/>
  <c r="I159" i="7"/>
  <c r="S159" i="7"/>
  <c r="M159" i="7"/>
  <c r="N159" i="7"/>
  <c r="O159" i="7"/>
  <c r="U159" i="7"/>
  <c r="AC159" i="7"/>
  <c r="AD159" i="7"/>
  <c r="AE159" i="7"/>
  <c r="AL159" i="7"/>
  <c r="AM159" i="7"/>
  <c r="G176" i="7"/>
  <c r="H176" i="7"/>
  <c r="I176" i="7"/>
  <c r="S176" i="7"/>
  <c r="L176" i="7"/>
  <c r="M176" i="7"/>
  <c r="N176" i="7"/>
  <c r="O176" i="7"/>
  <c r="U176" i="7"/>
  <c r="AC176" i="7"/>
  <c r="AD176" i="7"/>
  <c r="AE176" i="7"/>
  <c r="AL176" i="7"/>
  <c r="AM176" i="7"/>
  <c r="B178" i="7"/>
  <c r="I178" i="7"/>
  <c r="B179" i="7"/>
  <c r="O179" i="7"/>
  <c r="AE179" i="7"/>
  <c r="B180" i="7"/>
  <c r="F182" i="7"/>
  <c r="B183" i="7"/>
  <c r="C183" i="7"/>
  <c r="D183" i="7"/>
  <c r="E183" i="7"/>
  <c r="G183" i="7"/>
  <c r="H183" i="7"/>
  <c r="I183" i="7"/>
  <c r="S183" i="7"/>
  <c r="L183" i="7"/>
  <c r="M183" i="7"/>
  <c r="N183" i="7"/>
  <c r="O183" i="7"/>
  <c r="U183" i="7"/>
  <c r="AC183" i="7"/>
  <c r="AD183" i="7"/>
  <c r="AE183" i="7"/>
  <c r="AL183" i="7"/>
  <c r="AM183" i="7"/>
  <c r="AV183" i="7"/>
  <c r="AW183" i="7"/>
  <c r="AY183" i="7"/>
  <c r="B184" i="7"/>
  <c r="C184" i="7"/>
  <c r="E184" i="7"/>
  <c r="G184" i="7"/>
  <c r="H184" i="7"/>
  <c r="I184" i="7"/>
  <c r="S184" i="7"/>
  <c r="L184" i="7"/>
  <c r="M184" i="7"/>
  <c r="N184" i="7"/>
  <c r="O184" i="7"/>
  <c r="U184" i="7"/>
  <c r="AC184" i="7"/>
  <c r="AD184" i="7"/>
  <c r="AE184" i="7"/>
  <c r="AL184" i="7"/>
  <c r="AM184" i="7"/>
  <c r="AV184" i="7"/>
  <c r="AW184" i="7"/>
  <c r="AY184" i="7"/>
  <c r="B185" i="7"/>
  <c r="C185" i="7"/>
  <c r="D185" i="7"/>
  <c r="E185" i="7"/>
  <c r="G185" i="7"/>
  <c r="H185" i="7"/>
  <c r="I185" i="7"/>
  <c r="S185" i="7"/>
  <c r="L185" i="7"/>
  <c r="M185" i="7"/>
  <c r="N185" i="7"/>
  <c r="O185" i="7"/>
  <c r="U185" i="7"/>
  <c r="AC185" i="7"/>
  <c r="AD185" i="7"/>
  <c r="AE185" i="7"/>
  <c r="AL185" i="7"/>
  <c r="AM185" i="7"/>
  <c r="AV185" i="7"/>
  <c r="AW185" i="7"/>
  <c r="AY185" i="7"/>
  <c r="G200" i="7"/>
  <c r="H200" i="7"/>
  <c r="I200" i="7"/>
  <c r="S200" i="7"/>
  <c r="L200" i="7"/>
  <c r="M200" i="7"/>
  <c r="N200" i="7"/>
  <c r="O200" i="7"/>
  <c r="U200" i="7"/>
  <c r="AC200" i="7"/>
  <c r="AD200" i="7"/>
  <c r="AE200" i="7"/>
  <c r="F213" i="7"/>
  <c r="G213" i="7"/>
  <c r="H213" i="7"/>
  <c r="I213" i="7"/>
  <c r="S213" i="7"/>
  <c r="L213" i="7"/>
  <c r="M213" i="7"/>
  <c r="N213" i="7"/>
  <c r="O213" i="7"/>
  <c r="U213" i="7"/>
  <c r="AC213" i="7"/>
  <c r="AD213" i="7"/>
  <c r="AE213" i="7"/>
  <c r="AW218" i="7"/>
  <c r="AY218" i="7" s="1"/>
  <c r="AW219" i="7"/>
  <c r="E401" i="1"/>
  <c r="AW221" i="7"/>
  <c r="AY221" i="7" s="1"/>
  <c r="AW222" i="7"/>
  <c r="AY222" i="7" s="1"/>
  <c r="AW223" i="7"/>
  <c r="AY223" i="7" s="1"/>
  <c r="G224" i="7"/>
  <c r="H224" i="7"/>
  <c r="I224" i="7"/>
  <c r="S224" i="7"/>
  <c r="L224" i="7"/>
  <c r="M224" i="7"/>
  <c r="N224" i="7"/>
  <c r="O224" i="7"/>
  <c r="U224" i="7"/>
  <c r="AC224" i="7"/>
  <c r="AD224" i="7"/>
  <c r="AE224" i="7"/>
  <c r="AL224" i="7"/>
  <c r="AM224" i="7"/>
  <c r="AW230" i="7"/>
  <c r="AW231" i="7"/>
  <c r="AY231" i="7" s="1"/>
  <c r="AW232" i="7"/>
  <c r="AY232" i="7" s="1"/>
  <c r="AW233" i="7"/>
  <c r="AY233" i="7" s="1"/>
  <c r="E415" i="1" s="1"/>
  <c r="AW234" i="7"/>
  <c r="AY234" i="7" s="1"/>
  <c r="E416" i="1" s="1"/>
  <c r="B238" i="7"/>
  <c r="I238" i="7"/>
  <c r="B239" i="7"/>
  <c r="O239" i="7"/>
  <c r="AE239" i="7"/>
  <c r="B240" i="7"/>
  <c r="F242" i="7"/>
  <c r="B243" i="7"/>
  <c r="C243" i="7"/>
  <c r="D243" i="7"/>
  <c r="E243" i="7"/>
  <c r="G243" i="7"/>
  <c r="H243" i="7"/>
  <c r="I243" i="7"/>
  <c r="S243" i="7"/>
  <c r="L243" i="7"/>
  <c r="M243" i="7"/>
  <c r="N243" i="7"/>
  <c r="O243" i="7"/>
  <c r="U243" i="7"/>
  <c r="AC243" i="7"/>
  <c r="AD243" i="7"/>
  <c r="AE243" i="7"/>
  <c r="AL243" i="7"/>
  <c r="AM243" i="7"/>
  <c r="AV243" i="7"/>
  <c r="AW243" i="7"/>
  <c r="AY243" i="7"/>
  <c r="B244" i="7"/>
  <c r="C244" i="7"/>
  <c r="E244" i="7"/>
  <c r="G244" i="7"/>
  <c r="H244" i="7"/>
  <c r="I244" i="7"/>
  <c r="S244" i="7"/>
  <c r="L244" i="7"/>
  <c r="M244" i="7"/>
  <c r="N244" i="7"/>
  <c r="O244" i="7"/>
  <c r="U244" i="7"/>
  <c r="AC244" i="7"/>
  <c r="AD244" i="7"/>
  <c r="AE244" i="7"/>
  <c r="AL244" i="7"/>
  <c r="AM244" i="7"/>
  <c r="AV244" i="7"/>
  <c r="AW244" i="7"/>
  <c r="AY244" i="7"/>
  <c r="B245" i="7"/>
  <c r="C245" i="7"/>
  <c r="D245" i="7"/>
  <c r="E245" i="7"/>
  <c r="G245" i="7"/>
  <c r="H245" i="7"/>
  <c r="I245" i="7"/>
  <c r="S245" i="7"/>
  <c r="L245" i="7"/>
  <c r="M245" i="7"/>
  <c r="N245" i="7"/>
  <c r="O245" i="7"/>
  <c r="U245" i="7"/>
  <c r="AC245" i="7"/>
  <c r="AD245" i="7"/>
  <c r="AE245" i="7"/>
  <c r="AL245" i="7"/>
  <c r="AM245" i="7"/>
  <c r="AV245" i="7"/>
  <c r="AW245" i="7"/>
  <c r="AY245" i="7"/>
  <c r="AW250" i="7"/>
  <c r="AY250" i="7" s="1"/>
  <c r="E10" i="1" s="1"/>
  <c r="F264" i="7"/>
  <c r="G264" i="7"/>
  <c r="H264" i="7"/>
  <c r="I264" i="7"/>
  <c r="S264" i="7"/>
  <c r="L264" i="7"/>
  <c r="M264" i="7"/>
  <c r="N264" i="7"/>
  <c r="O264" i="7"/>
  <c r="U264" i="7"/>
  <c r="AC264" i="7"/>
  <c r="AD264" i="7"/>
  <c r="AE264" i="7"/>
  <c r="AL264" i="7"/>
  <c r="G280" i="7"/>
  <c r="H280" i="7"/>
  <c r="I280" i="7"/>
  <c r="S280" i="7"/>
  <c r="L280" i="7"/>
  <c r="M280" i="7"/>
  <c r="N280" i="7"/>
  <c r="O280" i="7"/>
  <c r="U280" i="7"/>
  <c r="AC280" i="7"/>
  <c r="AD280" i="7"/>
  <c r="AE280" i="7"/>
  <c r="AL280" i="7"/>
  <c r="G293" i="7"/>
  <c r="H293" i="7"/>
  <c r="I293" i="7"/>
  <c r="S293" i="7"/>
  <c r="L293" i="7"/>
  <c r="M293" i="7"/>
  <c r="N293" i="7"/>
  <c r="O293" i="7"/>
  <c r="U293" i="7"/>
  <c r="AC293" i="7"/>
  <c r="AD293" i="7"/>
  <c r="AE293" i="7"/>
  <c r="AL293" i="7"/>
  <c r="B298" i="7"/>
  <c r="I298" i="7"/>
  <c r="B299" i="7"/>
  <c r="O299" i="7"/>
  <c r="AE299" i="7"/>
  <c r="B300" i="7"/>
  <c r="F302" i="7"/>
  <c r="B303" i="7"/>
  <c r="C303" i="7"/>
  <c r="D303" i="7"/>
  <c r="E303" i="7"/>
  <c r="G303" i="7"/>
  <c r="H303" i="7"/>
  <c r="I303" i="7"/>
  <c r="S303" i="7"/>
  <c r="L303" i="7"/>
  <c r="M303" i="7"/>
  <c r="N303" i="7"/>
  <c r="O303" i="7"/>
  <c r="U303" i="7"/>
  <c r="AC303" i="7"/>
  <c r="AD303" i="7"/>
  <c r="AE303" i="7"/>
  <c r="AL303" i="7"/>
  <c r="AM303" i="7"/>
  <c r="AV303" i="7"/>
  <c r="AW303" i="7"/>
  <c r="AY303" i="7"/>
  <c r="B304" i="7"/>
  <c r="C304" i="7"/>
  <c r="E304" i="7"/>
  <c r="G304" i="7"/>
  <c r="H304" i="7"/>
  <c r="I304" i="7"/>
  <c r="S304" i="7"/>
  <c r="L304" i="7"/>
  <c r="M304" i="7"/>
  <c r="N304" i="7"/>
  <c r="O304" i="7"/>
  <c r="U304" i="7"/>
  <c r="AC304" i="7"/>
  <c r="AD304" i="7"/>
  <c r="AE304" i="7"/>
  <c r="AL304" i="7"/>
  <c r="AM304" i="7"/>
  <c r="AV304" i="7"/>
  <c r="AW304" i="7"/>
  <c r="AY304" i="7"/>
  <c r="B305" i="7"/>
  <c r="C305" i="7"/>
  <c r="D305" i="7"/>
  <c r="E305" i="7"/>
  <c r="G305" i="7"/>
  <c r="H305" i="7"/>
  <c r="I305" i="7"/>
  <c r="S305" i="7"/>
  <c r="L305" i="7"/>
  <c r="M305" i="7"/>
  <c r="N305" i="7"/>
  <c r="O305" i="7"/>
  <c r="U305" i="7"/>
  <c r="AC305" i="7"/>
  <c r="AD305" i="7"/>
  <c r="AE305" i="7"/>
  <c r="AL305" i="7"/>
  <c r="AM305" i="7"/>
  <c r="AV305" i="7"/>
  <c r="AW305" i="7"/>
  <c r="AY305" i="7"/>
  <c r="F317" i="7"/>
  <c r="G317" i="7"/>
  <c r="H317" i="7"/>
  <c r="I317" i="7"/>
  <c r="S317" i="7"/>
  <c r="L317" i="7"/>
  <c r="M317" i="7"/>
  <c r="N317" i="7"/>
  <c r="O317" i="7"/>
  <c r="U317" i="7"/>
  <c r="AC317" i="7"/>
  <c r="AD317" i="7"/>
  <c r="AE317" i="7"/>
  <c r="AL317" i="7"/>
  <c r="H333" i="7"/>
  <c r="I333" i="7"/>
  <c r="S333" i="7"/>
  <c r="L333" i="7"/>
  <c r="M333" i="7"/>
  <c r="N333" i="7"/>
  <c r="O333" i="7"/>
  <c r="U333" i="7"/>
  <c r="AC333" i="7"/>
  <c r="AD333" i="7"/>
  <c r="AE333" i="7"/>
  <c r="AL333" i="7"/>
  <c r="G346" i="7"/>
  <c r="H346" i="7"/>
  <c r="I346" i="7"/>
  <c r="S346" i="7"/>
  <c r="L346" i="7"/>
  <c r="M346" i="7"/>
  <c r="N346" i="7"/>
  <c r="O346" i="7"/>
  <c r="U346" i="7"/>
  <c r="AC346" i="7"/>
  <c r="AD346" i="7"/>
  <c r="AE346" i="7"/>
  <c r="AL346" i="7"/>
  <c r="AW353" i="7"/>
  <c r="H354" i="7"/>
  <c r="I354" i="7"/>
  <c r="S354" i="7"/>
  <c r="L354" i="7"/>
  <c r="M354" i="7"/>
  <c r="N354" i="7"/>
  <c r="O354" i="7"/>
  <c r="U354" i="7"/>
  <c r="AC354" i="7"/>
  <c r="AD354" i="7"/>
  <c r="AE354" i="7"/>
  <c r="AL354" i="7"/>
  <c r="AM354" i="7"/>
  <c r="B358" i="7"/>
  <c r="B359" i="7"/>
  <c r="O359" i="7"/>
  <c r="AE359" i="7"/>
  <c r="B360" i="7"/>
  <c r="F362" i="7"/>
  <c r="B363" i="7"/>
  <c r="C363" i="7"/>
  <c r="D363" i="7"/>
  <c r="E363" i="7"/>
  <c r="G363" i="7"/>
  <c r="H363" i="7"/>
  <c r="I363" i="7"/>
  <c r="S363" i="7"/>
  <c r="L363" i="7"/>
  <c r="M363" i="7"/>
  <c r="N363" i="7"/>
  <c r="O363" i="7"/>
  <c r="U363" i="7"/>
  <c r="AC363" i="7"/>
  <c r="AD363" i="7"/>
  <c r="AE363" i="7"/>
  <c r="AL363" i="7"/>
  <c r="AM363" i="7"/>
  <c r="AV363" i="7"/>
  <c r="AW363" i="7"/>
  <c r="AY363" i="7"/>
  <c r="B364" i="7"/>
  <c r="C364" i="7"/>
  <c r="E364" i="7"/>
  <c r="G364" i="7"/>
  <c r="H364" i="7"/>
  <c r="I364" i="7"/>
  <c r="S364" i="7"/>
  <c r="L364" i="7"/>
  <c r="M364" i="7"/>
  <c r="N364" i="7"/>
  <c r="O364" i="7"/>
  <c r="U364" i="7"/>
  <c r="AC364" i="7"/>
  <c r="AD364" i="7"/>
  <c r="AE364" i="7"/>
  <c r="AL364" i="7"/>
  <c r="AM364" i="7"/>
  <c r="AV364" i="7"/>
  <c r="AW364" i="7"/>
  <c r="AY364" i="7"/>
  <c r="B365" i="7"/>
  <c r="C365" i="7"/>
  <c r="D365" i="7"/>
  <c r="E365" i="7"/>
  <c r="G365" i="7"/>
  <c r="H365" i="7"/>
  <c r="I365" i="7"/>
  <c r="S365" i="7"/>
  <c r="L365" i="7"/>
  <c r="M365" i="7"/>
  <c r="N365" i="7"/>
  <c r="O365" i="7"/>
  <c r="U365" i="7"/>
  <c r="AC365" i="7"/>
  <c r="AD365" i="7"/>
  <c r="AE365" i="7"/>
  <c r="AL365" i="7"/>
  <c r="AM365" i="7"/>
  <c r="AV365" i="7"/>
  <c r="AW365" i="7"/>
  <c r="AY365" i="7"/>
  <c r="AW370" i="7"/>
  <c r="AY370" i="7" s="1"/>
  <c r="AW371" i="7"/>
  <c r="AY371" i="7" s="1"/>
  <c r="AW372" i="7"/>
  <c r="AY372" i="7" s="1"/>
  <c r="E124" i="1"/>
  <c r="AW374" i="7"/>
  <c r="AY374" i="7" s="1"/>
  <c r="E125" i="1"/>
  <c r="G378" i="7"/>
  <c r="H378" i="7"/>
  <c r="I378" i="7"/>
  <c r="S378" i="7"/>
  <c r="L378" i="7"/>
  <c r="M378" i="7"/>
  <c r="N378" i="7"/>
  <c r="O378" i="7"/>
  <c r="U378" i="7"/>
  <c r="AC378" i="7"/>
  <c r="AD378" i="7"/>
  <c r="AE378" i="7"/>
  <c r="AL378" i="7"/>
  <c r="AM378" i="7"/>
  <c r="AW384" i="7"/>
  <c r="AY384" i="7" s="1"/>
  <c r="AW388" i="7"/>
  <c r="AY388" i="7" s="1"/>
  <c r="AW389" i="7"/>
  <c r="AW390" i="7"/>
  <c r="H392" i="7"/>
  <c r="I392" i="7"/>
  <c r="S392" i="7"/>
  <c r="L392" i="7"/>
  <c r="M392" i="7"/>
  <c r="N392" i="7"/>
  <c r="O392" i="7"/>
  <c r="U392" i="7"/>
  <c r="AC392" i="7"/>
  <c r="AD392" i="7"/>
  <c r="AE392" i="7"/>
  <c r="AL392" i="7"/>
  <c r="AM392" i="7"/>
  <c r="E426" i="1"/>
  <c r="F17" i="30" l="1"/>
  <c r="D17" i="30"/>
  <c r="AY378" i="7"/>
  <c r="I81" i="21"/>
  <c r="AY392" i="7"/>
  <c r="E402" i="1"/>
  <c r="E128" i="1"/>
  <c r="AS132" i="33"/>
  <c r="AR133" i="33"/>
  <c r="AS133" i="33"/>
  <c r="AR134" i="33"/>
  <c r="AS135" i="33"/>
  <c r="AR136" i="33"/>
  <c r="AR131" i="33"/>
  <c r="AS134" i="33"/>
  <c r="AR135" i="33"/>
  <c r="AS136" i="33"/>
  <c r="AR129" i="33"/>
  <c r="AR137" i="33"/>
  <c r="AS129" i="33"/>
  <c r="AS137" i="33"/>
  <c r="AR128" i="33"/>
  <c r="AS128" i="33"/>
  <c r="AR132" i="33"/>
  <c r="AS131" i="33"/>
  <c r="AS130" i="33"/>
  <c r="AR130" i="33"/>
  <c r="AE74" i="33"/>
  <c r="AE75" i="33"/>
  <c r="AE71" i="33"/>
  <c r="AE72" i="33"/>
  <c r="AC75" i="33"/>
  <c r="AC73" i="33"/>
  <c r="AC71" i="33"/>
  <c r="AC72" i="33"/>
  <c r="AC74" i="33"/>
  <c r="AS200" i="33"/>
  <c r="AR200" i="33"/>
  <c r="AS202" i="33"/>
  <c r="AR202" i="33"/>
  <c r="AR199" i="33"/>
  <c r="AS203" i="33"/>
  <c r="AR203" i="33"/>
  <c r="AS204" i="33"/>
  <c r="AR204" i="33"/>
  <c r="AS205" i="33"/>
  <c r="AR205" i="33"/>
  <c r="AS206" i="33"/>
  <c r="AR206" i="33"/>
  <c r="AS199" i="33"/>
  <c r="AS201" i="33"/>
  <c r="AR201" i="33"/>
  <c r="W205" i="33"/>
  <c r="W200" i="33"/>
  <c r="W206" i="33"/>
  <c r="W199" i="33"/>
  <c r="W201" i="33"/>
  <c r="W202" i="33"/>
  <c r="W204" i="33"/>
  <c r="AE64" i="33"/>
  <c r="AE49" i="33"/>
  <c r="AE66" i="33"/>
  <c r="AE52" i="33"/>
  <c r="AE65" i="33"/>
  <c r="AE50" i="33"/>
  <c r="AE67" i="33"/>
  <c r="AE53" i="33"/>
  <c r="AE68" i="33"/>
  <c r="AE54" i="33"/>
  <c r="AE48" i="33"/>
  <c r="AE62" i="33"/>
  <c r="AE57" i="33"/>
  <c r="AE55" i="33"/>
  <c r="AE56" i="33"/>
  <c r="AE61" i="33"/>
  <c r="AE58" i="33"/>
  <c r="AE63" i="33"/>
  <c r="AE60" i="33"/>
  <c r="AC68" i="33"/>
  <c r="AC56" i="33"/>
  <c r="AC63" i="33"/>
  <c r="AC64" i="33"/>
  <c r="AC67" i="33"/>
  <c r="AC61" i="33"/>
  <c r="AC60" i="33"/>
  <c r="AC57" i="33"/>
  <c r="AC62" i="33"/>
  <c r="AC58" i="33"/>
  <c r="AC49" i="33"/>
  <c r="AC48" i="33"/>
  <c r="AC52" i="33"/>
  <c r="AC54" i="33"/>
  <c r="AC50" i="33"/>
  <c r="AC53" i="33"/>
  <c r="AC65" i="33"/>
  <c r="AC66" i="33"/>
  <c r="AC55" i="33"/>
  <c r="AE51" i="33"/>
  <c r="AC51" i="33"/>
  <c r="AE79" i="33"/>
  <c r="AE80" i="33"/>
  <c r="AE78" i="33"/>
  <c r="AC79" i="33"/>
  <c r="AC80" i="33"/>
  <c r="AC78" i="33"/>
  <c r="AS164" i="33"/>
  <c r="AR167" i="33"/>
  <c r="AR168" i="33"/>
  <c r="AS170" i="33"/>
  <c r="AS166" i="33"/>
  <c r="AR169" i="33"/>
  <c r="AS167" i="33"/>
  <c r="AR170" i="33"/>
  <c r="AS168" i="33"/>
  <c r="AR163" i="33"/>
  <c r="AS169" i="33"/>
  <c r="AR164" i="33"/>
  <c r="AS163" i="33"/>
  <c r="AR166" i="33"/>
  <c r="W168" i="33"/>
  <c r="W169" i="33"/>
  <c r="W170" i="33"/>
  <c r="W163" i="33"/>
  <c r="W164" i="33"/>
  <c r="W166" i="33"/>
  <c r="W167" i="33"/>
  <c r="AS165" i="33"/>
  <c r="W165" i="33"/>
  <c r="AR165" i="33"/>
  <c r="D5" i="21"/>
  <c r="I73" i="21"/>
  <c r="E2" i="21"/>
  <c r="F94" i="7"/>
  <c r="AX412" i="7"/>
  <c r="AT74" i="33"/>
  <c r="AU74" i="33" s="1"/>
  <c r="AV74" i="33" s="1"/>
  <c r="AX74" i="33" s="1"/>
  <c r="AY353" i="7"/>
  <c r="AY354" i="7" s="1"/>
  <c r="AW354" i="7"/>
  <c r="AX354" i="7" s="1"/>
  <c r="AX242" i="7"/>
  <c r="AX302" i="7"/>
  <c r="AX123" i="7"/>
  <c r="AX64" i="7"/>
  <c r="AX182" i="7"/>
  <c r="AX362" i="7"/>
  <c r="E266" i="1"/>
  <c r="AY137" i="7"/>
  <c r="E322" i="1" s="1"/>
  <c r="AW140" i="7"/>
  <c r="H5" i="7"/>
  <c r="G3" i="33" s="1"/>
  <c r="F3" i="33"/>
  <c r="B12" i="30" s="1"/>
  <c r="E403" i="1"/>
  <c r="E247" i="1"/>
  <c r="AY55" i="7"/>
  <c r="BA55" i="7" s="1"/>
  <c r="G56" i="23"/>
  <c r="E413" i="1"/>
  <c r="AV284" i="7"/>
  <c r="AV288" i="7"/>
  <c r="AV292" i="7"/>
  <c r="AV285" i="7"/>
  <c r="AV289" i="7"/>
  <c r="AV283" i="7"/>
  <c r="AV286" i="7"/>
  <c r="AV290" i="7"/>
  <c r="AV287" i="7"/>
  <c r="AV291" i="7"/>
  <c r="E194" i="1"/>
  <c r="E109" i="1"/>
  <c r="E347" i="1"/>
  <c r="AY150" i="7"/>
  <c r="AW173" i="7"/>
  <c r="E357" i="1"/>
  <c r="AW174" i="7"/>
  <c r="AY174" i="7" s="1"/>
  <c r="E362" i="1" s="1"/>
  <c r="AW170" i="7"/>
  <c r="AY170" i="7" s="1"/>
  <c r="E358" i="1" s="1"/>
  <c r="AW171" i="7"/>
  <c r="AY171" i="7" s="1"/>
  <c r="E359" i="1" s="1"/>
  <c r="AW175" i="7"/>
  <c r="AY175" i="7" s="1"/>
  <c r="E363" i="1" s="1"/>
  <c r="AW172" i="7"/>
  <c r="AY30" i="7"/>
  <c r="E178" i="1" s="1"/>
  <c r="AY114" i="7"/>
  <c r="E249" i="1" s="1"/>
  <c r="G16" i="17"/>
  <c r="F20" i="17"/>
  <c r="AD362" i="7"/>
  <c r="AC302" i="7"/>
  <c r="AD123" i="7"/>
  <c r="AM164" i="7"/>
  <c r="AC164" i="7"/>
  <c r="AC148" i="33" s="1"/>
  <c r="AC153" i="33" s="1"/>
  <c r="O164" i="7"/>
  <c r="N148" i="33" s="1"/>
  <c r="N153" i="33" s="1"/>
  <c r="N155" i="33" s="1"/>
  <c r="N157" i="33" s="1"/>
  <c r="U164" i="7"/>
  <c r="T148" i="33" s="1"/>
  <c r="T153" i="33" s="1"/>
  <c r="T155" i="33" s="1"/>
  <c r="T157" i="33" s="1"/>
  <c r="G164" i="7"/>
  <c r="F148" i="33" s="1"/>
  <c r="G64" i="7"/>
  <c r="AC242" i="7"/>
  <c r="AC182" i="7"/>
  <c r="M403" i="7"/>
  <c r="E270" i="7"/>
  <c r="F270" i="7" s="1"/>
  <c r="E414" i="1"/>
  <c r="H302" i="7"/>
  <c r="H242" i="7"/>
  <c r="AM94" i="7"/>
  <c r="AM118" i="7" s="1"/>
  <c r="AM142" i="7" s="1"/>
  <c r="G295" i="7"/>
  <c r="G182" i="7"/>
  <c r="H13" i="21"/>
  <c r="F13" i="21"/>
  <c r="AC362" i="7"/>
  <c r="H362" i="7"/>
  <c r="G302" i="7"/>
  <c r="G242" i="7"/>
  <c r="I9" i="21"/>
  <c r="AC123" i="7"/>
  <c r="G362" i="7"/>
  <c r="AD302" i="7"/>
  <c r="AD242" i="7"/>
  <c r="G123" i="7"/>
  <c r="AC64" i="7"/>
  <c r="E399" i="1"/>
  <c r="E179" i="1"/>
  <c r="O215" i="7"/>
  <c r="O226" i="7" s="1"/>
  <c r="AY136" i="7"/>
  <c r="E9" i="16"/>
  <c r="E19" i="16" s="1"/>
  <c r="E13" i="18"/>
  <c r="O94" i="7"/>
  <c r="O118" i="7" s="1"/>
  <c r="O142" i="7" s="1"/>
  <c r="G94" i="7"/>
  <c r="G118" i="7" s="1"/>
  <c r="G142" i="7" s="1"/>
  <c r="AL295" i="7"/>
  <c r="E319" i="1"/>
  <c r="L18" i="11"/>
  <c r="J47" i="3" s="1"/>
  <c r="D18" i="11"/>
  <c r="F18" i="11"/>
  <c r="G348" i="7"/>
  <c r="H403" i="7"/>
  <c r="H215" i="7"/>
  <c r="H226" i="7" s="1"/>
  <c r="O295" i="7"/>
  <c r="L295" i="7"/>
  <c r="AC295" i="7"/>
  <c r="AW302" i="7"/>
  <c r="AD215" i="7"/>
  <c r="AD226" i="7" s="1"/>
  <c r="U215" i="7"/>
  <c r="U226" i="7" s="1"/>
  <c r="L215" i="7"/>
  <c r="L226" i="7" s="1"/>
  <c r="AV159" i="7"/>
  <c r="AE182" i="7"/>
  <c r="AE242" i="7"/>
  <c r="BA149" i="7"/>
  <c r="E349" i="1"/>
  <c r="AE403" i="7"/>
  <c r="U295" i="7"/>
  <c r="N94" i="7"/>
  <c r="N118" i="7" s="1"/>
  <c r="N142" i="7" s="1"/>
  <c r="AC215" i="7"/>
  <c r="AC226" i="7" s="1"/>
  <c r="G215" i="7"/>
  <c r="G226" i="7" s="1"/>
  <c r="AE348" i="7"/>
  <c r="M348" i="7"/>
  <c r="I348" i="7"/>
  <c r="AV116" i="7"/>
  <c r="M94" i="7"/>
  <c r="M118" i="7" s="1"/>
  <c r="M142" i="7" s="1"/>
  <c r="I94" i="7"/>
  <c r="I118" i="7" s="1"/>
  <c r="I142" i="7" s="1"/>
  <c r="E107" i="1"/>
  <c r="E122" i="1"/>
  <c r="BA372" i="7"/>
  <c r="E123" i="1"/>
  <c r="F76" i="21"/>
  <c r="I4" i="21"/>
  <c r="I77" i="21"/>
  <c r="BA373" i="7"/>
  <c r="E6" i="21"/>
  <c r="E19" i="22" s="1"/>
  <c r="E15" i="21"/>
  <c r="G13" i="21"/>
  <c r="F15" i="21"/>
  <c r="F22" i="21" s="1"/>
  <c r="F6" i="21"/>
  <c r="F19" i="22" s="1"/>
  <c r="G15" i="21"/>
  <c r="G6" i="21"/>
  <c r="G19" i="22" s="1"/>
  <c r="I17" i="21"/>
  <c r="E13" i="21"/>
  <c r="H6" i="21"/>
  <c r="H19" i="22" s="1"/>
  <c r="H15" i="21"/>
  <c r="H76" i="21"/>
  <c r="C3" i="23"/>
  <c r="G15" i="17"/>
  <c r="AV64" i="7"/>
  <c r="AV123" i="7"/>
  <c r="AV302" i="7"/>
  <c r="AY302" i="7"/>
  <c r="AY182" i="7"/>
  <c r="AY362" i="7"/>
  <c r="AY242" i="7"/>
  <c r="AW242" i="7"/>
  <c r="AW362" i="7"/>
  <c r="AV242" i="7"/>
  <c r="AW64" i="7"/>
  <c r="AV362" i="7"/>
  <c r="AV182" i="7"/>
  <c r="AW123" i="7"/>
  <c r="N295" i="7"/>
  <c r="S295" i="7"/>
  <c r="AW381" i="7"/>
  <c r="B43" i="30"/>
  <c r="AE64" i="7"/>
  <c r="AE123" i="7"/>
  <c r="AE302" i="7"/>
  <c r="AE362" i="7"/>
  <c r="I403" i="7"/>
  <c r="AW392" i="7"/>
  <c r="AX392" i="7" s="1"/>
  <c r="AC348" i="7"/>
  <c r="O348" i="7"/>
  <c r="AD295" i="7"/>
  <c r="H295" i="7"/>
  <c r="S28" i="7"/>
  <c r="S32" i="7" s="1"/>
  <c r="N348" i="7"/>
  <c r="S348" i="7"/>
  <c r="U348" i="7"/>
  <c r="L348" i="7"/>
  <c r="BA233" i="7"/>
  <c r="AE164" i="7"/>
  <c r="AE148" i="33" s="1"/>
  <c r="AE153" i="33" s="1"/>
  <c r="M164" i="7"/>
  <c r="L148" i="33" s="1"/>
  <c r="L153" i="33" s="1"/>
  <c r="L155" i="33" s="1"/>
  <c r="L157" i="33" s="1"/>
  <c r="I164" i="7"/>
  <c r="H148" i="33" s="1"/>
  <c r="H153" i="33" s="1"/>
  <c r="H155" i="33" s="1"/>
  <c r="H157" i="33" s="1"/>
  <c r="H253" i="33" s="1"/>
  <c r="AM403" i="7"/>
  <c r="AC403" i="7"/>
  <c r="O403" i="7"/>
  <c r="AL403" i="7"/>
  <c r="N403" i="7"/>
  <c r="AV224" i="7"/>
  <c r="AY219" i="7"/>
  <c r="AY224" i="7" s="1"/>
  <c r="AE215" i="7"/>
  <c r="AE226" i="7" s="1"/>
  <c r="M215" i="7"/>
  <c r="M226" i="7" s="1"/>
  <c r="I215" i="7"/>
  <c r="I226" i="7" s="1"/>
  <c r="N215" i="7"/>
  <c r="N226" i="7" s="1"/>
  <c r="S215" i="7"/>
  <c r="S226" i="7" s="1"/>
  <c r="AD164" i="7"/>
  <c r="AD148" i="33" s="1"/>
  <c r="AD153" i="33" s="1"/>
  <c r="AD155" i="33" s="1"/>
  <c r="AD157" i="33" s="1"/>
  <c r="H164" i="7"/>
  <c r="G148" i="33" s="1"/>
  <c r="G153" i="33" s="1"/>
  <c r="G155" i="33" s="1"/>
  <c r="G157" i="33" s="1"/>
  <c r="S94" i="7"/>
  <c r="AY64" i="7"/>
  <c r="AY123" i="7"/>
  <c r="AD64" i="7"/>
  <c r="AD182" i="7"/>
  <c r="AL164" i="7"/>
  <c r="AF148" i="33"/>
  <c r="AF153" i="33" s="1"/>
  <c r="AF155" i="33" s="1"/>
  <c r="AF157" i="33" s="1"/>
  <c r="N164" i="7"/>
  <c r="M148" i="33" s="1"/>
  <c r="M153" i="33" s="1"/>
  <c r="M155" i="33" s="1"/>
  <c r="M157" i="33" s="1"/>
  <c r="S164" i="7"/>
  <c r="R148" i="33" s="1"/>
  <c r="R153" i="33" s="1"/>
  <c r="R155" i="33" s="1"/>
  <c r="R157" i="33" s="1"/>
  <c r="R253" i="33" s="1"/>
  <c r="AL348" i="7"/>
  <c r="AD403" i="7"/>
  <c r="U403" i="7"/>
  <c r="L403" i="7"/>
  <c r="S403" i="7"/>
  <c r="AW378" i="7"/>
  <c r="AX378" i="7" s="1"/>
  <c r="AD348" i="7"/>
  <c r="H348" i="7"/>
  <c r="E158" i="1"/>
  <c r="AE295" i="7"/>
  <c r="M295" i="7"/>
  <c r="I295" i="7"/>
  <c r="AW251" i="7"/>
  <c r="BA234" i="7"/>
  <c r="AW13" i="7"/>
  <c r="AY13" i="7" s="1"/>
  <c r="AY28" i="7" s="1"/>
  <c r="AW162" i="7"/>
  <c r="AY159" i="7"/>
  <c r="AV150" i="7"/>
  <c r="AW159" i="7"/>
  <c r="AX159" i="7" s="1"/>
  <c r="H64" i="7"/>
  <c r="I5" i="7"/>
  <c r="H3" i="33" s="1"/>
  <c r="H182" i="7"/>
  <c r="AW224" i="7"/>
  <c r="AX224" i="7" s="1"/>
  <c r="AW105" i="7"/>
  <c r="AW37" i="7"/>
  <c r="AW55" i="7" s="1"/>
  <c r="AX55" i="7" s="1"/>
  <c r="AY29" i="7"/>
  <c r="BA147" i="7"/>
  <c r="AW116" i="7"/>
  <c r="AX116" i="7" s="1"/>
  <c r="AD94" i="7"/>
  <c r="AD118" i="7" s="1"/>
  <c r="AD142" i="7" s="1"/>
  <c r="U94" i="7"/>
  <c r="U118" i="7" s="1"/>
  <c r="U142" i="7" s="1"/>
  <c r="L94" i="7"/>
  <c r="L118" i="7" s="1"/>
  <c r="L142" i="7" s="1"/>
  <c r="H94" i="7"/>
  <c r="H118" i="7" s="1"/>
  <c r="H142" i="7" s="1"/>
  <c r="E422" i="1" l="1"/>
  <c r="O29" i="3" s="1"/>
  <c r="AT75" i="33"/>
  <c r="AU75" i="33" s="1"/>
  <c r="AV75" i="33" s="1"/>
  <c r="AX75" i="33" s="1"/>
  <c r="AV310" i="7"/>
  <c r="AE81" i="33"/>
  <c r="AT166" i="33"/>
  <c r="F44" i="30"/>
  <c r="D44" i="30"/>
  <c r="AT54" i="33"/>
  <c r="AU54" i="33" s="1"/>
  <c r="AV54" i="33" s="1"/>
  <c r="AX54" i="33" s="1"/>
  <c r="AC81" i="33"/>
  <c r="F24" i="30"/>
  <c r="D24" i="30"/>
  <c r="F26" i="30"/>
  <c r="D26" i="30"/>
  <c r="AV309" i="7"/>
  <c r="AW309" i="7" s="1"/>
  <c r="AT203" i="33"/>
  <c r="AY164" i="7"/>
  <c r="AV315" i="7"/>
  <c r="AW315" i="7" s="1"/>
  <c r="AY315" i="7" s="1"/>
  <c r="E69" i="1" s="1"/>
  <c r="AV313" i="7"/>
  <c r="AW313" i="7" s="1"/>
  <c r="AY313" i="7" s="1"/>
  <c r="E67" i="1" s="1"/>
  <c r="W203" i="33"/>
  <c r="W207" i="33" s="1"/>
  <c r="AR207" i="33"/>
  <c r="AV314" i="7"/>
  <c r="AW314" i="7" s="1"/>
  <c r="AY314" i="7" s="1"/>
  <c r="E68" i="1" s="1"/>
  <c r="AS207" i="33"/>
  <c r="AS138" i="33"/>
  <c r="AR138" i="33"/>
  <c r="AS171" i="33"/>
  <c r="W171" i="33"/>
  <c r="AR171" i="33"/>
  <c r="AV97" i="7"/>
  <c r="AE73" i="33"/>
  <c r="AE76" i="33" s="1"/>
  <c r="AC76" i="33"/>
  <c r="AT58" i="33"/>
  <c r="AU58" i="33" s="1"/>
  <c r="AV58" i="33" s="1"/>
  <c r="AX58" i="33" s="1"/>
  <c r="AT66" i="33"/>
  <c r="AU66" i="33" s="1"/>
  <c r="AV66" i="33" s="1"/>
  <c r="AX66" i="33" s="1"/>
  <c r="AC59" i="33"/>
  <c r="AE59" i="33"/>
  <c r="AT52" i="33"/>
  <c r="AU52" i="33" s="1"/>
  <c r="AV52" i="33" s="1"/>
  <c r="AX52" i="33" s="1"/>
  <c r="AC69" i="33"/>
  <c r="AE69" i="33"/>
  <c r="D6" i="21"/>
  <c r="D19" i="22" s="1"/>
  <c r="D15" i="21"/>
  <c r="D22" i="21" s="1"/>
  <c r="F78" i="21"/>
  <c r="F33" i="22"/>
  <c r="H78" i="21"/>
  <c r="H33" i="22"/>
  <c r="F25" i="17"/>
  <c r="AT79" i="33"/>
  <c r="AU79" i="33" s="1"/>
  <c r="AV79" i="33" s="1"/>
  <c r="AX79" i="33" s="1"/>
  <c r="AT57" i="33"/>
  <c r="AU57" i="33" s="1"/>
  <c r="AV57" i="33" s="1"/>
  <c r="AX57" i="33" s="1"/>
  <c r="AT200" i="33"/>
  <c r="AT80" i="33"/>
  <c r="AU80" i="33" s="1"/>
  <c r="AV80" i="33" s="1"/>
  <c r="AX80" i="33" s="1"/>
  <c r="AT63" i="33"/>
  <c r="AU63" i="33" s="1"/>
  <c r="AV63" i="33" s="1"/>
  <c r="AX63" i="33" s="1"/>
  <c r="AT55" i="33"/>
  <c r="AU55" i="33" s="1"/>
  <c r="AV55" i="33" s="1"/>
  <c r="AX55" i="33" s="1"/>
  <c r="AT64" i="33"/>
  <c r="AU64" i="33" s="1"/>
  <c r="AV64" i="33" s="1"/>
  <c r="AX64" i="33" s="1"/>
  <c r="AT168" i="33"/>
  <c r="AT65" i="33"/>
  <c r="AU65" i="33" s="1"/>
  <c r="AV65" i="33" s="1"/>
  <c r="AX65" i="33" s="1"/>
  <c r="AT49" i="33"/>
  <c r="AU49" i="33" s="1"/>
  <c r="AV49" i="33" s="1"/>
  <c r="AX49" i="33" s="1"/>
  <c r="AT67" i="33"/>
  <c r="AU67" i="33" s="1"/>
  <c r="AV67" i="33" s="1"/>
  <c r="AX67" i="33" s="1"/>
  <c r="J14" i="22"/>
  <c r="E148" i="33"/>
  <c r="E153" i="33" s="1"/>
  <c r="AL81" i="7"/>
  <c r="AV70" i="7"/>
  <c r="AW70" i="7" s="1"/>
  <c r="AY70" i="7" s="1"/>
  <c r="AT205" i="33"/>
  <c r="AT53" i="33"/>
  <c r="AU53" i="33" s="1"/>
  <c r="AV53" i="33" s="1"/>
  <c r="AX53" i="33" s="1"/>
  <c r="AT165" i="33"/>
  <c r="AC102" i="7"/>
  <c r="AM264" i="7"/>
  <c r="AM317" i="7"/>
  <c r="AT204" i="33"/>
  <c r="AT167" i="33"/>
  <c r="AC92" i="7"/>
  <c r="AT68" i="33"/>
  <c r="AU68" i="33" s="1"/>
  <c r="AV68" i="33" s="1"/>
  <c r="AX68" i="33" s="1"/>
  <c r="AT169" i="33"/>
  <c r="AT264" i="7"/>
  <c r="AT317" i="7"/>
  <c r="AT56" i="33"/>
  <c r="AU56" i="33" s="1"/>
  <c r="AV56" i="33" s="1"/>
  <c r="AX56" i="33" s="1"/>
  <c r="AC109" i="7"/>
  <c r="AL92" i="7"/>
  <c r="H228" i="7"/>
  <c r="H236" i="7" s="1"/>
  <c r="H405" i="7" s="1"/>
  <c r="H408" i="7" s="1"/>
  <c r="AV312" i="7"/>
  <c r="AW312" i="7" s="1"/>
  <c r="AY312" i="7" s="1"/>
  <c r="E66" i="1" s="1"/>
  <c r="AT72" i="33"/>
  <c r="AU72" i="33" s="1"/>
  <c r="AV72" i="33" s="1"/>
  <c r="AX72" i="33" s="1"/>
  <c r="AT164" i="33"/>
  <c r="AT50" i="33"/>
  <c r="AU50" i="33" s="1"/>
  <c r="AV50" i="33" s="1"/>
  <c r="AX50" i="33" s="1"/>
  <c r="AT206" i="33"/>
  <c r="AT202" i="33"/>
  <c r="AT62" i="33"/>
  <c r="AU62" i="33" s="1"/>
  <c r="AV62" i="33" s="1"/>
  <c r="AX62" i="33" s="1"/>
  <c r="AT61" i="33"/>
  <c r="AU61" i="33" s="1"/>
  <c r="AV61" i="33" s="1"/>
  <c r="AX61" i="33" s="1"/>
  <c r="AT170" i="33"/>
  <c r="AV78" i="7"/>
  <c r="AW78" i="7" s="1"/>
  <c r="AY78" i="7" s="1"/>
  <c r="E214" i="1" s="1"/>
  <c r="AV106" i="7"/>
  <c r="AV71" i="7"/>
  <c r="AV83" i="7"/>
  <c r="AW83" i="7" s="1"/>
  <c r="AV203" i="7"/>
  <c r="AW203" i="7" s="1"/>
  <c r="F16" i="22"/>
  <c r="I5" i="21"/>
  <c r="I6" i="21" s="1"/>
  <c r="I15" i="21"/>
  <c r="D25" i="30"/>
  <c r="F25" i="30"/>
  <c r="AT148" i="33"/>
  <c r="AT153" i="33" s="1"/>
  <c r="X164" i="33"/>
  <c r="AV257" i="7"/>
  <c r="AW257" i="7" s="1"/>
  <c r="AY257" i="7" s="1"/>
  <c r="E17" i="1" s="1"/>
  <c r="AS264" i="7"/>
  <c r="D20" i="30"/>
  <c r="F20" i="30"/>
  <c r="AX140" i="7"/>
  <c r="AT48" i="33"/>
  <c r="X166" i="33"/>
  <c r="AU166" i="33" s="1"/>
  <c r="AV166" i="33" s="1"/>
  <c r="AX166" i="33" s="1"/>
  <c r="AV259" i="7"/>
  <c r="AW259" i="7" s="1"/>
  <c r="AY259" i="7" s="1"/>
  <c r="E19" i="1" s="1"/>
  <c r="D13" i="30"/>
  <c r="F13" i="30"/>
  <c r="AT78" i="33"/>
  <c r="X170" i="33"/>
  <c r="AV263" i="7"/>
  <c r="AW263" i="7" s="1"/>
  <c r="AY263" i="7" s="1"/>
  <c r="E23" i="1" s="1"/>
  <c r="D14" i="30"/>
  <c r="F14" i="30"/>
  <c r="X169" i="33"/>
  <c r="AV262" i="7"/>
  <c r="AW262" i="7" s="1"/>
  <c r="AY262" i="7" s="1"/>
  <c r="E22" i="1" s="1"/>
  <c r="D18" i="30"/>
  <c r="F18" i="30"/>
  <c r="D19" i="30"/>
  <c r="F19" i="30"/>
  <c r="F153" i="33"/>
  <c r="X148" i="33"/>
  <c r="AV256" i="7"/>
  <c r="X264" i="7"/>
  <c r="F280" i="7"/>
  <c r="D27" i="30"/>
  <c r="F27" i="30"/>
  <c r="X168" i="33"/>
  <c r="AV261" i="7"/>
  <c r="AW261" i="7" s="1"/>
  <c r="AY261" i="7" s="1"/>
  <c r="E21" i="1" s="1"/>
  <c r="D21" i="30"/>
  <c r="F21" i="30"/>
  <c r="X165" i="33"/>
  <c r="AV258" i="7"/>
  <c r="AW258" i="7" s="1"/>
  <c r="AY258" i="7" s="1"/>
  <c r="X167" i="33"/>
  <c r="AV260" i="7"/>
  <c r="AW260" i="7" s="1"/>
  <c r="AY260" i="7" s="1"/>
  <c r="E20" i="1" s="1"/>
  <c r="AY116" i="7"/>
  <c r="BA116" i="7" s="1"/>
  <c r="AT134" i="33"/>
  <c r="AU134" i="33" s="1"/>
  <c r="AV134" i="33" s="1"/>
  <c r="AX134" i="33" s="1"/>
  <c r="AY251" i="7"/>
  <c r="AW253" i="7"/>
  <c r="AX253" i="7" s="1"/>
  <c r="AT201" i="33"/>
  <c r="AV311" i="7"/>
  <c r="AW311" i="7" s="1"/>
  <c r="AY311" i="7" s="1"/>
  <c r="E65" i="1" s="1"/>
  <c r="AV316" i="7"/>
  <c r="AW316" i="7" s="1"/>
  <c r="AY316" i="7" s="1"/>
  <c r="E70" i="1" s="1"/>
  <c r="AY140" i="7"/>
  <c r="E177" i="1"/>
  <c r="AY32" i="7"/>
  <c r="AT133" i="33"/>
  <c r="AU133" i="33" s="1"/>
  <c r="AV133" i="33" s="1"/>
  <c r="AX133" i="33" s="1"/>
  <c r="AT136" i="33"/>
  <c r="AU136" i="33" s="1"/>
  <c r="AV136" i="33" s="1"/>
  <c r="AX136" i="33" s="1"/>
  <c r="AV208" i="7"/>
  <c r="AW208" i="7" s="1"/>
  <c r="AY208" i="7" s="1"/>
  <c r="E388" i="1" s="1"/>
  <c r="AT135" i="33"/>
  <c r="AU135" i="33" s="1"/>
  <c r="AV135" i="33" s="1"/>
  <c r="AX135" i="33" s="1"/>
  <c r="AT131" i="33"/>
  <c r="AU131" i="33" s="1"/>
  <c r="AV131" i="33" s="1"/>
  <c r="AX131" i="33" s="1"/>
  <c r="AT213" i="7"/>
  <c r="AT137" i="33"/>
  <c r="AU137" i="33" s="1"/>
  <c r="AV137" i="33" s="1"/>
  <c r="AX137" i="33" s="1"/>
  <c r="AT130" i="33"/>
  <c r="AU130" i="33" s="1"/>
  <c r="AV130" i="33" s="1"/>
  <c r="AX130" i="33" s="1"/>
  <c r="AT132" i="33"/>
  <c r="AU132" i="33" s="1"/>
  <c r="AV132" i="33" s="1"/>
  <c r="AX132" i="33" s="1"/>
  <c r="AV205" i="7"/>
  <c r="AW205" i="7" s="1"/>
  <c r="AY205" i="7" s="1"/>
  <c r="E385" i="1" s="1"/>
  <c r="AS213" i="7"/>
  <c r="AT129" i="33"/>
  <c r="AU129" i="33" s="1"/>
  <c r="AV129" i="33" s="1"/>
  <c r="AX129" i="33" s="1"/>
  <c r="X202" i="33"/>
  <c r="AS317" i="7"/>
  <c r="X205" i="33"/>
  <c r="X200" i="33"/>
  <c r="AW310" i="7"/>
  <c r="AY310" i="7" s="1"/>
  <c r="E64" i="1" s="1"/>
  <c r="X204" i="33"/>
  <c r="X201" i="33"/>
  <c r="X203" i="33"/>
  <c r="AU203" i="33" s="1"/>
  <c r="AV203" i="33" s="1"/>
  <c r="AX203" i="33" s="1"/>
  <c r="X206" i="33"/>
  <c r="X317" i="7"/>
  <c r="AV164" i="7"/>
  <c r="AV73" i="7"/>
  <c r="AW73" i="7" s="1"/>
  <c r="AY73" i="7" s="1"/>
  <c r="E209" i="1" s="1"/>
  <c r="AV80" i="7"/>
  <c r="AW80" i="7" s="1"/>
  <c r="AY80" i="7" s="1"/>
  <c r="E216" i="1" s="1"/>
  <c r="AV212" i="7"/>
  <c r="AW212" i="7" s="1"/>
  <c r="AY212" i="7" s="1"/>
  <c r="E392" i="1" s="1"/>
  <c r="B15" i="30"/>
  <c r="B14" i="30"/>
  <c r="AV210" i="7"/>
  <c r="AW210" i="7" s="1"/>
  <c r="AY210" i="7" s="1"/>
  <c r="E390" i="1" s="1"/>
  <c r="AV99" i="7"/>
  <c r="AW99" i="7" s="1"/>
  <c r="AY99" i="7" s="1"/>
  <c r="E233" i="1" s="1"/>
  <c r="AV74" i="7"/>
  <c r="AW74" i="7" s="1"/>
  <c r="AY74" i="7" s="1"/>
  <c r="E210" i="1" s="1"/>
  <c r="H123" i="7"/>
  <c r="B13" i="30"/>
  <c r="AV76" i="7"/>
  <c r="AW76" i="7" s="1"/>
  <c r="AY76" i="7" s="1"/>
  <c r="E212" i="1" s="1"/>
  <c r="AV72" i="7"/>
  <c r="AW72" i="7" s="1"/>
  <c r="AY72" i="7" s="1"/>
  <c r="AV84" i="7"/>
  <c r="AV107" i="7"/>
  <c r="AV206" i="7"/>
  <c r="AW206" i="7" s="1"/>
  <c r="AY206" i="7" s="1"/>
  <c r="E386" i="1" s="1"/>
  <c r="AV89" i="7"/>
  <c r="AW89" i="7" s="1"/>
  <c r="AY89" i="7" s="1"/>
  <c r="E224" i="1" s="1"/>
  <c r="AV75" i="7"/>
  <c r="AV85" i="7"/>
  <c r="AW85" i="7" s="1"/>
  <c r="AY85" i="7" s="1"/>
  <c r="AV77" i="7"/>
  <c r="AW77" i="7" s="1"/>
  <c r="AY77" i="7" s="1"/>
  <c r="E213" i="1" s="1"/>
  <c r="AV91" i="7"/>
  <c r="AW91" i="7" s="1"/>
  <c r="AY91" i="7" s="1"/>
  <c r="E226" i="1" s="1"/>
  <c r="AV209" i="7"/>
  <c r="AW209" i="7" s="1"/>
  <c r="AY209" i="7" s="1"/>
  <c r="E389" i="1" s="1"/>
  <c r="AV211" i="7"/>
  <c r="AW211" i="7" s="1"/>
  <c r="AV101" i="7"/>
  <c r="AW101" i="7" s="1"/>
  <c r="AY101" i="7" s="1"/>
  <c r="E235" i="1" s="1"/>
  <c r="AV90" i="7"/>
  <c r="AW90" i="7" s="1"/>
  <c r="AY90" i="7" s="1"/>
  <c r="E225" i="1" s="1"/>
  <c r="AV87" i="7"/>
  <c r="AW87" i="7" s="1"/>
  <c r="AY87" i="7" s="1"/>
  <c r="E222" i="1" s="1"/>
  <c r="AV204" i="7"/>
  <c r="AW204" i="7" s="1"/>
  <c r="AV207" i="7"/>
  <c r="AW207" i="7" s="1"/>
  <c r="AY207" i="7" s="1"/>
  <c r="E387" i="1" s="1"/>
  <c r="AV79" i="7"/>
  <c r="AW79" i="7" s="1"/>
  <c r="AY79" i="7" s="1"/>
  <c r="E215" i="1" s="1"/>
  <c r="AV100" i="7"/>
  <c r="AW100" i="7" s="1"/>
  <c r="AY100" i="7" s="1"/>
  <c r="E234" i="1" s="1"/>
  <c r="C69" i="4" s="1"/>
  <c r="AV86" i="7"/>
  <c r="AW86" i="7" s="1"/>
  <c r="AY86" i="7" s="1"/>
  <c r="E221" i="1" s="1"/>
  <c r="AV98" i="7"/>
  <c r="AW98" i="7" s="1"/>
  <c r="AY98" i="7" s="1"/>
  <c r="E232" i="1" s="1"/>
  <c r="AV88" i="7"/>
  <c r="AW88" i="7" s="1"/>
  <c r="AY88" i="7" s="1"/>
  <c r="E223" i="1" s="1"/>
  <c r="AV108" i="7"/>
  <c r="AW108" i="7" s="1"/>
  <c r="AY108" i="7" s="1"/>
  <c r="E243" i="1" s="1"/>
  <c r="AY173" i="7"/>
  <c r="E361" i="1" s="1"/>
  <c r="E202" i="1"/>
  <c r="E203" i="1" s="1"/>
  <c r="E204" i="1" s="1"/>
  <c r="E417" i="1"/>
  <c r="AL213" i="7"/>
  <c r="AW289" i="7"/>
  <c r="AY289" i="7" s="1"/>
  <c r="E52" i="1" s="1"/>
  <c r="AW290" i="7"/>
  <c r="AY290" i="7" s="1"/>
  <c r="E53" i="1" s="1"/>
  <c r="AW285" i="7"/>
  <c r="AY285" i="7" s="1"/>
  <c r="E48" i="1" s="1"/>
  <c r="E110" i="1"/>
  <c r="AY172" i="7"/>
  <c r="E360" i="1" s="1"/>
  <c r="AW292" i="7"/>
  <c r="AY292" i="7" s="1"/>
  <c r="E55" i="1" s="1"/>
  <c r="AW287" i="7"/>
  <c r="AY287" i="7" s="1"/>
  <c r="E50" i="1" s="1"/>
  <c r="AW288" i="7"/>
  <c r="AY288" i="7" s="1"/>
  <c r="E51" i="1" s="1"/>
  <c r="AW284" i="7"/>
  <c r="AY284" i="7" s="1"/>
  <c r="E47" i="1" s="1"/>
  <c r="E18" i="1"/>
  <c r="AE109" i="7"/>
  <c r="AE102" i="7"/>
  <c r="AE81" i="7"/>
  <c r="AE92" i="7"/>
  <c r="E315" i="1"/>
  <c r="AW168" i="7"/>
  <c r="AW291" i="7"/>
  <c r="AY291" i="7" s="1"/>
  <c r="E54" i="1" s="1"/>
  <c r="AW286" i="7"/>
  <c r="AW340" i="7"/>
  <c r="AY340" i="7" s="1"/>
  <c r="E96" i="1" s="1"/>
  <c r="AW344" i="7"/>
  <c r="AY344" i="7" s="1"/>
  <c r="E100" i="1" s="1"/>
  <c r="AM213" i="7"/>
  <c r="AW283" i="7"/>
  <c r="AY283" i="7" s="1"/>
  <c r="AM293" i="7"/>
  <c r="E248" i="1"/>
  <c r="E251" i="1" s="1"/>
  <c r="S251" i="1" s="1"/>
  <c r="E259" i="1"/>
  <c r="L20" i="11"/>
  <c r="I47" i="3" s="1"/>
  <c r="I15" i="3" s="1"/>
  <c r="G20" i="17"/>
  <c r="G26" i="17" s="1"/>
  <c r="AC356" i="7"/>
  <c r="AC380" i="7" s="1"/>
  <c r="AC382" i="7" s="1"/>
  <c r="G356" i="7"/>
  <c r="G380" i="7" s="1"/>
  <c r="G382" i="7" s="1"/>
  <c r="AD356" i="7"/>
  <c r="AD380" i="7" s="1"/>
  <c r="AD382" i="7" s="1"/>
  <c r="F118" i="7"/>
  <c r="F142" i="7" s="1"/>
  <c r="BA232" i="7"/>
  <c r="AE356" i="7"/>
  <c r="AE380" i="7" s="1"/>
  <c r="AE382" i="7" s="1"/>
  <c r="M356" i="7"/>
  <c r="M380" i="7" s="1"/>
  <c r="M382" i="7" s="1"/>
  <c r="L356" i="7"/>
  <c r="L380" i="7" s="1"/>
  <c r="L382" i="7" s="1"/>
  <c r="O356" i="7"/>
  <c r="O380" i="7" s="1"/>
  <c r="O382" i="7" s="1"/>
  <c r="U356" i="7"/>
  <c r="U380" i="7" s="1"/>
  <c r="U382" i="7" s="1"/>
  <c r="D20" i="11"/>
  <c r="E47" i="3" s="1"/>
  <c r="E15" i="3" s="1"/>
  <c r="G76" i="21"/>
  <c r="E76" i="21"/>
  <c r="E33" i="22" s="1"/>
  <c r="F23" i="21"/>
  <c r="AD228" i="7"/>
  <c r="AD236" i="7" s="1"/>
  <c r="AD405" i="7" s="1"/>
  <c r="AD408" i="7" s="1"/>
  <c r="S118" i="7"/>
  <c r="S142" i="7" s="1"/>
  <c r="S228" i="7" s="1"/>
  <c r="S236" i="7" s="1"/>
  <c r="S405" i="7" s="1"/>
  <c r="S408" i="7" s="1"/>
  <c r="N356" i="7"/>
  <c r="N380" i="7" s="1"/>
  <c r="N382" i="7" s="1"/>
  <c r="I228" i="7"/>
  <c r="I236" i="7" s="1"/>
  <c r="I405" i="7" s="1"/>
  <c r="I408" i="7" s="1"/>
  <c r="I356" i="7"/>
  <c r="I380" i="7" s="1"/>
  <c r="I382" i="7" s="1"/>
  <c r="AL356" i="7"/>
  <c r="AL380" i="7" s="1"/>
  <c r="AL382" i="7" s="1"/>
  <c r="F20" i="11"/>
  <c r="J18" i="11"/>
  <c r="J20" i="11" s="1"/>
  <c r="H47" i="3" s="1"/>
  <c r="H18" i="11"/>
  <c r="H20" i="11" s="1"/>
  <c r="G47" i="3" s="1"/>
  <c r="N228" i="7"/>
  <c r="N236" i="7" s="1"/>
  <c r="N405" i="7" s="1"/>
  <c r="N408" i="7" s="1"/>
  <c r="U228" i="7"/>
  <c r="U236" i="7" s="1"/>
  <c r="U405" i="7" s="1"/>
  <c r="U408" i="7" s="1"/>
  <c r="L228" i="7"/>
  <c r="L236" i="7" s="1"/>
  <c r="L405" i="7" s="1"/>
  <c r="L408" i="7" s="1"/>
  <c r="H356" i="7"/>
  <c r="H380" i="7" s="1"/>
  <c r="H382" i="7" s="1"/>
  <c r="BA367" i="7"/>
  <c r="E119" i="1"/>
  <c r="E140" i="1" s="1"/>
  <c r="BA224" i="7"/>
  <c r="E400" i="1"/>
  <c r="E404" i="1" s="1"/>
  <c r="J11" i="22"/>
  <c r="E322" i="7"/>
  <c r="E189" i="7"/>
  <c r="H22" i="21"/>
  <c r="H23" i="21" s="1"/>
  <c r="G22" i="21"/>
  <c r="G23" i="21" s="1"/>
  <c r="D3" i="23"/>
  <c r="F2" i="21"/>
  <c r="G16" i="22"/>
  <c r="E22" i="21"/>
  <c r="E23" i="21" s="1"/>
  <c r="J8" i="22"/>
  <c r="I13" i="21"/>
  <c r="F26" i="17"/>
  <c r="M228" i="7"/>
  <c r="M236" i="7" s="1"/>
  <c r="M405" i="7" s="1"/>
  <c r="M408" i="7" s="1"/>
  <c r="O228" i="7"/>
  <c r="O236" i="7" s="1"/>
  <c r="O405" i="7" s="1"/>
  <c r="O408" i="7" s="1"/>
  <c r="AW28" i="7"/>
  <c r="S356" i="7"/>
  <c r="S380" i="7" s="1"/>
  <c r="S382" i="7" s="1"/>
  <c r="G228" i="7"/>
  <c r="G236" i="7" s="1"/>
  <c r="G405" i="7" s="1"/>
  <c r="G408" i="7" s="1"/>
  <c r="I123" i="7"/>
  <c r="I64" i="7"/>
  <c r="I242" i="7"/>
  <c r="I182" i="7"/>
  <c r="I302" i="7"/>
  <c r="I362" i="7"/>
  <c r="E348" i="1"/>
  <c r="AW150" i="7"/>
  <c r="AX150" i="7" s="1"/>
  <c r="AW395" i="7"/>
  <c r="AY105" i="7"/>
  <c r="AU167" i="33" l="1"/>
  <c r="AV167" i="33" s="1"/>
  <c r="AX167" i="33" s="1"/>
  <c r="AE94" i="7"/>
  <c r="AU200" i="33"/>
  <c r="AV200" i="33" s="1"/>
  <c r="AX200" i="33" s="1"/>
  <c r="AC70" i="33"/>
  <c r="AC87" i="33" s="1"/>
  <c r="AC103" i="33" s="1"/>
  <c r="AC155" i="33" s="1"/>
  <c r="AC157" i="33" s="1"/>
  <c r="F43" i="30" s="1"/>
  <c r="AU206" i="33"/>
  <c r="AV206" i="33" s="1"/>
  <c r="AX206" i="33" s="1"/>
  <c r="AT73" i="33"/>
  <c r="AU73" i="33" s="1"/>
  <c r="AV73" i="33" s="1"/>
  <c r="AX73" i="33" s="1"/>
  <c r="AE70" i="33"/>
  <c r="AE87" i="33" s="1"/>
  <c r="AE103" i="33" s="1"/>
  <c r="AE155" i="33" s="1"/>
  <c r="AE157" i="33" s="1"/>
  <c r="D78" i="21"/>
  <c r="D33" i="22"/>
  <c r="D35" i="22" s="1"/>
  <c r="D82" i="21" s="1"/>
  <c r="E78" i="21"/>
  <c r="G78" i="21"/>
  <c r="G33" i="22"/>
  <c r="AU170" i="33"/>
  <c r="AV170" i="33" s="1"/>
  <c r="AX170" i="33" s="1"/>
  <c r="AU204" i="33"/>
  <c r="AV204" i="33" s="1"/>
  <c r="AX204" i="33" s="1"/>
  <c r="AU169" i="33"/>
  <c r="AV169" i="33" s="1"/>
  <c r="AX169" i="33" s="1"/>
  <c r="AT60" i="33"/>
  <c r="AT69" i="33" s="1"/>
  <c r="AU168" i="33"/>
  <c r="AV168" i="33" s="1"/>
  <c r="AX168" i="33" s="1"/>
  <c r="AU205" i="33"/>
  <c r="AV205" i="33" s="1"/>
  <c r="AX205" i="33" s="1"/>
  <c r="AU165" i="33"/>
  <c r="AV165" i="33" s="1"/>
  <c r="AX165" i="33" s="1"/>
  <c r="AU164" i="33"/>
  <c r="AV164" i="33" s="1"/>
  <c r="AX164" i="33" s="1"/>
  <c r="J16" i="22"/>
  <c r="AT51" i="33"/>
  <c r="AU51" i="33" s="1"/>
  <c r="AV51" i="33" s="1"/>
  <c r="AX51" i="33" s="1"/>
  <c r="AU202" i="33"/>
  <c r="AV202" i="33" s="1"/>
  <c r="AX202" i="33" s="1"/>
  <c r="AS177" i="33"/>
  <c r="AR173" i="33"/>
  <c r="AR180" i="33"/>
  <c r="AS178" i="33"/>
  <c r="AR174" i="33"/>
  <c r="AR181" i="33"/>
  <c r="AS180" i="33"/>
  <c r="AR175" i="33"/>
  <c r="AR183" i="33"/>
  <c r="AS175" i="33"/>
  <c r="AS179" i="33"/>
  <c r="AR182" i="33"/>
  <c r="AS173" i="33"/>
  <c r="AR178" i="33"/>
  <c r="AS174" i="33"/>
  <c r="AS181" i="33"/>
  <c r="AR176" i="33"/>
  <c r="AR172" i="33"/>
  <c r="AS182" i="33"/>
  <c r="AR177" i="33"/>
  <c r="AS183" i="33"/>
  <c r="AS176" i="33"/>
  <c r="AS172" i="33"/>
  <c r="AR179" i="33"/>
  <c r="W181" i="33"/>
  <c r="X181" i="33" s="1"/>
  <c r="W182" i="33"/>
  <c r="X182" i="33" s="1"/>
  <c r="W175" i="33"/>
  <c r="X175" i="33" s="1"/>
  <c r="W183" i="33"/>
  <c r="X183" i="33" s="1"/>
  <c r="W176" i="33"/>
  <c r="X176" i="33" s="1"/>
  <c r="W172" i="33"/>
  <c r="W178" i="33"/>
  <c r="X178" i="33" s="1"/>
  <c r="W179" i="33"/>
  <c r="X179" i="33" s="1"/>
  <c r="W173" i="33"/>
  <c r="X173" i="33" s="1"/>
  <c r="W180" i="33"/>
  <c r="X180" i="33" s="1"/>
  <c r="AC118" i="7"/>
  <c r="AC142" i="7" s="1"/>
  <c r="AC228" i="7" s="1"/>
  <c r="AC236" i="7" s="1"/>
  <c r="AC405" i="7" s="1"/>
  <c r="AC408" i="7" s="1"/>
  <c r="AT71" i="33"/>
  <c r="AT76" i="33" s="1"/>
  <c r="AL94" i="7"/>
  <c r="AL118" i="7" s="1"/>
  <c r="AL142" i="7" s="1"/>
  <c r="AU148" i="33"/>
  <c r="AU153" i="33" s="1"/>
  <c r="AU201" i="33"/>
  <c r="AV201" i="33" s="1"/>
  <c r="AX201" i="33" s="1"/>
  <c r="D23" i="21"/>
  <c r="F47" i="3"/>
  <c r="F15" i="3" s="1"/>
  <c r="AU78" i="33"/>
  <c r="AT81" i="33"/>
  <c r="AT163" i="33"/>
  <c r="AT171" i="33" s="1"/>
  <c r="AU48" i="33"/>
  <c r="X163" i="33"/>
  <c r="X171" i="33"/>
  <c r="AW32" i="7"/>
  <c r="AX32" i="7" s="1"/>
  <c r="AX28" i="7"/>
  <c r="F155" i="33"/>
  <c r="F157" i="33" s="1"/>
  <c r="X153" i="33"/>
  <c r="E11" i="1"/>
  <c r="E13" i="1" s="1"/>
  <c r="AY253" i="7"/>
  <c r="E180" i="1"/>
  <c r="T180" i="1" s="1"/>
  <c r="T251" i="1"/>
  <c r="E130" i="1"/>
  <c r="AW213" i="7"/>
  <c r="AX213" i="7" s="1"/>
  <c r="AT128" i="33"/>
  <c r="AV213" i="7"/>
  <c r="AY211" i="7"/>
  <c r="E391" i="1" s="1"/>
  <c r="X199" i="33"/>
  <c r="AT199" i="33"/>
  <c r="AT207" i="33" s="1"/>
  <c r="AV81" i="7"/>
  <c r="AV109" i="7"/>
  <c r="AV92" i="7"/>
  <c r="AV102" i="7"/>
  <c r="AW107" i="7"/>
  <c r="AY107" i="7" s="1"/>
  <c r="E242" i="1" s="1"/>
  <c r="AW84" i="7"/>
  <c r="AY84" i="7" s="1"/>
  <c r="E220" i="1" s="1"/>
  <c r="AW75" i="7"/>
  <c r="AY75" i="7" s="1"/>
  <c r="E211" i="1" s="1"/>
  <c r="E352" i="1"/>
  <c r="E353" i="1" s="1"/>
  <c r="BA32" i="7"/>
  <c r="E342" i="1"/>
  <c r="AY286" i="7"/>
  <c r="E49" i="1" s="1"/>
  <c r="AW106" i="7"/>
  <c r="AW97" i="7"/>
  <c r="AW71" i="7"/>
  <c r="AE118" i="7"/>
  <c r="AE142" i="7" s="1"/>
  <c r="AE228" i="7" s="1"/>
  <c r="AE236" i="7" s="1"/>
  <c r="AE405" i="7" s="1"/>
  <c r="AE408" i="7" s="1"/>
  <c r="AW317" i="7"/>
  <c r="AX317" i="7" s="1"/>
  <c r="AV317" i="7"/>
  <c r="AY204" i="7"/>
  <c r="E384" i="1" s="1"/>
  <c r="AW342" i="7"/>
  <c r="AY342" i="7" s="1"/>
  <c r="E98" i="1" s="1"/>
  <c r="AW338" i="7"/>
  <c r="AY338" i="7" s="1"/>
  <c r="E94" i="1" s="1"/>
  <c r="AW337" i="7"/>
  <c r="AW345" i="7"/>
  <c r="AY345" i="7" s="1"/>
  <c r="E101" i="1" s="1"/>
  <c r="AW343" i="7"/>
  <c r="AY343" i="7" s="1"/>
  <c r="E99" i="1" s="1"/>
  <c r="AW341" i="7"/>
  <c r="AY341" i="7" s="1"/>
  <c r="E97" i="1" s="1"/>
  <c r="AW339" i="7"/>
  <c r="AY339" i="7" s="1"/>
  <c r="AW256" i="7"/>
  <c r="AV264" i="7"/>
  <c r="AV293" i="7"/>
  <c r="AM346" i="7"/>
  <c r="G25" i="17"/>
  <c r="D25" i="17" s="1"/>
  <c r="M20" i="17"/>
  <c r="AM182" i="7"/>
  <c r="AM302" i="7"/>
  <c r="AM64" i="7"/>
  <c r="AM123" i="7"/>
  <c r="AM242" i="7"/>
  <c r="AM362" i="7"/>
  <c r="E18" i="3"/>
  <c r="E239" i="1"/>
  <c r="E207" i="1"/>
  <c r="E323" i="7"/>
  <c r="F323" i="7" s="1"/>
  <c r="E190" i="7"/>
  <c r="F190" i="7" s="1"/>
  <c r="I76" i="21"/>
  <c r="I78" i="21" s="1"/>
  <c r="H16" i="22"/>
  <c r="J10" i="22"/>
  <c r="E3" i="23"/>
  <c r="G2" i="21"/>
  <c r="D26" i="17"/>
  <c r="AY395" i="7"/>
  <c r="AW164" i="7"/>
  <c r="AX164" i="7" s="1"/>
  <c r="AV176" i="7"/>
  <c r="AS184" i="33" l="1"/>
  <c r="AS197" i="33" s="1"/>
  <c r="AR184" i="33"/>
  <c r="AR197" i="33" s="1"/>
  <c r="W177" i="33"/>
  <c r="X177" i="33" s="1"/>
  <c r="W174" i="33"/>
  <c r="W184" i="33" s="1"/>
  <c r="W197" i="33" s="1"/>
  <c r="BA253" i="7"/>
  <c r="D43" i="30"/>
  <c r="AU60" i="33"/>
  <c r="AU69" i="33" s="1"/>
  <c r="AT59" i="33"/>
  <c r="AT70" i="33" s="1"/>
  <c r="AT87" i="33" s="1"/>
  <c r="AT103" i="33" s="1"/>
  <c r="AU103" i="33" s="1"/>
  <c r="AV103" i="33" s="1"/>
  <c r="AX103" i="33" s="1"/>
  <c r="F45" i="30"/>
  <c r="D45" i="30"/>
  <c r="I22" i="21"/>
  <c r="I79" i="21" s="1"/>
  <c r="E28" i="17"/>
  <c r="R179" i="1" s="1"/>
  <c r="AU71" i="33"/>
  <c r="AU76" i="33" s="1"/>
  <c r="D42" i="30"/>
  <c r="F42" i="30"/>
  <c r="AT182" i="33"/>
  <c r="AU182" i="33" s="1"/>
  <c r="AV182" i="33" s="1"/>
  <c r="AX182" i="33" s="1"/>
  <c r="AT183" i="33"/>
  <c r="AU183" i="33" s="1"/>
  <c r="AV183" i="33" s="1"/>
  <c r="AX183" i="33" s="1"/>
  <c r="F46" i="30"/>
  <c r="D46" i="30"/>
  <c r="AS280" i="7"/>
  <c r="AS295" i="7" s="1"/>
  <c r="AT181" i="33"/>
  <c r="AU181" i="33" s="1"/>
  <c r="AV181" i="33" s="1"/>
  <c r="AX181" i="33" s="1"/>
  <c r="AT174" i="33"/>
  <c r="E117" i="33"/>
  <c r="E127" i="33" s="1"/>
  <c r="E146" i="33" s="1"/>
  <c r="E155" i="33" s="1"/>
  <c r="E157" i="33" s="1"/>
  <c r="AT179" i="33"/>
  <c r="AU179" i="33" s="1"/>
  <c r="AV179" i="33" s="1"/>
  <c r="AX179" i="33" s="1"/>
  <c r="AV148" i="33"/>
  <c r="AX148" i="33" s="1"/>
  <c r="AX153" i="33" s="1"/>
  <c r="AT280" i="7"/>
  <c r="AT295" i="7" s="1"/>
  <c r="AT176" i="33"/>
  <c r="AU176" i="33" s="1"/>
  <c r="AV176" i="33" s="1"/>
  <c r="AX176" i="33" s="1"/>
  <c r="AT180" i="33"/>
  <c r="AU180" i="33" s="1"/>
  <c r="AV180" i="33" s="1"/>
  <c r="AX180" i="33" s="1"/>
  <c r="AT178" i="33"/>
  <c r="AU178" i="33" s="1"/>
  <c r="AV178" i="33" s="1"/>
  <c r="AX178" i="33" s="1"/>
  <c r="AT177" i="33"/>
  <c r="AT175" i="33"/>
  <c r="AU175" i="33" s="1"/>
  <c r="AV175" i="33" s="1"/>
  <c r="AX175" i="33" s="1"/>
  <c r="AT173" i="33"/>
  <c r="AU173" i="33" s="1"/>
  <c r="AV173" i="33" s="1"/>
  <c r="AX173" i="33" s="1"/>
  <c r="E16" i="3"/>
  <c r="X280" i="7"/>
  <c r="X295" i="7" s="1"/>
  <c r="F12" i="30"/>
  <c r="D12" i="30"/>
  <c r="AU163" i="33"/>
  <c r="AU59" i="33"/>
  <c r="AV48" i="33"/>
  <c r="AU81" i="33"/>
  <c r="AV78" i="33"/>
  <c r="AU199" i="33"/>
  <c r="AU207" i="33" s="1"/>
  <c r="E425" i="1"/>
  <c r="AY337" i="7"/>
  <c r="E93" i="1" s="1"/>
  <c r="AW346" i="7"/>
  <c r="AX346" i="7" s="1"/>
  <c r="AU128" i="33"/>
  <c r="AT138" i="33"/>
  <c r="X207" i="33"/>
  <c r="AV94" i="7"/>
  <c r="AV118" i="7" s="1"/>
  <c r="AV142" i="7" s="1"/>
  <c r="AW81" i="7"/>
  <c r="AX81" i="7" s="1"/>
  <c r="AV274" i="7"/>
  <c r="AV278" i="7"/>
  <c r="AV271" i="7"/>
  <c r="AV275" i="7"/>
  <c r="AV279" i="7"/>
  <c r="AV268" i="7"/>
  <c r="AV272" i="7"/>
  <c r="AV276" i="7"/>
  <c r="AV269" i="7"/>
  <c r="AV273" i="7"/>
  <c r="AV277" i="7"/>
  <c r="AV267" i="7"/>
  <c r="AV270" i="7"/>
  <c r="E95" i="1"/>
  <c r="AY309" i="7"/>
  <c r="AY317" i="7" s="1"/>
  <c r="BA317" i="7" s="1"/>
  <c r="AY106" i="7"/>
  <c r="AW109" i="7"/>
  <c r="AX109" i="7" s="1"/>
  <c r="AY97" i="7"/>
  <c r="AW102" i="7"/>
  <c r="AX102" i="7" s="1"/>
  <c r="AW92" i="7"/>
  <c r="AX92" i="7" s="1"/>
  <c r="AY83" i="7"/>
  <c r="E218" i="1" s="1"/>
  <c r="AY71" i="7"/>
  <c r="AW264" i="7"/>
  <c r="AX264" i="7" s="1"/>
  <c r="AY256" i="7"/>
  <c r="AW293" i="7"/>
  <c r="AX293" i="7" s="1"/>
  <c r="AV346" i="7"/>
  <c r="F333" i="7"/>
  <c r="F295" i="7"/>
  <c r="E29" i="17"/>
  <c r="S179" i="1" s="1"/>
  <c r="AS362" i="7"/>
  <c r="AS302" i="7"/>
  <c r="AS242" i="7"/>
  <c r="AS64" i="7"/>
  <c r="AS123" i="7"/>
  <c r="AS182" i="7"/>
  <c r="AL242" i="7"/>
  <c r="AL182" i="7"/>
  <c r="AL362" i="7"/>
  <c r="AL302" i="7"/>
  <c r="AL123" i="7"/>
  <c r="AL64" i="7"/>
  <c r="F3" i="23"/>
  <c r="H2" i="21"/>
  <c r="AY203" i="7"/>
  <c r="AY213" i="7" s="1"/>
  <c r="AY168" i="7"/>
  <c r="AY176" i="7" s="1"/>
  <c r="AW176" i="7"/>
  <c r="AX176" i="7" s="1"/>
  <c r="AV60" i="33" l="1"/>
  <c r="AV69" i="33" s="1"/>
  <c r="AU177" i="33"/>
  <c r="AV177" i="33" s="1"/>
  <c r="AX177" i="33" s="1"/>
  <c r="X174" i="33"/>
  <c r="AU174" i="33" s="1"/>
  <c r="AV174" i="33" s="1"/>
  <c r="AX174" i="33" s="1"/>
  <c r="AV71" i="33"/>
  <c r="AX71" i="33" s="1"/>
  <c r="AX76" i="33" s="1"/>
  <c r="E255" i="33"/>
  <c r="AW255" i="33" s="1"/>
  <c r="F11" i="30"/>
  <c r="I23" i="21"/>
  <c r="D83" i="21"/>
  <c r="D21" i="22" s="1"/>
  <c r="AV153" i="33"/>
  <c r="J13" i="22"/>
  <c r="AS211" i="33"/>
  <c r="AS219" i="33"/>
  <c r="AR214" i="33"/>
  <c r="AS212" i="33"/>
  <c r="AS208" i="33"/>
  <c r="AR215" i="33"/>
  <c r="AS210" i="33"/>
  <c r="AR212" i="33"/>
  <c r="AS213" i="33"/>
  <c r="AR210" i="33"/>
  <c r="AR216" i="33"/>
  <c r="AS214" i="33"/>
  <c r="AR209" i="33"/>
  <c r="AR217" i="33"/>
  <c r="AS217" i="33"/>
  <c r="AR208" i="33"/>
  <c r="AS215" i="33"/>
  <c r="AR218" i="33"/>
  <c r="AS209" i="33"/>
  <c r="AS216" i="33"/>
  <c r="AR211" i="33"/>
  <c r="AR219" i="33"/>
  <c r="AR213" i="33"/>
  <c r="AS218" i="33"/>
  <c r="W212" i="33"/>
  <c r="W208" i="33"/>
  <c r="W216" i="33"/>
  <c r="W213" i="33"/>
  <c r="W214" i="33"/>
  <c r="W209" i="33"/>
  <c r="W215" i="33"/>
  <c r="W210" i="33"/>
  <c r="W217" i="33"/>
  <c r="W218" i="33"/>
  <c r="W211" i="33"/>
  <c r="W219" i="33"/>
  <c r="D11" i="30"/>
  <c r="AT172" i="33"/>
  <c r="AT184" i="33" s="1"/>
  <c r="AT197" i="33" s="1"/>
  <c r="AV199" i="33"/>
  <c r="AX199" i="33" s="1"/>
  <c r="AX207" i="33" s="1"/>
  <c r="AU171" i="33"/>
  <c r="AV163" i="33"/>
  <c r="AX78" i="33"/>
  <c r="AX81" i="33" s="1"/>
  <c r="AV81" i="33"/>
  <c r="AX48" i="33"/>
  <c r="AX59" i="33" s="1"/>
  <c r="AV59" i="33"/>
  <c r="AU70" i="33"/>
  <c r="AU87" i="33" s="1"/>
  <c r="X172" i="33"/>
  <c r="E227" i="1"/>
  <c r="AU138" i="33"/>
  <c r="AV128" i="33"/>
  <c r="F348" i="7"/>
  <c r="F356" i="7" s="1"/>
  <c r="F380" i="7" s="1"/>
  <c r="F382" i="7" s="1"/>
  <c r="E63" i="1"/>
  <c r="E240" i="1"/>
  <c r="E244" i="1" s="1"/>
  <c r="T244" i="1" s="1"/>
  <c r="AY109" i="7"/>
  <c r="BA109" i="7" s="1"/>
  <c r="AY102" i="7"/>
  <c r="E231" i="1"/>
  <c r="AW94" i="7"/>
  <c r="AX94" i="7" s="1"/>
  <c r="E208" i="1"/>
  <c r="AY94" i="7"/>
  <c r="AY264" i="7"/>
  <c r="E16" i="1"/>
  <c r="E136" i="1" s="1"/>
  <c r="AY293" i="7"/>
  <c r="BA293" i="7" s="1"/>
  <c r="E46" i="1"/>
  <c r="AY336" i="7"/>
  <c r="AY346" i="7" s="1"/>
  <c r="BA346" i="7" s="1"/>
  <c r="AW275" i="7"/>
  <c r="AY275" i="7" s="1"/>
  <c r="E36" i="1" s="1"/>
  <c r="AW279" i="7"/>
  <c r="AY279" i="7" s="1"/>
  <c r="E40" i="1" s="1"/>
  <c r="AW269" i="7"/>
  <c r="AY269" i="7" s="1"/>
  <c r="AW274" i="7"/>
  <c r="AY274" i="7" s="1"/>
  <c r="E35" i="1" s="1"/>
  <c r="AW277" i="7"/>
  <c r="AY277" i="7" s="1"/>
  <c r="E38" i="1" s="1"/>
  <c r="AW273" i="7"/>
  <c r="AY273" i="7" s="1"/>
  <c r="E34" i="1" s="1"/>
  <c r="AW268" i="7"/>
  <c r="AY268" i="7" s="1"/>
  <c r="E28" i="1" s="1"/>
  <c r="AW271" i="7"/>
  <c r="AY271" i="7" s="1"/>
  <c r="E32" i="1" s="1"/>
  <c r="AW267" i="7"/>
  <c r="AY267" i="7" s="1"/>
  <c r="E27" i="1" s="1"/>
  <c r="AM280" i="7"/>
  <c r="AM295" i="7" s="1"/>
  <c r="AW272" i="7"/>
  <c r="AY272" i="7" s="1"/>
  <c r="E33" i="1" s="1"/>
  <c r="AW270" i="7"/>
  <c r="AW276" i="7"/>
  <c r="AY276" i="7" s="1"/>
  <c r="E37" i="1" s="1"/>
  <c r="AW278" i="7"/>
  <c r="AY278" i="7" s="1"/>
  <c r="E39" i="1" s="1"/>
  <c r="BA213" i="7"/>
  <c r="E383" i="1"/>
  <c r="BA176" i="7"/>
  <c r="E356" i="1"/>
  <c r="AA76" i="1"/>
  <c r="AA369" i="1"/>
  <c r="F200" i="7"/>
  <c r="BB253" i="7" l="1"/>
  <c r="BB293" i="7"/>
  <c r="AP255" i="33"/>
  <c r="AQ255" i="33"/>
  <c r="AN255" i="33"/>
  <c r="AJ255" i="33"/>
  <c r="AK255" i="33"/>
  <c r="AI255" i="33"/>
  <c r="AH255" i="33"/>
  <c r="AL255" i="33"/>
  <c r="AM255" i="33"/>
  <c r="AG255" i="33"/>
  <c r="AO255" i="33"/>
  <c r="AV76" i="33"/>
  <c r="AX60" i="33"/>
  <c r="AX69" i="33" s="1"/>
  <c r="AT210" i="33"/>
  <c r="AV323" i="7"/>
  <c r="AW323" i="7" s="1"/>
  <c r="AR220" i="33"/>
  <c r="AR237" i="33" s="1"/>
  <c r="AR251" i="33" s="1"/>
  <c r="W220" i="33"/>
  <c r="W237" i="33" s="1"/>
  <c r="W251" i="33" s="1"/>
  <c r="AS220" i="33"/>
  <c r="AS237" i="33" s="1"/>
  <c r="AS251" i="33" s="1"/>
  <c r="AC255" i="33"/>
  <c r="U255" i="33"/>
  <c r="Y255" i="33"/>
  <c r="F255" i="33"/>
  <c r="G11" i="30"/>
  <c r="V255" i="33"/>
  <c r="P255" i="33"/>
  <c r="H255" i="33"/>
  <c r="T255" i="33"/>
  <c r="J255" i="33"/>
  <c r="Z255" i="33"/>
  <c r="AD255" i="33"/>
  <c r="O255" i="33"/>
  <c r="N255" i="33"/>
  <c r="R255" i="33"/>
  <c r="BA264" i="7"/>
  <c r="L255" i="33"/>
  <c r="AF255" i="33"/>
  <c r="K255" i="33"/>
  <c r="G255" i="33"/>
  <c r="M255" i="33"/>
  <c r="AE255" i="33"/>
  <c r="AA255" i="33"/>
  <c r="S255" i="33"/>
  <c r="Q255" i="33"/>
  <c r="AB255" i="33"/>
  <c r="I255" i="33"/>
  <c r="D25" i="22"/>
  <c r="AU172" i="33"/>
  <c r="AU184" i="33" s="1"/>
  <c r="AU197" i="33" s="1"/>
  <c r="AT211" i="33"/>
  <c r="AT217" i="33"/>
  <c r="AT214" i="33"/>
  <c r="AT218" i="33"/>
  <c r="AT209" i="33"/>
  <c r="AS333" i="7"/>
  <c r="AS348" i="7" s="1"/>
  <c r="AS356" i="7" s="1"/>
  <c r="AS380" i="7" s="1"/>
  <c r="AS382" i="7" s="1"/>
  <c r="AT213" i="33"/>
  <c r="AT212" i="33"/>
  <c r="AS115" i="33"/>
  <c r="AS124" i="33"/>
  <c r="AR125" i="33"/>
  <c r="AS125" i="33"/>
  <c r="AR118" i="33"/>
  <c r="AR126" i="33"/>
  <c r="AS119" i="33"/>
  <c r="AS122" i="33"/>
  <c r="AS118" i="33"/>
  <c r="AS126" i="33"/>
  <c r="AR119" i="33"/>
  <c r="AR114" i="33"/>
  <c r="AS114" i="33"/>
  <c r="AR120" i="33"/>
  <c r="AS120" i="33"/>
  <c r="AR121" i="33"/>
  <c r="AS121" i="33"/>
  <c r="AR122" i="33"/>
  <c r="AR124" i="33"/>
  <c r="AR116" i="33"/>
  <c r="AS123" i="33"/>
  <c r="AR115" i="33"/>
  <c r="AR123" i="33"/>
  <c r="AS116" i="33"/>
  <c r="F215" i="7"/>
  <c r="AR117" i="33"/>
  <c r="AS117" i="33"/>
  <c r="AT219" i="33"/>
  <c r="AT216" i="33"/>
  <c r="AT333" i="7"/>
  <c r="AT348" i="7" s="1"/>
  <c r="AT356" i="7" s="1"/>
  <c r="AV207" i="33"/>
  <c r="AV331" i="7"/>
  <c r="AW331" i="7" s="1"/>
  <c r="AY331" i="7" s="1"/>
  <c r="E85" i="1" s="1"/>
  <c r="X218" i="33"/>
  <c r="AV326" i="7"/>
  <c r="AW326" i="7" s="1"/>
  <c r="AY326" i="7" s="1"/>
  <c r="E80" i="1" s="1"/>
  <c r="X213" i="33"/>
  <c r="AV324" i="7"/>
  <c r="AW324" i="7" s="1"/>
  <c r="AY324" i="7" s="1"/>
  <c r="E78" i="1" s="1"/>
  <c r="X211" i="33"/>
  <c r="X184" i="33"/>
  <c r="AV330" i="7"/>
  <c r="AW330" i="7" s="1"/>
  <c r="AY330" i="7" s="1"/>
  <c r="E84" i="1" s="1"/>
  <c r="X217" i="33"/>
  <c r="AU217" i="33" s="1"/>
  <c r="AV217" i="33" s="1"/>
  <c r="AX217" i="33" s="1"/>
  <c r="AV321" i="7"/>
  <c r="AW321" i="7" s="1"/>
  <c r="AY321" i="7" s="1"/>
  <c r="E75" i="1" s="1"/>
  <c r="X209" i="33"/>
  <c r="AV329" i="7"/>
  <c r="AW329" i="7" s="1"/>
  <c r="AY329" i="7" s="1"/>
  <c r="E83" i="1" s="1"/>
  <c r="X216" i="33"/>
  <c r="AV322" i="7"/>
  <c r="AW322" i="7" s="1"/>
  <c r="AY322" i="7" s="1"/>
  <c r="X210" i="33"/>
  <c r="AV328" i="7"/>
  <c r="AW328" i="7" s="1"/>
  <c r="AY328" i="7" s="1"/>
  <c r="E82" i="1" s="1"/>
  <c r="X215" i="33"/>
  <c r="AV70" i="33"/>
  <c r="AV171" i="33"/>
  <c r="AX163" i="33"/>
  <c r="AX171" i="33" s="1"/>
  <c r="AV320" i="7"/>
  <c r="AW320" i="7" s="1"/>
  <c r="AY320" i="7" s="1"/>
  <c r="X333" i="7"/>
  <c r="AV332" i="7"/>
  <c r="AW332" i="7" s="1"/>
  <c r="AY332" i="7" s="1"/>
  <c r="E86" i="1" s="1"/>
  <c r="X219" i="33"/>
  <c r="AX70" i="33"/>
  <c r="AX87" i="33" s="1"/>
  <c r="AV325" i="7"/>
  <c r="AW325" i="7" s="1"/>
  <c r="AY325" i="7" s="1"/>
  <c r="E79" i="1" s="1"/>
  <c r="X212" i="33"/>
  <c r="AV327" i="7"/>
  <c r="AW327" i="7" s="1"/>
  <c r="AY327" i="7" s="1"/>
  <c r="E81" i="1" s="1"/>
  <c r="X214" i="33"/>
  <c r="E217" i="1"/>
  <c r="E56" i="1"/>
  <c r="T225" i="1"/>
  <c r="T213" i="1"/>
  <c r="E24" i="1"/>
  <c r="E393" i="1"/>
  <c r="E236" i="1"/>
  <c r="T236" i="1" s="1"/>
  <c r="E71" i="1"/>
  <c r="E364" i="1"/>
  <c r="AV138" i="33"/>
  <c r="AX128" i="33"/>
  <c r="AX138" i="33" s="1"/>
  <c r="X116" i="33"/>
  <c r="X123" i="33"/>
  <c r="X115" i="33"/>
  <c r="X124" i="33"/>
  <c r="X117" i="33"/>
  <c r="X125" i="33"/>
  <c r="X118" i="33"/>
  <c r="X126" i="33"/>
  <c r="X119" i="33"/>
  <c r="X122" i="33"/>
  <c r="X120" i="33"/>
  <c r="X121" i="33"/>
  <c r="BA94" i="7"/>
  <c r="AY118" i="7"/>
  <c r="AY142" i="7" s="1"/>
  <c r="AW118" i="7"/>
  <c r="E92" i="1"/>
  <c r="E139" i="1" s="1"/>
  <c r="AY323" i="7"/>
  <c r="AV280" i="7"/>
  <c r="AV295" i="7" s="1"/>
  <c r="AM333" i="7"/>
  <c r="E20" i="23"/>
  <c r="E16" i="23"/>
  <c r="D16" i="23"/>
  <c r="D20" i="23"/>
  <c r="F19" i="23"/>
  <c r="F16" i="23"/>
  <c r="F20" i="23"/>
  <c r="C16" i="23"/>
  <c r="C20" i="23"/>
  <c r="AN370" i="1"/>
  <c r="AO370" i="1"/>
  <c r="AY270" i="7"/>
  <c r="E29" i="1" s="1"/>
  <c r="AW280" i="7"/>
  <c r="AX280" i="7" s="1"/>
  <c r="F43" i="23"/>
  <c r="AV87" i="33" l="1"/>
  <c r="AU219" i="33"/>
  <c r="AV219" i="33" s="1"/>
  <c r="AX219" i="33" s="1"/>
  <c r="AU214" i="33"/>
  <c r="AV214" i="33" s="1"/>
  <c r="AX214" i="33" s="1"/>
  <c r="AU211" i="33"/>
  <c r="AV211" i="33" s="1"/>
  <c r="AX211" i="33" s="1"/>
  <c r="F226" i="7"/>
  <c r="F228" i="7" s="1"/>
  <c r="F236" i="7" s="1"/>
  <c r="F405" i="7" s="1"/>
  <c r="F408" i="7" s="1"/>
  <c r="AU216" i="33"/>
  <c r="AV216" i="33" s="1"/>
  <c r="AX216" i="33" s="1"/>
  <c r="E52" i="30"/>
  <c r="X251" i="33"/>
  <c r="E29" i="30"/>
  <c r="G29" i="30" s="1"/>
  <c r="W254" i="33"/>
  <c r="AT215" i="33"/>
  <c r="AU215" i="33" s="1"/>
  <c r="AV215" i="33" s="1"/>
  <c r="AX215" i="33" s="1"/>
  <c r="AU210" i="33"/>
  <c r="AV210" i="33" s="1"/>
  <c r="AX210" i="33" s="1"/>
  <c r="AR254" i="33"/>
  <c r="E58" i="30"/>
  <c r="E59" i="30"/>
  <c r="G59" i="30" s="1"/>
  <c r="AS254" i="33"/>
  <c r="AS127" i="33"/>
  <c r="AS146" i="33" s="1"/>
  <c r="AS155" i="33" s="1"/>
  <c r="AS157" i="33" s="1"/>
  <c r="AR127" i="33"/>
  <c r="AR146" i="33" s="1"/>
  <c r="AR155" i="33" s="1"/>
  <c r="AR157" i="33" s="1"/>
  <c r="G17" i="30"/>
  <c r="G22" i="30"/>
  <c r="G25" i="30"/>
  <c r="G16" i="30"/>
  <c r="G42" i="30"/>
  <c r="G41" i="30"/>
  <c r="G39" i="30"/>
  <c r="G61" i="30" s="1"/>
  <c r="G43" i="30"/>
  <c r="G27" i="30"/>
  <c r="G12" i="30"/>
  <c r="G20" i="30"/>
  <c r="G15" i="30"/>
  <c r="G19" i="30"/>
  <c r="G13" i="30"/>
  <c r="G21" i="30"/>
  <c r="G45" i="30"/>
  <c r="G26" i="30"/>
  <c r="G24" i="30"/>
  <c r="G28" i="30"/>
  <c r="G18" i="30"/>
  <c r="G14" i="30"/>
  <c r="G44" i="30"/>
  <c r="G40" i="30"/>
  <c r="AV172" i="33"/>
  <c r="AV184" i="33" s="1"/>
  <c r="AV197" i="33" s="1"/>
  <c r="G23" i="30"/>
  <c r="G46" i="30"/>
  <c r="AT380" i="7"/>
  <c r="AT382" i="7" s="1"/>
  <c r="D26" i="22"/>
  <c r="D22" i="22"/>
  <c r="AU212" i="33"/>
  <c r="AV212" i="33" s="1"/>
  <c r="AX212" i="33" s="1"/>
  <c r="AU218" i="33"/>
  <c r="AV218" i="33" s="1"/>
  <c r="AX218" i="33" s="1"/>
  <c r="AU209" i="33"/>
  <c r="AV209" i="33" s="1"/>
  <c r="AX209" i="33" s="1"/>
  <c r="AU213" i="33"/>
  <c r="AV213" i="33" s="1"/>
  <c r="AX213" i="33" s="1"/>
  <c r="J19" i="22"/>
  <c r="AT208" i="33"/>
  <c r="E48" i="30"/>
  <c r="E50" i="30"/>
  <c r="E49" i="30"/>
  <c r="X348" i="7"/>
  <c r="AV187" i="7"/>
  <c r="AW187" i="7" s="1"/>
  <c r="AW142" i="7"/>
  <c r="AX142" i="7" s="1"/>
  <c r="AX118" i="7"/>
  <c r="X197" i="33"/>
  <c r="X208" i="33"/>
  <c r="X220" i="33"/>
  <c r="AV190" i="7"/>
  <c r="AW190" i="7" s="1"/>
  <c r="AY190" i="7" s="1"/>
  <c r="AT126" i="33"/>
  <c r="AU126" i="33" s="1"/>
  <c r="AV126" i="33" s="1"/>
  <c r="AX126" i="33" s="1"/>
  <c r="AV199" i="7"/>
  <c r="AW199" i="7" s="1"/>
  <c r="AY199" i="7" s="1"/>
  <c r="E379" i="1" s="1"/>
  <c r="AT122" i="33"/>
  <c r="AU122" i="33" s="1"/>
  <c r="AV122" i="33" s="1"/>
  <c r="AX122" i="33" s="1"/>
  <c r="AV196" i="7"/>
  <c r="AW196" i="7" s="1"/>
  <c r="AY196" i="7" s="1"/>
  <c r="E376" i="1" s="1"/>
  <c r="AV192" i="7"/>
  <c r="AW192" i="7" s="1"/>
  <c r="AY192" i="7" s="1"/>
  <c r="E372" i="1" s="1"/>
  <c r="AT119" i="33"/>
  <c r="AU119" i="33" s="1"/>
  <c r="AV119" i="33" s="1"/>
  <c r="AX119" i="33" s="1"/>
  <c r="AT120" i="33"/>
  <c r="AU120" i="33" s="1"/>
  <c r="AV120" i="33" s="1"/>
  <c r="AX120" i="33" s="1"/>
  <c r="T71" i="1"/>
  <c r="T24" i="1"/>
  <c r="T189" i="1" s="1"/>
  <c r="E102" i="1"/>
  <c r="E228" i="1"/>
  <c r="E253" i="1" s="1"/>
  <c r="E254" i="1" s="1"/>
  <c r="E41" i="1"/>
  <c r="E58" i="1" s="1"/>
  <c r="E144" i="1" s="1"/>
  <c r="AV191" i="7"/>
  <c r="AW191" i="7" s="1"/>
  <c r="AY191" i="7" s="1"/>
  <c r="E371" i="1" s="1"/>
  <c r="AS200" i="7"/>
  <c r="AS215" i="7" s="1"/>
  <c r="AS226" i="7" s="1"/>
  <c r="AS228" i="7" s="1"/>
  <c r="AS236" i="7" s="1"/>
  <c r="AS405" i="7" s="1"/>
  <c r="AS408" i="7" s="1"/>
  <c r="AV195" i="7"/>
  <c r="AW195" i="7" s="1"/>
  <c r="AY195" i="7" s="1"/>
  <c r="E375" i="1" s="1"/>
  <c r="AT123" i="33"/>
  <c r="AU123" i="33" s="1"/>
  <c r="AV123" i="33" s="1"/>
  <c r="AX123" i="33" s="1"/>
  <c r="AT124" i="33"/>
  <c r="AU124" i="33" s="1"/>
  <c r="AV124" i="33" s="1"/>
  <c r="AX124" i="33" s="1"/>
  <c r="AV197" i="7"/>
  <c r="AW197" i="7" s="1"/>
  <c r="AY197" i="7" s="1"/>
  <c r="E377" i="1" s="1"/>
  <c r="X200" i="7"/>
  <c r="X215" i="7" s="1"/>
  <c r="X226" i="7" s="1"/>
  <c r="X228" i="7" s="1"/>
  <c r="X236" i="7" s="1"/>
  <c r="X405" i="7" s="1"/>
  <c r="X408" i="7" s="1"/>
  <c r="AT115" i="33"/>
  <c r="AU115" i="33" s="1"/>
  <c r="AV115" i="33" s="1"/>
  <c r="AX115" i="33" s="1"/>
  <c r="AT117" i="33"/>
  <c r="AU117" i="33" s="1"/>
  <c r="AV117" i="33" s="1"/>
  <c r="AX117" i="33" s="1"/>
  <c r="AT200" i="7"/>
  <c r="AT215" i="7" s="1"/>
  <c r="AT226" i="7" s="1"/>
  <c r="AT228" i="7" s="1"/>
  <c r="AT236" i="7" s="1"/>
  <c r="AT405" i="7" s="1"/>
  <c r="AT408" i="7" s="1"/>
  <c r="AT125" i="33"/>
  <c r="AU125" i="33" s="1"/>
  <c r="AV125" i="33" s="1"/>
  <c r="AX125" i="33" s="1"/>
  <c r="AT121" i="33"/>
  <c r="AU121" i="33" s="1"/>
  <c r="AV121" i="33" s="1"/>
  <c r="AX121" i="33" s="1"/>
  <c r="AT118" i="33"/>
  <c r="AU118" i="33" s="1"/>
  <c r="AV118" i="33" s="1"/>
  <c r="AX118" i="33" s="1"/>
  <c r="AT116" i="33"/>
  <c r="AU116" i="33" s="1"/>
  <c r="AV116" i="33" s="1"/>
  <c r="AX116" i="33" s="1"/>
  <c r="AV193" i="7"/>
  <c r="AW193" i="7" s="1"/>
  <c r="AY193" i="7" s="1"/>
  <c r="E373" i="1" s="1"/>
  <c r="AV189" i="7"/>
  <c r="AW189" i="7" s="1"/>
  <c r="AY189" i="7" s="1"/>
  <c r="AV188" i="7"/>
  <c r="AW188" i="7" s="1"/>
  <c r="AY188" i="7" s="1"/>
  <c r="E368" i="1" s="1"/>
  <c r="AV198" i="7"/>
  <c r="AW198" i="7" s="1"/>
  <c r="AY198" i="7" s="1"/>
  <c r="E378" i="1" s="1"/>
  <c r="AV194" i="7"/>
  <c r="AW194" i="7" s="1"/>
  <c r="AL200" i="7"/>
  <c r="AL215" i="7" s="1"/>
  <c r="AL226" i="7" s="1"/>
  <c r="AL228" i="7" s="1"/>
  <c r="AL236" i="7" s="1"/>
  <c r="AL405" i="7" s="1"/>
  <c r="AL408" i="7" s="1"/>
  <c r="AM348" i="7"/>
  <c r="E76" i="1"/>
  <c r="AO76" i="1" s="1"/>
  <c r="AM200" i="7"/>
  <c r="F46" i="23"/>
  <c r="F47" i="23"/>
  <c r="F48" i="23"/>
  <c r="AA28" i="1"/>
  <c r="AY280" i="7"/>
  <c r="AY295" i="7" s="1"/>
  <c r="F21" i="23"/>
  <c r="H35" i="22"/>
  <c r="H37" i="22" s="1"/>
  <c r="H82" i="21" s="1"/>
  <c r="H83" i="21" s="1"/>
  <c r="H21" i="22" s="1"/>
  <c r="H27" i="22" s="1"/>
  <c r="F10" i="23" s="1"/>
  <c r="AV333" i="7"/>
  <c r="AV348" i="7" s="1"/>
  <c r="AW295" i="7"/>
  <c r="AX295" i="7" s="1"/>
  <c r="E43" i="23"/>
  <c r="E47" i="23"/>
  <c r="E48" i="23"/>
  <c r="B19" i="23"/>
  <c r="J33" i="22"/>
  <c r="D48" i="23"/>
  <c r="D47" i="23"/>
  <c r="D43" i="23"/>
  <c r="G35" i="22"/>
  <c r="G37" i="22" s="1"/>
  <c r="G82" i="21" s="1"/>
  <c r="G83" i="21" s="1"/>
  <c r="G21" i="22" s="1"/>
  <c r="G26" i="22" s="1"/>
  <c r="E9" i="23" s="1"/>
  <c r="E19" i="23"/>
  <c r="E21" i="23" s="1"/>
  <c r="C43" i="23"/>
  <c r="C47" i="23"/>
  <c r="C48" i="23"/>
  <c r="B16" i="23"/>
  <c r="C19" i="23"/>
  <c r="C21" i="23" s="1"/>
  <c r="E35" i="22"/>
  <c r="E37" i="22" s="1"/>
  <c r="B20" i="23"/>
  <c r="J34" i="22"/>
  <c r="D19" i="23"/>
  <c r="D21" i="23" s="1"/>
  <c r="F35" i="22"/>
  <c r="F37" i="22" s="1"/>
  <c r="F82" i="21" s="1"/>
  <c r="F83" i="21" s="1"/>
  <c r="F21" i="22" s="1"/>
  <c r="F26" i="22" s="1"/>
  <c r="D9" i="23" s="1"/>
  <c r="AT220" i="33" l="1"/>
  <c r="AT237" i="33" s="1"/>
  <c r="AT251" i="33" s="1"/>
  <c r="X254" i="33"/>
  <c r="W255" i="33"/>
  <c r="D52" i="30"/>
  <c r="G52" i="30" s="1"/>
  <c r="F52" i="30"/>
  <c r="F58" i="30"/>
  <c r="AR255" i="33"/>
  <c r="F59" i="30"/>
  <c r="AS255" i="33"/>
  <c r="AX172" i="33"/>
  <c r="AX184" i="33" s="1"/>
  <c r="AX197" i="33" s="1"/>
  <c r="F25" i="22"/>
  <c r="F27" i="22"/>
  <c r="D10" i="23" s="1"/>
  <c r="H25" i="22"/>
  <c r="F8" i="23" s="1"/>
  <c r="G22" i="22"/>
  <c r="F22" i="22"/>
  <c r="G27" i="22"/>
  <c r="E10" i="23" s="1"/>
  <c r="H26" i="22"/>
  <c r="F9" i="23" s="1"/>
  <c r="F11" i="23" s="1"/>
  <c r="E82" i="21"/>
  <c r="J37" i="22"/>
  <c r="G25" i="22"/>
  <c r="H22" i="22"/>
  <c r="AU208" i="33"/>
  <c r="AV208" i="33" s="1"/>
  <c r="AT254" i="33"/>
  <c r="G16" i="23"/>
  <c r="D48" i="30"/>
  <c r="G48" i="30" s="1"/>
  <c r="F48" i="30"/>
  <c r="X356" i="7"/>
  <c r="X380" i="7" s="1"/>
  <c r="X382" i="7" s="1"/>
  <c r="G20" i="23"/>
  <c r="F27" i="23" s="1"/>
  <c r="X237" i="33"/>
  <c r="AM356" i="7"/>
  <c r="AM380" i="7" s="1"/>
  <c r="AM382" i="7" s="1"/>
  <c r="T202" i="1"/>
  <c r="T186" i="1"/>
  <c r="T192" i="1"/>
  <c r="T362" i="1"/>
  <c r="T357" i="1"/>
  <c r="T199" i="1"/>
  <c r="T191" i="1"/>
  <c r="T193" i="1"/>
  <c r="T428" i="1"/>
  <c r="T185" i="1"/>
  <c r="T360" i="1"/>
  <c r="T363" i="1"/>
  <c r="T347" i="1"/>
  <c r="T200" i="1"/>
  <c r="T183" i="1"/>
  <c r="T197" i="1"/>
  <c r="T361" i="1"/>
  <c r="T359" i="1"/>
  <c r="T187" i="1"/>
  <c r="T184" i="1"/>
  <c r="T198" i="1"/>
  <c r="T196" i="1"/>
  <c r="T356" i="1"/>
  <c r="T358" i="1"/>
  <c r="T190" i="1"/>
  <c r="T188" i="1"/>
  <c r="T201" i="1"/>
  <c r="T195" i="1"/>
  <c r="T123" i="1"/>
  <c r="E344" i="1"/>
  <c r="E345" i="1" s="1"/>
  <c r="G19" i="23"/>
  <c r="BA280" i="7"/>
  <c r="BB280" i="7" s="1"/>
  <c r="AY194" i="7"/>
  <c r="AW200" i="7"/>
  <c r="AX200" i="7" s="1"/>
  <c r="D50" i="30"/>
  <c r="G50" i="30" s="1"/>
  <c r="F50" i="30"/>
  <c r="D58" i="30"/>
  <c r="G58" i="30" s="1"/>
  <c r="D51" i="30"/>
  <c r="F51" i="30"/>
  <c r="AT114" i="33"/>
  <c r="X114" i="33"/>
  <c r="AM215" i="7"/>
  <c r="AM226" i="7" s="1"/>
  <c r="AM228" i="7" s="1"/>
  <c r="AM236" i="7" s="1"/>
  <c r="AN76" i="1"/>
  <c r="E369" i="1"/>
  <c r="AV200" i="7"/>
  <c r="AY187" i="7"/>
  <c r="AV356" i="7"/>
  <c r="AV380" i="7" s="1"/>
  <c r="F49" i="23"/>
  <c r="F39" i="23"/>
  <c r="AN30" i="1"/>
  <c r="AO30" i="1"/>
  <c r="Z209" i="1"/>
  <c r="Y209" i="1"/>
  <c r="AC209" i="1"/>
  <c r="U209" i="1"/>
  <c r="AD209" i="1"/>
  <c r="AB209" i="1"/>
  <c r="AH209" i="1"/>
  <c r="AF209" i="1"/>
  <c r="V209" i="1"/>
  <c r="AE209" i="1"/>
  <c r="AG209" i="1"/>
  <c r="AA209" i="1"/>
  <c r="AW333" i="7"/>
  <c r="AX333" i="7" s="1"/>
  <c r="AY333" i="7"/>
  <c r="AY348" i="7" s="1"/>
  <c r="AY356" i="7" s="1"/>
  <c r="AY380" i="7" s="1"/>
  <c r="B48" i="23"/>
  <c r="B47" i="23"/>
  <c r="B46" i="23"/>
  <c r="E8" i="23"/>
  <c r="D46" i="23"/>
  <c r="D49" i="23" s="1"/>
  <c r="B43" i="23"/>
  <c r="B21" i="23"/>
  <c r="C46" i="23"/>
  <c r="C49" i="23" s="1"/>
  <c r="D8" i="23"/>
  <c r="E46" i="23"/>
  <c r="E49" i="23" s="1"/>
  <c r="J35" i="22"/>
  <c r="AU220" i="33" l="1"/>
  <c r="AU237" i="33" s="1"/>
  <c r="AU251" i="33" s="1"/>
  <c r="F29" i="30"/>
  <c r="G51" i="30"/>
  <c r="AV382" i="7"/>
  <c r="F28" i="22"/>
  <c r="F31" i="22" s="1"/>
  <c r="F39" i="22" s="1"/>
  <c r="D11" i="23"/>
  <c r="D17" i="23" s="1"/>
  <c r="D23" i="23" s="1"/>
  <c r="H28" i="22"/>
  <c r="H31" i="22" s="1"/>
  <c r="H39" i="22" s="1"/>
  <c r="E83" i="21"/>
  <c r="I82" i="21"/>
  <c r="E11" i="23"/>
  <c r="E17" i="23" s="1"/>
  <c r="E23" i="23" s="1"/>
  <c r="G28" i="22"/>
  <c r="G31" i="22" s="1"/>
  <c r="G39" i="22" s="1"/>
  <c r="F17" i="23"/>
  <c r="F23" i="23" s="1"/>
  <c r="G21" i="23"/>
  <c r="AY200" i="7"/>
  <c r="BA200" i="7" s="1"/>
  <c r="BB200" i="7" s="1"/>
  <c r="BB213" i="7" s="1"/>
  <c r="BB224" i="7" s="1"/>
  <c r="E31" i="30"/>
  <c r="AU254" i="33"/>
  <c r="AV254" i="33" s="1"/>
  <c r="AX254" i="33" s="1"/>
  <c r="AV220" i="33"/>
  <c r="AV237" i="33" s="1"/>
  <c r="AV251" i="33" s="1"/>
  <c r="AX208" i="33"/>
  <c r="AX220" i="33" s="1"/>
  <c r="AX237" i="33" s="1"/>
  <c r="AX251" i="33" s="1"/>
  <c r="T194" i="1"/>
  <c r="T203" i="1"/>
  <c r="BA295" i="7"/>
  <c r="BB295" i="7" s="1"/>
  <c r="E59" i="1"/>
  <c r="T364" i="1"/>
  <c r="BA380" i="7"/>
  <c r="E374" i="1"/>
  <c r="BA333" i="7"/>
  <c r="X127" i="33"/>
  <c r="AU114" i="33"/>
  <c r="AT127" i="33"/>
  <c r="AT146" i="33" s="1"/>
  <c r="AT155" i="33" s="1"/>
  <c r="AT157" i="33" s="1"/>
  <c r="AT253" i="33" s="1"/>
  <c r="D49" i="30"/>
  <c r="AT255" i="33"/>
  <c r="AV215" i="7"/>
  <c r="AV226" i="7" s="1"/>
  <c r="AV228" i="7" s="1"/>
  <c r="H42" i="3"/>
  <c r="I42" i="3"/>
  <c r="AM405" i="7"/>
  <c r="AM408" i="7" s="1"/>
  <c r="AV408" i="7" s="1"/>
  <c r="F40" i="23"/>
  <c r="F41" i="23" s="1"/>
  <c r="F44" i="23" s="1"/>
  <c r="F51" i="23" s="1"/>
  <c r="G43" i="23"/>
  <c r="E367" i="1"/>
  <c r="AA77" i="1"/>
  <c r="AA370" i="1"/>
  <c r="E74" i="1"/>
  <c r="Z77" i="1"/>
  <c r="Z370" i="1"/>
  <c r="AW348" i="7"/>
  <c r="AX348" i="7" s="1"/>
  <c r="G47" i="23"/>
  <c r="C40" i="23"/>
  <c r="G48" i="23"/>
  <c r="D40" i="23"/>
  <c r="E40" i="23"/>
  <c r="C39" i="23"/>
  <c r="G46" i="23"/>
  <c r="D39" i="23"/>
  <c r="E39" i="23"/>
  <c r="B49" i="23"/>
  <c r="E21" i="22" l="1"/>
  <c r="E22" i="22" s="1"/>
  <c r="I83" i="21"/>
  <c r="T204" i="1"/>
  <c r="F55" i="23"/>
  <c r="E87" i="1"/>
  <c r="T369" i="1"/>
  <c r="T76" i="1"/>
  <c r="T40" i="1"/>
  <c r="T209" i="1"/>
  <c r="T219" i="1"/>
  <c r="T220" i="1"/>
  <c r="T27" i="1"/>
  <c r="T28" i="1"/>
  <c r="E380" i="1"/>
  <c r="F49" i="30"/>
  <c r="F61" i="30" s="1"/>
  <c r="AU127" i="33"/>
  <c r="AU146" i="33" s="1"/>
  <c r="AU155" i="33" s="1"/>
  <c r="AU157" i="33" s="1"/>
  <c r="AU253" i="33" s="1"/>
  <c r="AV114" i="33"/>
  <c r="G49" i="30"/>
  <c r="X146" i="33"/>
  <c r="AV236" i="7"/>
  <c r="AW215" i="7"/>
  <c r="AX215" i="7" s="1"/>
  <c r="AY215" i="7"/>
  <c r="C41" i="23"/>
  <c r="C44" i="23" s="1"/>
  <c r="C51" i="23" s="1"/>
  <c r="E41" i="23"/>
  <c r="E44" i="23" s="1"/>
  <c r="E51" i="23" s="1"/>
  <c r="AW356" i="7"/>
  <c r="AX356" i="7" s="1"/>
  <c r="BA348" i="7"/>
  <c r="D41" i="23"/>
  <c r="D44" i="23" s="1"/>
  <c r="D51" i="23" s="1"/>
  <c r="B40" i="23"/>
  <c r="G49" i="23"/>
  <c r="B39" i="23"/>
  <c r="E25" i="22" l="1"/>
  <c r="E27" i="22"/>
  <c r="C10" i="23" s="1"/>
  <c r="J21" i="22"/>
  <c r="J22" i="22" s="1"/>
  <c r="E26" i="22"/>
  <c r="C9" i="23" s="1"/>
  <c r="E89" i="1"/>
  <c r="E104" i="1"/>
  <c r="T379" i="1"/>
  <c r="T86" i="1"/>
  <c r="E395" i="1"/>
  <c r="T368" i="1"/>
  <c r="T75" i="1"/>
  <c r="T74" i="1"/>
  <c r="T367" i="1"/>
  <c r="T41" i="1"/>
  <c r="T109" i="1" s="1"/>
  <c r="AY226" i="7"/>
  <c r="BA226" i="7" s="1"/>
  <c r="AV127" i="33"/>
  <c r="AV146" i="33" s="1"/>
  <c r="AV155" i="33" s="1"/>
  <c r="AV157" i="33" s="1"/>
  <c r="AV253" i="33" s="1"/>
  <c r="AX114" i="33"/>
  <c r="AX127" i="33" s="1"/>
  <c r="AX146" i="33" s="1"/>
  <c r="AX155" i="33" s="1"/>
  <c r="AX157" i="33" s="1"/>
  <c r="X155" i="33"/>
  <c r="AW380" i="7"/>
  <c r="AX380" i="7" s="1"/>
  <c r="AW226" i="7"/>
  <c r="AX226" i="7" s="1"/>
  <c r="BA356" i="7"/>
  <c r="B41" i="23"/>
  <c r="B44" i="23" s="1"/>
  <c r="B51" i="23" s="1"/>
  <c r="G40" i="23"/>
  <c r="G39" i="23"/>
  <c r="E28" i="22" l="1"/>
  <c r="E31" i="22" s="1"/>
  <c r="E39" i="22" s="1"/>
  <c r="C8" i="23"/>
  <c r="C11" i="23" s="1"/>
  <c r="C17" i="23" s="1"/>
  <c r="C23" i="23" s="1"/>
  <c r="BB356" i="7"/>
  <c r="BB346" i="7"/>
  <c r="BB348" i="7"/>
  <c r="AY228" i="7"/>
  <c r="AY236" i="7" s="1"/>
  <c r="T87" i="1"/>
  <c r="T380" i="1"/>
  <c r="E406" i="1"/>
  <c r="E408" i="1" s="1"/>
  <c r="T207" i="1"/>
  <c r="T400" i="1"/>
  <c r="T10" i="1"/>
  <c r="T218" i="1"/>
  <c r="T226" i="1"/>
  <c r="T348" i="1"/>
  <c r="T426" i="1"/>
  <c r="X157" i="33"/>
  <c r="X253" i="33" s="1"/>
  <c r="X255" i="33"/>
  <c r="AU255" i="33" s="1"/>
  <c r="AV255" i="33" s="1"/>
  <c r="AX255" i="33" s="1"/>
  <c r="AW228" i="7"/>
  <c r="AX228" i="7" s="1"/>
  <c r="G41" i="23"/>
  <c r="G44" i="23" s="1"/>
  <c r="G51" i="23" s="1"/>
  <c r="H40" i="23" s="1"/>
  <c r="T227" i="1" l="1"/>
  <c r="T216" i="1" s="1"/>
  <c r="E419" i="1"/>
  <c r="E420" i="1" s="1"/>
  <c r="F31" i="30"/>
  <c r="F63" i="30" s="1"/>
  <c r="AX253" i="33"/>
  <c r="D31" i="30"/>
  <c r="D63" i="30" s="1"/>
  <c r="G31" i="30"/>
  <c r="G63" i="30" s="1"/>
  <c r="AW236" i="7"/>
  <c r="AX236" i="7" s="1"/>
  <c r="H48" i="23"/>
  <c r="H39" i="23"/>
  <c r="H41" i="23" s="1"/>
  <c r="H43" i="23"/>
  <c r="H47" i="23"/>
  <c r="E55" i="23"/>
  <c r="G55" i="23" s="1"/>
  <c r="H56" i="23" s="1"/>
  <c r="H46" i="23"/>
  <c r="G52" i="23"/>
  <c r="T215" i="1" l="1"/>
  <c r="T217" i="1" s="1"/>
  <c r="T228" i="1" s="1"/>
  <c r="T253" i="1" s="1"/>
  <c r="T254" i="1" s="1"/>
  <c r="H44" i="23"/>
  <c r="H55" i="23"/>
  <c r="H49" i="23"/>
  <c r="H51" i="23" l="1"/>
  <c r="H52" i="23" s="1"/>
  <c r="X209" i="1"/>
  <c r="X369" i="1"/>
  <c r="X76" i="1"/>
  <c r="W370" i="1"/>
  <c r="W77" i="1"/>
  <c r="AM30" i="1"/>
  <c r="R370" i="1"/>
  <c r="AI30" i="1"/>
  <c r="AL30" i="1"/>
  <c r="R77" i="1"/>
  <c r="AK30" i="1" l="1"/>
  <c r="F18" i="3" l="1"/>
  <c r="S369" i="1" l="1"/>
  <c r="S76" i="1"/>
  <c r="S209" i="1"/>
  <c r="AI31" i="1" l="1"/>
  <c r="E28" i="6"/>
  <c r="F28" i="6"/>
  <c r="G28" i="6"/>
  <c r="H28" i="6"/>
  <c r="D28" i="6"/>
  <c r="E17" i="6"/>
  <c r="F17" i="6"/>
  <c r="G17" i="6"/>
  <c r="H17" i="6"/>
  <c r="D17" i="6"/>
  <c r="AL31" i="1" l="1"/>
  <c r="AI370" i="1"/>
  <c r="AL370" i="1"/>
  <c r="AM370" i="1"/>
  <c r="AK370" i="1" l="1"/>
  <c r="E5" i="3" l="1"/>
  <c r="E33" i="6" l="1"/>
  <c r="F33" i="6"/>
  <c r="G33" i="6"/>
  <c r="H33" i="6"/>
  <c r="D33" i="6"/>
  <c r="C33" i="6" l="1"/>
  <c r="J33" i="6" s="1"/>
  <c r="E138" i="1" l="1"/>
  <c r="T138" i="1" s="1" a="1"/>
  <c r="T138" i="1" s="1"/>
  <c r="A427" i="1" l="1"/>
  <c r="N4" i="1"/>
  <c r="M4" i="1"/>
  <c r="L4" i="1"/>
  <c r="K4" i="1"/>
  <c r="J4" i="1"/>
  <c r="S27" i="1"/>
  <c r="S367" i="1" s="1"/>
  <c r="S28" i="1"/>
  <c r="S75" i="1" s="1"/>
  <c r="S40" i="1"/>
  <c r="S86" i="1" s="1"/>
  <c r="U27" i="1"/>
  <c r="U74" i="1" s="1"/>
  <c r="U28" i="1"/>
  <c r="U75" i="1" s="1"/>
  <c r="U40" i="1"/>
  <c r="U86" i="1" s="1"/>
  <c r="V27" i="1"/>
  <c r="V367" i="1" s="1"/>
  <c r="V28" i="1"/>
  <c r="V75" i="1" s="1"/>
  <c r="V40" i="1"/>
  <c r="V86" i="1" s="1"/>
  <c r="Y27" i="1"/>
  <c r="Y367" i="1" s="1"/>
  <c r="Y28" i="1"/>
  <c r="Y75" i="1" s="1"/>
  <c r="Y40" i="1"/>
  <c r="Y379" i="1" s="1"/>
  <c r="Z27" i="1"/>
  <c r="Z367" i="1" s="1"/>
  <c r="Z28" i="1"/>
  <c r="Z75" i="1" s="1"/>
  <c r="Z40" i="1"/>
  <c r="Z86" i="1" s="1"/>
  <c r="AA75" i="1"/>
  <c r="AB27" i="1"/>
  <c r="AB367" i="1" s="1"/>
  <c r="AB28" i="1"/>
  <c r="AB40" i="1"/>
  <c r="AB86" i="1" s="1"/>
  <c r="AC27" i="1"/>
  <c r="AC74" i="1" s="1"/>
  <c r="AC28" i="1"/>
  <c r="AC75" i="1" s="1"/>
  <c r="AC40" i="1"/>
  <c r="AC86" i="1" s="1"/>
  <c r="AD27" i="1"/>
  <c r="AD367" i="1" s="1"/>
  <c r="AD28" i="1"/>
  <c r="AD75" i="1" s="1"/>
  <c r="AD40" i="1"/>
  <c r="AD86" i="1" s="1"/>
  <c r="AE27" i="1"/>
  <c r="AE367" i="1" s="1"/>
  <c r="AE28" i="1"/>
  <c r="AE75" i="1" s="1"/>
  <c r="AE40" i="1"/>
  <c r="AE379" i="1" s="1"/>
  <c r="AF27" i="1"/>
  <c r="AF367" i="1" s="1"/>
  <c r="AF28" i="1"/>
  <c r="AF75" i="1" s="1"/>
  <c r="AF40" i="1"/>
  <c r="AF86" i="1" s="1"/>
  <c r="AG27" i="1"/>
  <c r="AG74" i="1" s="1"/>
  <c r="AG28" i="1"/>
  <c r="AG75" i="1" s="1"/>
  <c r="AG40" i="1"/>
  <c r="AH27" i="1"/>
  <c r="AH367" i="1" s="1"/>
  <c r="AO367" i="1" s="1"/>
  <c r="AH28" i="1"/>
  <c r="AH75" i="1" s="1"/>
  <c r="AO75" i="1" s="1"/>
  <c r="AH40" i="1"/>
  <c r="AH86" i="1" s="1"/>
  <c r="AO86" i="1" s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BY209" i="1"/>
  <c r="CA209" i="1"/>
  <c r="CB209" i="1"/>
  <c r="CD209" i="1"/>
  <c r="CF209" i="1"/>
  <c r="CH209" i="1"/>
  <c r="R225" i="1"/>
  <c r="BS225" i="1" s="1"/>
  <c r="R213" i="1"/>
  <c r="BS213" i="1" s="1"/>
  <c r="BU225" i="1"/>
  <c r="BU213" i="1"/>
  <c r="W225" i="1"/>
  <c r="BX225" i="1" s="1"/>
  <c r="W213" i="1"/>
  <c r="BX213" i="1" s="1"/>
  <c r="X219" i="1"/>
  <c r="BY219" i="1" s="1"/>
  <c r="X220" i="1"/>
  <c r="BY220" i="1" s="1"/>
  <c r="X225" i="1"/>
  <c r="BY225" i="1" s="1"/>
  <c r="X213" i="1"/>
  <c r="BY213" i="1" s="1"/>
  <c r="S219" i="1"/>
  <c r="BT219" i="1" s="1"/>
  <c r="S220" i="1"/>
  <c r="BT220" i="1" s="1"/>
  <c r="S225" i="1"/>
  <c r="BT225" i="1" s="1"/>
  <c r="S213" i="1"/>
  <c r="BT213" i="1" s="1"/>
  <c r="U219" i="1"/>
  <c r="BV219" i="1" s="1"/>
  <c r="U220" i="1"/>
  <c r="BV220" i="1" s="1"/>
  <c r="U225" i="1"/>
  <c r="BV225" i="1" s="1"/>
  <c r="U213" i="1"/>
  <c r="BV213" i="1" s="1"/>
  <c r="V219" i="1"/>
  <c r="BW219" i="1" s="1"/>
  <c r="V220" i="1"/>
  <c r="BW220" i="1" s="1"/>
  <c r="V225" i="1"/>
  <c r="BW225" i="1" s="1"/>
  <c r="V213" i="1"/>
  <c r="BW213" i="1" s="1"/>
  <c r="Y219" i="1"/>
  <c r="BZ219" i="1" s="1"/>
  <c r="Y220" i="1"/>
  <c r="BZ220" i="1" s="1"/>
  <c r="Y225" i="1"/>
  <c r="BZ225" i="1" s="1"/>
  <c r="Y213" i="1"/>
  <c r="BZ213" i="1" s="1"/>
  <c r="Z219" i="1"/>
  <c r="CA219" i="1" s="1"/>
  <c r="Z220" i="1"/>
  <c r="CA220" i="1" s="1"/>
  <c r="Z225" i="1"/>
  <c r="CA225" i="1" s="1"/>
  <c r="Z213" i="1"/>
  <c r="CA213" i="1" s="1"/>
  <c r="AA219" i="1"/>
  <c r="CB219" i="1" s="1"/>
  <c r="AA220" i="1"/>
  <c r="CB220" i="1" s="1"/>
  <c r="AA225" i="1"/>
  <c r="CB225" i="1" s="1"/>
  <c r="AA213" i="1"/>
  <c r="CB213" i="1" s="1"/>
  <c r="AB219" i="1"/>
  <c r="CC219" i="1" s="1"/>
  <c r="AB220" i="1"/>
  <c r="CC220" i="1" s="1"/>
  <c r="AB225" i="1"/>
  <c r="CC225" i="1" s="1"/>
  <c r="AB213" i="1"/>
  <c r="CC213" i="1" s="1"/>
  <c r="AC219" i="1"/>
  <c r="CD219" i="1" s="1"/>
  <c r="AC220" i="1"/>
  <c r="CD220" i="1" s="1"/>
  <c r="AC225" i="1"/>
  <c r="CD225" i="1" s="1"/>
  <c r="AC213" i="1"/>
  <c r="CD213" i="1" s="1"/>
  <c r="AD219" i="1"/>
  <c r="CE219" i="1" s="1"/>
  <c r="AD220" i="1"/>
  <c r="CE220" i="1" s="1"/>
  <c r="AD225" i="1"/>
  <c r="CE225" i="1" s="1"/>
  <c r="AD213" i="1"/>
  <c r="CE213" i="1" s="1"/>
  <c r="AE219" i="1"/>
  <c r="CF219" i="1" s="1"/>
  <c r="AE220" i="1"/>
  <c r="CF220" i="1" s="1"/>
  <c r="AE225" i="1"/>
  <c r="CF225" i="1" s="1"/>
  <c r="AE213" i="1"/>
  <c r="CF213" i="1" s="1"/>
  <c r="AF219" i="1"/>
  <c r="CG219" i="1" s="1"/>
  <c r="AF220" i="1"/>
  <c r="CG220" i="1" s="1"/>
  <c r="AF225" i="1"/>
  <c r="CG225" i="1" s="1"/>
  <c r="AF213" i="1"/>
  <c r="CG213" i="1" s="1"/>
  <c r="AG219" i="1"/>
  <c r="CH219" i="1" s="1"/>
  <c r="AG220" i="1"/>
  <c r="CH220" i="1" s="1"/>
  <c r="AG225" i="1"/>
  <c r="CH225" i="1" s="1"/>
  <c r="AG213" i="1"/>
  <c r="CH213" i="1" s="1"/>
  <c r="AH219" i="1"/>
  <c r="AO219" i="1" s="1"/>
  <c r="AH220" i="1"/>
  <c r="AO220" i="1" s="1"/>
  <c r="AH225" i="1"/>
  <c r="AO225" i="1" s="1"/>
  <c r="AH213" i="1"/>
  <c r="CI213" i="1" s="1"/>
  <c r="R236" i="1"/>
  <c r="CM172" i="1"/>
  <c r="BT209" i="1"/>
  <c r="BV209" i="1"/>
  <c r="BW209" i="1"/>
  <c r="BZ209" i="1"/>
  <c r="CC209" i="1"/>
  <c r="CE209" i="1"/>
  <c r="CG209" i="1"/>
  <c r="CI209" i="1"/>
  <c r="A2" i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F63" i="1" s="1"/>
  <c r="A17" i="1"/>
  <c r="A18" i="1"/>
  <c r="F65" i="1" s="1"/>
  <c r="A19" i="1"/>
  <c r="A20" i="1"/>
  <c r="F67" i="1" s="1"/>
  <c r="A21" i="1"/>
  <c r="F68" i="1" s="1"/>
  <c r="A22" i="1"/>
  <c r="F69" i="1" s="1"/>
  <c r="A23" i="1"/>
  <c r="F70" i="1" s="1"/>
  <c r="A24" i="1"/>
  <c r="A25" i="1"/>
  <c r="A26" i="1"/>
  <c r="A27" i="1"/>
  <c r="F74" i="1" s="1"/>
  <c r="A28" i="1"/>
  <c r="F75" i="1" s="1"/>
  <c r="A29" i="1"/>
  <c r="F369" i="1" s="1"/>
  <c r="A31" i="1"/>
  <c r="A32" i="1"/>
  <c r="F371" i="1" s="1"/>
  <c r="A33" i="1"/>
  <c r="F79" i="1" s="1"/>
  <c r="A34" i="1"/>
  <c r="F80" i="1" s="1"/>
  <c r="A35" i="1"/>
  <c r="A36" i="1"/>
  <c r="F82" i="1" s="1"/>
  <c r="A37" i="1"/>
  <c r="F83" i="1" s="1"/>
  <c r="A38" i="1"/>
  <c r="A39" i="1"/>
  <c r="F222" i="1" s="1"/>
  <c r="CK222" i="1" s="1"/>
  <c r="A40" i="1"/>
  <c r="F379" i="1" s="1"/>
  <c r="A41" i="1"/>
  <c r="F218" i="1" s="1"/>
  <c r="CK218" i="1" s="1"/>
  <c r="A42" i="1"/>
  <c r="A43" i="1"/>
  <c r="A44" i="1"/>
  <c r="A45" i="1"/>
  <c r="A46" i="1"/>
  <c r="F92" i="1" s="1"/>
  <c r="A47" i="1"/>
  <c r="F93" i="1" s="1"/>
  <c r="A48" i="1"/>
  <c r="F94" i="1" s="1"/>
  <c r="A49" i="1"/>
  <c r="F387" i="1" s="1"/>
  <c r="A50" i="1"/>
  <c r="A51" i="1"/>
  <c r="F389" i="1" s="1"/>
  <c r="A52" i="1"/>
  <c r="A53" i="1"/>
  <c r="F391" i="1" s="1"/>
  <c r="A54" i="1"/>
  <c r="F100" i="1" s="1"/>
  <c r="A55" i="1"/>
  <c r="F101" i="1" s="1"/>
  <c r="A56" i="1"/>
  <c r="A57" i="1"/>
  <c r="A58" i="1"/>
  <c r="K10" i="4" s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K13" i="4" s="1"/>
  <c r="A72" i="1"/>
  <c r="A73" i="1"/>
  <c r="A74" i="1"/>
  <c r="A75" i="1"/>
  <c r="A77" i="1"/>
  <c r="A78" i="1"/>
  <c r="A79" i="1"/>
  <c r="A80" i="1"/>
  <c r="A81" i="1"/>
  <c r="A82" i="1"/>
  <c r="A83" i="1"/>
  <c r="A84" i="1"/>
  <c r="A85" i="1"/>
  <c r="A86" i="1"/>
  <c r="A87" i="1"/>
  <c r="K14" i="4" s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K16" i="4" s="1"/>
  <c r="A103" i="1"/>
  <c r="A104" i="1"/>
  <c r="A105" i="1"/>
  <c r="A106" i="1"/>
  <c r="A107" i="1"/>
  <c r="A109" i="1"/>
  <c r="A110" i="1"/>
  <c r="A111" i="1"/>
  <c r="A112" i="1"/>
  <c r="K17" i="4" s="1"/>
  <c r="A113" i="1"/>
  <c r="A114" i="1"/>
  <c r="A118" i="1"/>
  <c r="A119" i="1"/>
  <c r="A120" i="1"/>
  <c r="A121" i="1"/>
  <c r="A122" i="1"/>
  <c r="A123" i="1"/>
  <c r="A124" i="1"/>
  <c r="A125" i="1"/>
  <c r="A128" i="1"/>
  <c r="A129" i="1"/>
  <c r="A130" i="1"/>
  <c r="A131" i="1"/>
  <c r="A132" i="1"/>
  <c r="A133" i="1"/>
  <c r="K49" i="4" s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K269" i="4" s="1"/>
  <c r="A151" i="1"/>
  <c r="A152" i="1"/>
  <c r="A153" i="1"/>
  <c r="K271" i="4" s="1"/>
  <c r="A154" i="1"/>
  <c r="A155" i="1"/>
  <c r="A156" i="1"/>
  <c r="A157" i="1"/>
  <c r="A158" i="1"/>
  <c r="K76" i="4" s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K29" i="4" s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K30" i="4" s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K31" i="4" s="1"/>
  <c r="A229" i="1"/>
  <c r="A230" i="1"/>
  <c r="A231" i="1"/>
  <c r="A232" i="1"/>
  <c r="A233" i="1"/>
  <c r="A234" i="1"/>
  <c r="A235" i="1"/>
  <c r="A236" i="1"/>
  <c r="K32" i="4" s="1"/>
  <c r="A237" i="1"/>
  <c r="A238" i="1"/>
  <c r="A239" i="1"/>
  <c r="A240" i="1"/>
  <c r="A241" i="1"/>
  <c r="A242" i="1"/>
  <c r="A243" i="1"/>
  <c r="A244" i="1"/>
  <c r="K33" i="4" s="1"/>
  <c r="A245" i="1"/>
  <c r="A246" i="1"/>
  <c r="A247" i="1"/>
  <c r="A248" i="1"/>
  <c r="A249" i="1"/>
  <c r="A250" i="1"/>
  <c r="A251" i="1"/>
  <c r="A252" i="1"/>
  <c r="A253" i="1"/>
  <c r="A254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K35" i="4" s="1"/>
  <c r="A343" i="1"/>
  <c r="A344" i="1"/>
  <c r="A345" i="1"/>
  <c r="A346" i="1"/>
  <c r="A347" i="1"/>
  <c r="A348" i="1"/>
  <c r="A349" i="1"/>
  <c r="A350" i="1"/>
  <c r="A351" i="1"/>
  <c r="A352" i="1"/>
  <c r="K38" i="4" s="1"/>
  <c r="A353" i="1"/>
  <c r="A354" i="1"/>
  <c r="A355" i="1"/>
  <c r="A356" i="1"/>
  <c r="A357" i="1"/>
  <c r="A358" i="1"/>
  <c r="A359" i="1"/>
  <c r="A360" i="1"/>
  <c r="A361" i="1"/>
  <c r="A362" i="1"/>
  <c r="A363" i="1"/>
  <c r="A364" i="1"/>
  <c r="K40" i="4" s="1"/>
  <c r="A365" i="1"/>
  <c r="A366" i="1"/>
  <c r="A367" i="1"/>
  <c r="A368" i="1"/>
  <c r="A369" i="1"/>
  <c r="A371" i="1"/>
  <c r="A372" i="1"/>
  <c r="A373" i="1"/>
  <c r="A374" i="1"/>
  <c r="A375" i="1"/>
  <c r="A376" i="1"/>
  <c r="A377" i="1"/>
  <c r="A378" i="1"/>
  <c r="A379" i="1"/>
  <c r="A380" i="1"/>
  <c r="K41" i="4" s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K42" i="4" s="1"/>
  <c r="A394" i="1"/>
  <c r="A395" i="1"/>
  <c r="A396" i="1"/>
  <c r="A397" i="1"/>
  <c r="A398" i="1"/>
  <c r="A399" i="1"/>
  <c r="A400" i="1"/>
  <c r="A401" i="1"/>
  <c r="A403" i="1"/>
  <c r="A404" i="1"/>
  <c r="K43" i="4" s="1"/>
  <c r="A405" i="1"/>
  <c r="A406" i="1"/>
  <c r="K44" i="4" s="1"/>
  <c r="A407" i="1"/>
  <c r="A408" i="1"/>
  <c r="A409" i="1"/>
  <c r="A410" i="1"/>
  <c r="F415" i="1" s="1"/>
  <c r="A411" i="1"/>
  <c r="A412" i="1"/>
  <c r="A413" i="1"/>
  <c r="A414" i="1"/>
  <c r="A415" i="1"/>
  <c r="A416" i="1"/>
  <c r="A417" i="1"/>
  <c r="A418" i="1"/>
  <c r="A419" i="1"/>
  <c r="A420" i="1"/>
  <c r="A421" i="1"/>
  <c r="A422" i="1"/>
  <c r="K24" i="4" s="1"/>
  <c r="A423" i="1"/>
  <c r="A424" i="1"/>
  <c r="A425" i="1"/>
  <c r="A426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K285" i="4" s="1"/>
  <c r="A443" i="1"/>
  <c r="K296" i="4" s="1"/>
  <c r="A444" i="1"/>
  <c r="K305" i="4" s="1"/>
  <c r="A445" i="1"/>
  <c r="A446" i="1"/>
  <c r="A447" i="1"/>
  <c r="A448" i="1"/>
  <c r="A449" i="1"/>
  <c r="A450" i="1"/>
  <c r="C57" i="4"/>
  <c r="CN172" i="1"/>
  <c r="CO172" i="1"/>
  <c r="CP172" i="1"/>
  <c r="CQ172" i="1"/>
  <c r="CR172" i="1"/>
  <c r="C70" i="4"/>
  <c r="C71" i="4"/>
  <c r="C78" i="4"/>
  <c r="AT4" i="1"/>
  <c r="BB4" i="1"/>
  <c r="AU4" i="1"/>
  <c r="BC4" i="1"/>
  <c r="AV4" i="1"/>
  <c r="BD4" i="1"/>
  <c r="AW4" i="1"/>
  <c r="BE4" i="1"/>
  <c r="AX4" i="1"/>
  <c r="BF4" i="1"/>
  <c r="AY4" i="1"/>
  <c r="BG4" i="1"/>
  <c r="C1" i="4"/>
  <c r="G1" i="1"/>
  <c r="H1" i="1"/>
  <c r="I1" i="1"/>
  <c r="J1" i="1"/>
  <c r="K1" i="1"/>
  <c r="L1" i="1"/>
  <c r="M1" i="1"/>
  <c r="N1" i="1"/>
  <c r="O1" i="1"/>
  <c r="P1" i="1"/>
  <c r="Q1" i="1"/>
  <c r="R1" i="1"/>
  <c r="S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A1" i="1"/>
  <c r="CB1" i="1"/>
  <c r="CC1" i="1"/>
  <c r="CD1" i="1"/>
  <c r="CE1" i="1"/>
  <c r="CF1" i="1"/>
  <c r="CG1" i="1"/>
  <c r="CH1" i="1"/>
  <c r="CI1" i="1"/>
  <c r="CJ1" i="1"/>
  <c r="CK1" i="1"/>
  <c r="CL1" i="1"/>
  <c r="CM1" i="1"/>
  <c r="CN1" i="1"/>
  <c r="CO1" i="1"/>
  <c r="CP1" i="1"/>
  <c r="CQ1" i="1"/>
  <c r="CR1" i="1"/>
  <c r="E1" i="1"/>
  <c r="A1" i="1"/>
  <c r="A1" i="4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BT241" i="1"/>
  <c r="BU241" i="1"/>
  <c r="BV241" i="1"/>
  <c r="BW241" i="1"/>
  <c r="BY241" i="1"/>
  <c r="BZ241" i="1"/>
  <c r="CA241" i="1"/>
  <c r="CB241" i="1"/>
  <c r="CC241" i="1"/>
  <c r="CD241" i="1"/>
  <c r="CE241" i="1"/>
  <c r="CF241" i="1"/>
  <c r="CG241" i="1"/>
  <c r="CH241" i="1"/>
  <c r="CI241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K340" i="1"/>
  <c r="CK339" i="1"/>
  <c r="CK337" i="1"/>
  <c r="CK333" i="1"/>
  <c r="CK332" i="1"/>
  <c r="CK330" i="1"/>
  <c r="CK326" i="1"/>
  <c r="CK325" i="1"/>
  <c r="CK323" i="1"/>
  <c r="CK319" i="1"/>
  <c r="CK318" i="1"/>
  <c r="CK316" i="1"/>
  <c r="CK312" i="1"/>
  <c r="CK311" i="1"/>
  <c r="CK309" i="1"/>
  <c r="CK305" i="1"/>
  <c r="CK304" i="1"/>
  <c r="CK302" i="1"/>
  <c r="CK298" i="1"/>
  <c r="CK297" i="1"/>
  <c r="CK295" i="1"/>
  <c r="CK291" i="1"/>
  <c r="CK290" i="1"/>
  <c r="CK288" i="1"/>
  <c r="CK284" i="1"/>
  <c r="CK283" i="1"/>
  <c r="CK281" i="1"/>
  <c r="CK277" i="1"/>
  <c r="CK276" i="1"/>
  <c r="CK274" i="1"/>
  <c r="CK270" i="1"/>
  <c r="CK269" i="1"/>
  <c r="CK267" i="1"/>
  <c r="CK263" i="1"/>
  <c r="CK262" i="1"/>
  <c r="CK260" i="1"/>
  <c r="CK250" i="1"/>
  <c r="CK249" i="1"/>
  <c r="CK248" i="1"/>
  <c r="CK247" i="1"/>
  <c r="CK243" i="1"/>
  <c r="CK242" i="1"/>
  <c r="CK241" i="1"/>
  <c r="CK240" i="1"/>
  <c r="CK239" i="1"/>
  <c r="CK235" i="1"/>
  <c r="CK234" i="1"/>
  <c r="CK233" i="1"/>
  <c r="CK232" i="1"/>
  <c r="CK231" i="1"/>
  <c r="CK214" i="1"/>
  <c r="CK208" i="1"/>
  <c r="CK178" i="1"/>
  <c r="CK179" i="1"/>
  <c r="CK177" i="1"/>
  <c r="T1" i="3"/>
  <c r="K4" i="3"/>
  <c r="AI434" i="1"/>
  <c r="AI432" i="1"/>
  <c r="AI425" i="1"/>
  <c r="AI424" i="1"/>
  <c r="AI423" i="1"/>
  <c r="AI422" i="1"/>
  <c r="AI421" i="1"/>
  <c r="AI420" i="1"/>
  <c r="AI418" i="1"/>
  <c r="AI412" i="1"/>
  <c r="AI411" i="1"/>
  <c r="AI409" i="1"/>
  <c r="AI407" i="1"/>
  <c r="R373" i="1"/>
  <c r="R374" i="1"/>
  <c r="AL374" i="1" s="1"/>
  <c r="R375" i="1"/>
  <c r="R376" i="1"/>
  <c r="R377" i="1"/>
  <c r="R378" i="1"/>
  <c r="AI405" i="1"/>
  <c r="AI398" i="1"/>
  <c r="AI397" i="1"/>
  <c r="AI396" i="1"/>
  <c r="AI394" i="1"/>
  <c r="AI382" i="1"/>
  <c r="AI381" i="1"/>
  <c r="S371" i="1"/>
  <c r="S372" i="1"/>
  <c r="S373" i="1"/>
  <c r="S374" i="1"/>
  <c r="S375" i="1"/>
  <c r="S376" i="1"/>
  <c r="S377" i="1"/>
  <c r="S378" i="1"/>
  <c r="U371" i="1"/>
  <c r="U372" i="1"/>
  <c r="U373" i="1"/>
  <c r="U374" i="1"/>
  <c r="U375" i="1"/>
  <c r="U376" i="1"/>
  <c r="U377" i="1"/>
  <c r="U378" i="1"/>
  <c r="V371" i="1"/>
  <c r="V372" i="1"/>
  <c r="V373" i="1"/>
  <c r="V374" i="1"/>
  <c r="V375" i="1"/>
  <c r="V376" i="1"/>
  <c r="V377" i="1"/>
  <c r="V378" i="1"/>
  <c r="W373" i="1"/>
  <c r="W374" i="1"/>
  <c r="W375" i="1"/>
  <c r="W376" i="1"/>
  <c r="W377" i="1"/>
  <c r="W378" i="1"/>
  <c r="X371" i="1"/>
  <c r="X372" i="1"/>
  <c r="X373" i="1"/>
  <c r="X374" i="1"/>
  <c r="X375" i="1"/>
  <c r="X376" i="1"/>
  <c r="X377" i="1"/>
  <c r="X378" i="1"/>
  <c r="Y371" i="1"/>
  <c r="Y372" i="1"/>
  <c r="Y373" i="1"/>
  <c r="Y374" i="1"/>
  <c r="Y375" i="1"/>
  <c r="Y376" i="1"/>
  <c r="Y377" i="1"/>
  <c r="Y378" i="1"/>
  <c r="Z371" i="1"/>
  <c r="Z372" i="1"/>
  <c r="Z373" i="1"/>
  <c r="Z374" i="1"/>
  <c r="Z375" i="1"/>
  <c r="Z376" i="1"/>
  <c r="Z377" i="1"/>
  <c r="Z378" i="1"/>
  <c r="AA371" i="1"/>
  <c r="AA372" i="1"/>
  <c r="AA373" i="1"/>
  <c r="AA374" i="1"/>
  <c r="AA375" i="1"/>
  <c r="AA376" i="1"/>
  <c r="AA377" i="1"/>
  <c r="AA378" i="1"/>
  <c r="AB371" i="1"/>
  <c r="AB372" i="1"/>
  <c r="AB373" i="1"/>
  <c r="AB374" i="1"/>
  <c r="AB375" i="1"/>
  <c r="AB376" i="1"/>
  <c r="AB377" i="1"/>
  <c r="AB378" i="1"/>
  <c r="AC371" i="1"/>
  <c r="AC372" i="1"/>
  <c r="AC373" i="1"/>
  <c r="AC374" i="1"/>
  <c r="AC375" i="1"/>
  <c r="AC376" i="1"/>
  <c r="AC377" i="1"/>
  <c r="AC378" i="1"/>
  <c r="AD371" i="1"/>
  <c r="AD372" i="1"/>
  <c r="AD373" i="1"/>
  <c r="AD374" i="1"/>
  <c r="AD375" i="1"/>
  <c r="AD376" i="1"/>
  <c r="AD377" i="1"/>
  <c r="AD378" i="1"/>
  <c r="AE371" i="1"/>
  <c r="AE372" i="1"/>
  <c r="AE373" i="1"/>
  <c r="AE374" i="1"/>
  <c r="AE375" i="1"/>
  <c r="AE376" i="1"/>
  <c r="AE377" i="1"/>
  <c r="AE378" i="1"/>
  <c r="AF371" i="1"/>
  <c r="AF372" i="1"/>
  <c r="AF373" i="1"/>
  <c r="AF374" i="1"/>
  <c r="AF375" i="1"/>
  <c r="AF376" i="1"/>
  <c r="AF377" i="1"/>
  <c r="AF378" i="1"/>
  <c r="AG371" i="1"/>
  <c r="AG372" i="1"/>
  <c r="AG373" i="1"/>
  <c r="AG374" i="1"/>
  <c r="AG375" i="1"/>
  <c r="AG376" i="1"/>
  <c r="AG377" i="1"/>
  <c r="AG378" i="1"/>
  <c r="AH371" i="1"/>
  <c r="AO371" i="1" s="1"/>
  <c r="AH372" i="1"/>
  <c r="AO372" i="1" s="1"/>
  <c r="AH373" i="1"/>
  <c r="AO373" i="1" s="1"/>
  <c r="AH374" i="1"/>
  <c r="AO374" i="1" s="1"/>
  <c r="AH375" i="1"/>
  <c r="AO375" i="1" s="1"/>
  <c r="AH376" i="1"/>
  <c r="AH377" i="1"/>
  <c r="AO377" i="1" s="1"/>
  <c r="AH378" i="1"/>
  <c r="AO378" i="1" s="1"/>
  <c r="AI366" i="1"/>
  <c r="AI365" i="1"/>
  <c r="AI355" i="1"/>
  <c r="AI354" i="1"/>
  <c r="AI353" i="1"/>
  <c r="AI351" i="1"/>
  <c r="AI350" i="1"/>
  <c r="AI346" i="1"/>
  <c r="AI345" i="1"/>
  <c r="AI343" i="1"/>
  <c r="AI340" i="1"/>
  <c r="AI339" i="1"/>
  <c r="R222" i="1"/>
  <c r="R224" i="1"/>
  <c r="BS224" i="1" s="1"/>
  <c r="R211" i="1"/>
  <c r="BS211" i="1" s="1"/>
  <c r="S221" i="1"/>
  <c r="S222" i="1"/>
  <c r="BT222" i="1" s="1"/>
  <c r="S223" i="1"/>
  <c r="BT223" i="1" s="1"/>
  <c r="S224" i="1"/>
  <c r="BT224" i="1" s="1"/>
  <c r="S210" i="1"/>
  <c r="BT210" i="1" s="1"/>
  <c r="S211" i="1"/>
  <c r="BT211" i="1" s="1"/>
  <c r="S212" i="1"/>
  <c r="BU221" i="1"/>
  <c r="BU223" i="1"/>
  <c r="BU210" i="1"/>
  <c r="BU212" i="1"/>
  <c r="U221" i="1"/>
  <c r="BV221" i="1" s="1"/>
  <c r="U222" i="1"/>
  <c r="BV222" i="1" s="1"/>
  <c r="U223" i="1"/>
  <c r="U224" i="1"/>
  <c r="BV224" i="1" s="1"/>
  <c r="U210" i="1"/>
  <c r="BV210" i="1" s="1"/>
  <c r="U211" i="1"/>
  <c r="BV211" i="1" s="1"/>
  <c r="U212" i="1"/>
  <c r="BV212" i="1" s="1"/>
  <c r="V221" i="1"/>
  <c r="BW221" i="1" s="1"/>
  <c r="V222" i="1"/>
  <c r="BW222" i="1" s="1"/>
  <c r="V223" i="1"/>
  <c r="BW223" i="1" s="1"/>
  <c r="V224" i="1"/>
  <c r="BW224" i="1" s="1"/>
  <c r="V210" i="1"/>
  <c r="BW210" i="1" s="1"/>
  <c r="V211" i="1"/>
  <c r="V212" i="1"/>
  <c r="BW212" i="1" s="1"/>
  <c r="W222" i="1"/>
  <c r="W224" i="1"/>
  <c r="BX224" i="1" s="1"/>
  <c r="W211" i="1"/>
  <c r="BX211" i="1" s="1"/>
  <c r="X221" i="1"/>
  <c r="BY221" i="1" s="1"/>
  <c r="X222" i="1"/>
  <c r="X223" i="1"/>
  <c r="BY223" i="1" s="1"/>
  <c r="X224" i="1"/>
  <c r="BY224" i="1" s="1"/>
  <c r="X210" i="1"/>
  <c r="BY210" i="1" s="1"/>
  <c r="X211" i="1"/>
  <c r="X212" i="1"/>
  <c r="BY212" i="1" s="1"/>
  <c r="Y221" i="1"/>
  <c r="BZ221" i="1" s="1"/>
  <c r="Y222" i="1"/>
  <c r="BZ222" i="1" s="1"/>
  <c r="Y223" i="1"/>
  <c r="BZ223" i="1" s="1"/>
  <c r="Y224" i="1"/>
  <c r="BZ224" i="1" s="1"/>
  <c r="Y210" i="1"/>
  <c r="BZ210" i="1" s="1"/>
  <c r="Y211" i="1"/>
  <c r="BZ211" i="1" s="1"/>
  <c r="Y212" i="1"/>
  <c r="BZ212" i="1" s="1"/>
  <c r="Z221" i="1"/>
  <c r="CA221" i="1" s="1"/>
  <c r="Z222" i="1"/>
  <c r="Z223" i="1"/>
  <c r="CA223" i="1" s="1"/>
  <c r="Z224" i="1"/>
  <c r="CA224" i="1" s="1"/>
  <c r="Z210" i="1"/>
  <c r="CA210" i="1" s="1"/>
  <c r="Z211" i="1"/>
  <c r="Z212" i="1"/>
  <c r="CA212" i="1" s="1"/>
  <c r="AA221" i="1"/>
  <c r="CB221" i="1" s="1"/>
  <c r="AA222" i="1"/>
  <c r="CB222" i="1" s="1"/>
  <c r="AA223" i="1"/>
  <c r="CB223" i="1" s="1"/>
  <c r="AA224" i="1"/>
  <c r="CB224" i="1" s="1"/>
  <c r="AA210" i="1"/>
  <c r="CB210" i="1" s="1"/>
  <c r="AA211" i="1"/>
  <c r="CB211" i="1" s="1"/>
  <c r="AA212" i="1"/>
  <c r="AB221" i="1"/>
  <c r="CC221" i="1" s="1"/>
  <c r="AB222" i="1"/>
  <c r="AB223" i="1"/>
  <c r="AB224" i="1"/>
  <c r="CC224" i="1" s="1"/>
  <c r="AB210" i="1"/>
  <c r="AB211" i="1"/>
  <c r="AB212" i="1"/>
  <c r="CC212" i="1" s="1"/>
  <c r="AC221" i="1"/>
  <c r="AC222" i="1"/>
  <c r="CD222" i="1" s="1"/>
  <c r="AC223" i="1"/>
  <c r="CD223" i="1" s="1"/>
  <c r="AC224" i="1"/>
  <c r="CD224" i="1" s="1"/>
  <c r="AC210" i="1"/>
  <c r="AC211" i="1"/>
  <c r="CD211" i="1" s="1"/>
  <c r="AC212" i="1"/>
  <c r="AD221" i="1"/>
  <c r="CE221" i="1" s="1"/>
  <c r="AD222" i="1"/>
  <c r="CE222" i="1" s="1"/>
  <c r="AD223" i="1"/>
  <c r="CE223" i="1" s="1"/>
  <c r="AD224" i="1"/>
  <c r="CE224" i="1" s="1"/>
  <c r="AD210" i="1"/>
  <c r="CE210" i="1" s="1"/>
  <c r="AD211" i="1"/>
  <c r="AD212" i="1"/>
  <c r="CE212" i="1" s="1"/>
  <c r="AE221" i="1"/>
  <c r="CF221" i="1" s="1"/>
  <c r="AE222" i="1"/>
  <c r="CF222" i="1" s="1"/>
  <c r="AE223" i="1"/>
  <c r="AE224" i="1"/>
  <c r="CF224" i="1" s="1"/>
  <c r="AE210" i="1"/>
  <c r="AE211" i="1"/>
  <c r="CF211" i="1" s="1"/>
  <c r="AE212" i="1"/>
  <c r="CF212" i="1" s="1"/>
  <c r="AF221" i="1"/>
  <c r="CG221" i="1" s="1"/>
  <c r="AF222" i="1"/>
  <c r="AF223" i="1"/>
  <c r="CG223" i="1" s="1"/>
  <c r="AF224" i="1"/>
  <c r="CG224" i="1" s="1"/>
  <c r="AF210" i="1"/>
  <c r="CG210" i="1" s="1"/>
  <c r="AF211" i="1"/>
  <c r="AF212" i="1"/>
  <c r="CG212" i="1" s="1"/>
  <c r="AG221" i="1"/>
  <c r="CH221" i="1" s="1"/>
  <c r="AG222" i="1"/>
  <c r="CH222" i="1" s="1"/>
  <c r="AG223" i="1"/>
  <c r="CH223" i="1" s="1"/>
  <c r="AG224" i="1"/>
  <c r="CH224" i="1" s="1"/>
  <c r="AG210" i="1"/>
  <c r="CH210" i="1" s="1"/>
  <c r="AG211" i="1"/>
  <c r="CH211" i="1" s="1"/>
  <c r="AG212" i="1"/>
  <c r="CH212" i="1" s="1"/>
  <c r="AH221" i="1"/>
  <c r="AO221" i="1" s="1"/>
  <c r="AH222" i="1"/>
  <c r="AO222" i="1" s="1"/>
  <c r="AH223" i="1"/>
  <c r="CI223" i="1" s="1"/>
  <c r="AH224" i="1"/>
  <c r="CI224" i="1" s="1"/>
  <c r="AH210" i="1"/>
  <c r="AO210" i="1" s="1"/>
  <c r="AH211" i="1"/>
  <c r="AO211" i="1" s="1"/>
  <c r="AH212" i="1"/>
  <c r="AO212" i="1" s="1"/>
  <c r="AI335" i="1"/>
  <c r="AI333" i="1"/>
  <c r="AI332" i="1"/>
  <c r="AI328" i="1"/>
  <c r="AI326" i="1"/>
  <c r="AI325" i="1"/>
  <c r="AI321" i="1"/>
  <c r="AI319" i="1"/>
  <c r="AI318" i="1"/>
  <c r="AI314" i="1"/>
  <c r="AI312" i="1"/>
  <c r="AI311" i="1"/>
  <c r="AI307" i="1"/>
  <c r="AI305" i="1"/>
  <c r="AI304" i="1"/>
  <c r="AI300" i="1"/>
  <c r="AI298" i="1"/>
  <c r="AI297" i="1"/>
  <c r="AI293" i="1"/>
  <c r="AI291" i="1"/>
  <c r="AI290" i="1"/>
  <c r="AI286" i="1"/>
  <c r="AI284" i="1"/>
  <c r="AI283" i="1"/>
  <c r="AI279" i="1"/>
  <c r="AI277" i="1"/>
  <c r="AI276" i="1"/>
  <c r="AI272" i="1"/>
  <c r="AI270" i="1"/>
  <c r="AI269" i="1"/>
  <c r="AI265" i="1"/>
  <c r="AI263" i="1"/>
  <c r="AI262" i="1"/>
  <c r="AI258" i="1"/>
  <c r="AI257" i="1"/>
  <c r="AI256" i="1"/>
  <c r="AI252" i="1"/>
  <c r="AI250" i="1"/>
  <c r="AI249" i="1"/>
  <c r="AI248" i="1"/>
  <c r="AI247" i="1"/>
  <c r="AI246" i="1"/>
  <c r="AI245" i="1"/>
  <c r="AI243" i="1"/>
  <c r="AI242" i="1"/>
  <c r="AI240" i="1"/>
  <c r="AI239" i="1"/>
  <c r="AI238" i="1"/>
  <c r="AI237" i="1"/>
  <c r="AI235" i="1"/>
  <c r="AI234" i="1"/>
  <c r="AI233" i="1"/>
  <c r="AI232" i="1"/>
  <c r="AI231" i="1"/>
  <c r="AI230" i="1"/>
  <c r="AI229" i="1"/>
  <c r="AI214" i="1"/>
  <c r="AI208" i="1"/>
  <c r="AI206" i="1"/>
  <c r="AI205" i="1"/>
  <c r="AI182" i="1"/>
  <c r="AI181" i="1"/>
  <c r="AI179" i="1"/>
  <c r="AI178" i="1"/>
  <c r="AI176" i="1"/>
  <c r="AI160" i="1"/>
  <c r="AI159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35" i="1"/>
  <c r="AI134" i="1"/>
  <c r="AI133" i="1"/>
  <c r="AI131" i="1"/>
  <c r="AI129" i="1"/>
  <c r="AI122" i="1"/>
  <c r="AI121" i="1"/>
  <c r="AI120" i="1"/>
  <c r="AI118" i="1"/>
  <c r="AI113" i="1"/>
  <c r="R80" i="1"/>
  <c r="R81" i="1"/>
  <c r="R82" i="1"/>
  <c r="R83" i="1"/>
  <c r="R84" i="1"/>
  <c r="R85" i="1"/>
  <c r="AI111" i="1"/>
  <c r="AI106" i="1"/>
  <c r="AI105" i="1"/>
  <c r="AI103" i="1"/>
  <c r="AI91" i="1"/>
  <c r="AI90" i="1"/>
  <c r="S78" i="1"/>
  <c r="S79" i="1"/>
  <c r="S80" i="1"/>
  <c r="S81" i="1"/>
  <c r="S82" i="1"/>
  <c r="S83" i="1"/>
  <c r="S84" i="1"/>
  <c r="S85" i="1"/>
  <c r="U78" i="1"/>
  <c r="U79" i="1"/>
  <c r="U80" i="1"/>
  <c r="U81" i="1"/>
  <c r="U82" i="1"/>
  <c r="U83" i="1"/>
  <c r="U84" i="1"/>
  <c r="U85" i="1"/>
  <c r="V78" i="1"/>
  <c r="V79" i="1"/>
  <c r="V80" i="1"/>
  <c r="V81" i="1"/>
  <c r="V82" i="1"/>
  <c r="V83" i="1"/>
  <c r="V84" i="1"/>
  <c r="V85" i="1"/>
  <c r="W80" i="1"/>
  <c r="W81" i="1"/>
  <c r="W82" i="1"/>
  <c r="W83" i="1"/>
  <c r="W84" i="1"/>
  <c r="W85" i="1"/>
  <c r="X78" i="1"/>
  <c r="X79" i="1"/>
  <c r="X80" i="1"/>
  <c r="X81" i="1"/>
  <c r="X82" i="1"/>
  <c r="X83" i="1"/>
  <c r="X84" i="1"/>
  <c r="X85" i="1"/>
  <c r="Y78" i="1"/>
  <c r="Y79" i="1"/>
  <c r="Y80" i="1"/>
  <c r="Y81" i="1"/>
  <c r="Y82" i="1"/>
  <c r="Y83" i="1"/>
  <c r="Y84" i="1"/>
  <c r="Y85" i="1"/>
  <c r="Z78" i="1"/>
  <c r="Z79" i="1"/>
  <c r="Z80" i="1"/>
  <c r="Z81" i="1"/>
  <c r="Z82" i="1"/>
  <c r="Z83" i="1"/>
  <c r="Z84" i="1"/>
  <c r="Z85" i="1"/>
  <c r="AA78" i="1"/>
  <c r="AA79" i="1"/>
  <c r="AA80" i="1"/>
  <c r="AA81" i="1"/>
  <c r="AA82" i="1"/>
  <c r="AA83" i="1"/>
  <c r="AA84" i="1"/>
  <c r="AA85" i="1"/>
  <c r="AB78" i="1"/>
  <c r="AB79" i="1"/>
  <c r="AB80" i="1"/>
  <c r="AB81" i="1"/>
  <c r="AB82" i="1"/>
  <c r="AB83" i="1"/>
  <c r="AB84" i="1"/>
  <c r="AB85" i="1"/>
  <c r="AC78" i="1"/>
  <c r="AC79" i="1"/>
  <c r="AC80" i="1"/>
  <c r="AC81" i="1"/>
  <c r="AC82" i="1"/>
  <c r="AC83" i="1"/>
  <c r="AC84" i="1"/>
  <c r="AC85" i="1"/>
  <c r="AD78" i="1"/>
  <c r="AD79" i="1"/>
  <c r="AD80" i="1"/>
  <c r="AD81" i="1"/>
  <c r="AD82" i="1"/>
  <c r="AD83" i="1"/>
  <c r="AD84" i="1"/>
  <c r="AD85" i="1"/>
  <c r="AE78" i="1"/>
  <c r="AE79" i="1"/>
  <c r="AE80" i="1"/>
  <c r="AE81" i="1"/>
  <c r="AE82" i="1"/>
  <c r="AE83" i="1"/>
  <c r="AE84" i="1"/>
  <c r="AE85" i="1"/>
  <c r="AF78" i="1"/>
  <c r="AF79" i="1"/>
  <c r="AF80" i="1"/>
  <c r="AF81" i="1"/>
  <c r="AF82" i="1"/>
  <c r="AF83" i="1"/>
  <c r="AF84" i="1"/>
  <c r="AF85" i="1"/>
  <c r="AG78" i="1"/>
  <c r="AG79" i="1"/>
  <c r="AG80" i="1"/>
  <c r="AG81" i="1"/>
  <c r="AG82" i="1"/>
  <c r="AG83" i="1"/>
  <c r="AG84" i="1"/>
  <c r="AG85" i="1"/>
  <c r="AH78" i="1"/>
  <c r="AO78" i="1" s="1"/>
  <c r="AH79" i="1"/>
  <c r="AO79" i="1" s="1"/>
  <c r="AH80" i="1"/>
  <c r="AO80" i="1" s="1"/>
  <c r="AH81" i="1"/>
  <c r="AO81" i="1" s="1"/>
  <c r="AH82" i="1"/>
  <c r="AO82" i="1" s="1"/>
  <c r="AH83" i="1"/>
  <c r="AO83" i="1" s="1"/>
  <c r="AH84" i="1"/>
  <c r="AO84" i="1" s="1"/>
  <c r="AH85" i="1"/>
  <c r="AO85" i="1" s="1"/>
  <c r="AI73" i="1"/>
  <c r="AI72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O70" i="1" s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O69" i="1" s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O68" i="1" s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O67" i="1" s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O66" i="1" s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O65" i="1" s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O64" i="1" s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O63" i="1" s="1"/>
  <c r="AI62" i="1"/>
  <c r="AI61" i="1"/>
  <c r="AI60" i="1"/>
  <c r="AI59" i="1"/>
  <c r="AI57" i="1"/>
  <c r="AI45" i="1"/>
  <c r="AI44" i="1"/>
  <c r="AI42" i="1"/>
  <c r="AI39" i="1"/>
  <c r="AI38" i="1"/>
  <c r="AI37" i="1"/>
  <c r="AI36" i="1"/>
  <c r="AI35" i="1"/>
  <c r="AI34" i="1"/>
  <c r="AI26" i="1"/>
  <c r="AI25" i="1"/>
  <c r="AI23" i="1"/>
  <c r="AI22" i="1"/>
  <c r="AI21" i="1"/>
  <c r="AI20" i="1"/>
  <c r="AI19" i="1"/>
  <c r="AI18" i="1"/>
  <c r="AI17" i="1"/>
  <c r="AI16" i="1"/>
  <c r="AI15" i="1"/>
  <c r="AI14" i="1"/>
  <c r="AI9" i="1"/>
  <c r="AI8" i="1"/>
  <c r="AI7" i="1"/>
  <c r="L1" i="4"/>
  <c r="BO4" i="1"/>
  <c r="BN4" i="1"/>
  <c r="BM4" i="1"/>
  <c r="BL4" i="1"/>
  <c r="BK4" i="1"/>
  <c r="BJ4" i="1"/>
  <c r="BT179" i="1"/>
  <c r="BS179" i="1"/>
  <c r="I58" i="4"/>
  <c r="BZ203" i="1"/>
  <c r="CA203" i="1"/>
  <c r="CB203" i="1"/>
  <c r="CC203" i="1"/>
  <c r="CD203" i="1"/>
  <c r="CE203" i="1"/>
  <c r="CF203" i="1"/>
  <c r="CG203" i="1"/>
  <c r="CH203" i="1"/>
  <c r="CI203" i="1"/>
  <c r="R1" i="3"/>
  <c r="S1" i="3"/>
  <c r="G18" i="3"/>
  <c r="H18" i="3"/>
  <c r="I18" i="3"/>
  <c r="J18" i="3"/>
  <c r="D19" i="3"/>
  <c r="E37" i="3" s="1"/>
  <c r="E38" i="3"/>
  <c r="F5" i="3"/>
  <c r="G5" i="3"/>
  <c r="H5" i="3"/>
  <c r="J5" i="3"/>
  <c r="J6" i="3"/>
  <c r="D7" i="3"/>
  <c r="D8" i="3"/>
  <c r="E26" i="3" s="1"/>
  <c r="H9" i="3"/>
  <c r="I9" i="3"/>
  <c r="J9" i="3"/>
  <c r="J10" i="3" s="1"/>
  <c r="D11" i="3"/>
  <c r="D12" i="3"/>
  <c r="E30" i="3" s="1"/>
  <c r="D13" i="3"/>
  <c r="E31" i="3" s="1"/>
  <c r="T21" i="3"/>
  <c r="F14" i="3"/>
  <c r="U21" i="3" s="1"/>
  <c r="G14" i="3"/>
  <c r="V21" i="3" s="1"/>
  <c r="H14" i="3"/>
  <c r="W21" i="3" s="1"/>
  <c r="I14" i="3"/>
  <c r="X21" i="3" s="1"/>
  <c r="J14" i="3"/>
  <c r="G15" i="3"/>
  <c r="H15" i="3"/>
  <c r="J15" i="3"/>
  <c r="F16" i="3"/>
  <c r="G16" i="3"/>
  <c r="H16" i="3"/>
  <c r="I16" i="3"/>
  <c r="J16" i="3"/>
  <c r="J17" i="3"/>
  <c r="B1" i="1"/>
  <c r="D1" i="1"/>
  <c r="C1" i="1"/>
  <c r="I179" i="4"/>
  <c r="I255" i="4" s="1"/>
  <c r="H179" i="4"/>
  <c r="G179" i="4"/>
  <c r="F179" i="4"/>
  <c r="E179" i="4"/>
  <c r="D179" i="4"/>
  <c r="I178" i="4"/>
  <c r="I254" i="4" s="1"/>
  <c r="H178" i="4"/>
  <c r="G178" i="4"/>
  <c r="I177" i="4"/>
  <c r="I247" i="4" s="1"/>
  <c r="I253" i="4" s="1"/>
  <c r="H177" i="4"/>
  <c r="G177" i="4"/>
  <c r="F177" i="4"/>
  <c r="E177" i="4"/>
  <c r="D177" i="4"/>
  <c r="AN241" i="1"/>
  <c r="AO241" i="1"/>
  <c r="AL16" i="1"/>
  <c r="AL17" i="1"/>
  <c r="AL18" i="1"/>
  <c r="AL19" i="1"/>
  <c r="AL20" i="1"/>
  <c r="AL21" i="1"/>
  <c r="AL22" i="1"/>
  <c r="AL23" i="1"/>
  <c r="AL34" i="1"/>
  <c r="AL35" i="1"/>
  <c r="AL36" i="1"/>
  <c r="AL37" i="1"/>
  <c r="AL38" i="1"/>
  <c r="AL39" i="1"/>
  <c r="AL122" i="1"/>
  <c r="AM16" i="1"/>
  <c r="AN16" i="1"/>
  <c r="AO16" i="1"/>
  <c r="AM17" i="1"/>
  <c r="AN17" i="1"/>
  <c r="AO17" i="1"/>
  <c r="AM18" i="1"/>
  <c r="AN18" i="1"/>
  <c r="AO18" i="1"/>
  <c r="AM19" i="1"/>
  <c r="AN19" i="1"/>
  <c r="AO19" i="1"/>
  <c r="AM20" i="1"/>
  <c r="AN20" i="1"/>
  <c r="AO20" i="1"/>
  <c r="AM21" i="1"/>
  <c r="AN21" i="1"/>
  <c r="AO21" i="1"/>
  <c r="AM22" i="1"/>
  <c r="AN22" i="1"/>
  <c r="AO22" i="1"/>
  <c r="AM23" i="1"/>
  <c r="AN23" i="1"/>
  <c r="AO23" i="1"/>
  <c r="AN29" i="1"/>
  <c r="AO29" i="1"/>
  <c r="AM31" i="1"/>
  <c r="AN31" i="1"/>
  <c r="AO31" i="1"/>
  <c r="AN32" i="1"/>
  <c r="AO32" i="1"/>
  <c r="AN33" i="1"/>
  <c r="AO33" i="1"/>
  <c r="AM34" i="1"/>
  <c r="AN34" i="1"/>
  <c r="AO34" i="1"/>
  <c r="AM35" i="1"/>
  <c r="AN35" i="1"/>
  <c r="AO35" i="1"/>
  <c r="AM36" i="1"/>
  <c r="AN36" i="1"/>
  <c r="AO36" i="1"/>
  <c r="AM37" i="1"/>
  <c r="AN37" i="1"/>
  <c r="AO37" i="1"/>
  <c r="AM38" i="1"/>
  <c r="AN38" i="1"/>
  <c r="AO38" i="1"/>
  <c r="AM39" i="1"/>
  <c r="AN39" i="1"/>
  <c r="AO39" i="1"/>
  <c r="AN77" i="1"/>
  <c r="AO77" i="1"/>
  <c r="AN78" i="1"/>
  <c r="AM122" i="1"/>
  <c r="AN122" i="1"/>
  <c r="AO122" i="1"/>
  <c r="AO138" i="1"/>
  <c r="AO152" i="1" s="1"/>
  <c r="AN138" i="1"/>
  <c r="AN152" i="1" s="1"/>
  <c r="D1" i="3"/>
  <c r="AN177" i="1"/>
  <c r="AO177" i="1"/>
  <c r="AL178" i="1"/>
  <c r="AM178" i="1"/>
  <c r="AN178" i="1"/>
  <c r="AO178" i="1"/>
  <c r="AL179" i="1"/>
  <c r="AM179" i="1"/>
  <c r="AN179" i="1"/>
  <c r="AO179" i="1"/>
  <c r="AL208" i="1"/>
  <c r="AM208" i="1"/>
  <c r="AN208" i="1"/>
  <c r="AO208" i="1"/>
  <c r="AN209" i="1"/>
  <c r="AO209" i="1"/>
  <c r="AL214" i="1"/>
  <c r="AM214" i="1"/>
  <c r="AN214" i="1"/>
  <c r="AO214" i="1"/>
  <c r="AL231" i="1"/>
  <c r="AM231" i="1"/>
  <c r="AN231" i="1"/>
  <c r="AO231" i="1"/>
  <c r="AL232" i="1"/>
  <c r="AM232" i="1"/>
  <c r="AN232" i="1"/>
  <c r="AO232" i="1"/>
  <c r="AL233" i="1"/>
  <c r="AM233" i="1"/>
  <c r="AN233" i="1"/>
  <c r="AO233" i="1"/>
  <c r="AL234" i="1"/>
  <c r="AM234" i="1"/>
  <c r="AN234" i="1"/>
  <c r="AO234" i="1"/>
  <c r="AL235" i="1"/>
  <c r="AM235" i="1"/>
  <c r="AN235" i="1"/>
  <c r="AO235" i="1"/>
  <c r="AL239" i="1"/>
  <c r="AM239" i="1"/>
  <c r="AN239" i="1"/>
  <c r="AO239" i="1"/>
  <c r="AL240" i="1"/>
  <c r="AM240" i="1"/>
  <c r="AN240" i="1"/>
  <c r="AO240" i="1"/>
  <c r="AL242" i="1"/>
  <c r="AM242" i="1"/>
  <c r="AN242" i="1"/>
  <c r="AO242" i="1"/>
  <c r="AL243" i="1"/>
  <c r="AM243" i="1"/>
  <c r="AN243" i="1"/>
  <c r="AO243" i="1"/>
  <c r="AL247" i="1"/>
  <c r="AM247" i="1"/>
  <c r="AN247" i="1"/>
  <c r="AO247" i="1"/>
  <c r="AL248" i="1"/>
  <c r="AM248" i="1"/>
  <c r="AN248" i="1"/>
  <c r="AO248" i="1"/>
  <c r="AL249" i="1"/>
  <c r="AM249" i="1"/>
  <c r="AN249" i="1"/>
  <c r="AO249" i="1"/>
  <c r="AL250" i="1"/>
  <c r="AM250" i="1"/>
  <c r="AN250" i="1"/>
  <c r="AO250" i="1"/>
  <c r="AL262" i="1"/>
  <c r="AM262" i="1"/>
  <c r="AN262" i="1"/>
  <c r="AO262" i="1"/>
  <c r="AL263" i="1"/>
  <c r="AM263" i="1"/>
  <c r="AN263" i="1"/>
  <c r="AO263" i="1"/>
  <c r="AL269" i="1"/>
  <c r="AM269" i="1"/>
  <c r="AN269" i="1"/>
  <c r="AO269" i="1"/>
  <c r="AL270" i="1"/>
  <c r="AM270" i="1"/>
  <c r="AN270" i="1"/>
  <c r="AO270" i="1"/>
  <c r="AL276" i="1"/>
  <c r="AM276" i="1"/>
  <c r="AN276" i="1"/>
  <c r="AO276" i="1"/>
  <c r="AL277" i="1"/>
  <c r="AM277" i="1"/>
  <c r="AN277" i="1"/>
  <c r="AO277" i="1"/>
  <c r="AL283" i="1"/>
  <c r="AM283" i="1"/>
  <c r="AN283" i="1"/>
  <c r="AO283" i="1"/>
  <c r="AL284" i="1"/>
  <c r="AM284" i="1"/>
  <c r="AN284" i="1"/>
  <c r="AO284" i="1"/>
  <c r="AL290" i="1"/>
  <c r="AM290" i="1"/>
  <c r="AN290" i="1"/>
  <c r="AO290" i="1"/>
  <c r="AL291" i="1"/>
  <c r="AM291" i="1"/>
  <c r="AN291" i="1"/>
  <c r="AO291" i="1"/>
  <c r="AO295" i="1"/>
  <c r="AL297" i="1"/>
  <c r="AM297" i="1"/>
  <c r="AN297" i="1"/>
  <c r="AO297" i="1"/>
  <c r="AL298" i="1"/>
  <c r="AM298" i="1"/>
  <c r="AN298" i="1"/>
  <c r="AO298" i="1"/>
  <c r="AL304" i="1"/>
  <c r="AM304" i="1"/>
  <c r="AN304" i="1"/>
  <c r="AO304" i="1"/>
  <c r="AL305" i="1"/>
  <c r="AM305" i="1"/>
  <c r="AN305" i="1"/>
  <c r="AO305" i="1"/>
  <c r="AL311" i="1"/>
  <c r="AM311" i="1"/>
  <c r="AN311" i="1"/>
  <c r="AO311" i="1"/>
  <c r="AL312" i="1"/>
  <c r="AM312" i="1"/>
  <c r="AN312" i="1"/>
  <c r="AO312" i="1"/>
  <c r="AL318" i="1"/>
  <c r="AM318" i="1"/>
  <c r="AN318" i="1"/>
  <c r="AO318" i="1"/>
  <c r="AL319" i="1"/>
  <c r="AM319" i="1"/>
  <c r="AN319" i="1"/>
  <c r="AO319" i="1"/>
  <c r="AL325" i="1"/>
  <c r="AM325" i="1"/>
  <c r="AN325" i="1"/>
  <c r="AO325" i="1"/>
  <c r="AL326" i="1"/>
  <c r="AM326" i="1"/>
  <c r="AN326" i="1"/>
  <c r="AO326" i="1"/>
  <c r="AL332" i="1"/>
  <c r="AM332" i="1"/>
  <c r="AN332" i="1"/>
  <c r="AO332" i="1"/>
  <c r="AL333" i="1"/>
  <c r="AM333" i="1"/>
  <c r="AN333" i="1"/>
  <c r="AO333" i="1"/>
  <c r="AL339" i="1"/>
  <c r="AM339" i="1"/>
  <c r="AN339" i="1"/>
  <c r="AO339" i="1"/>
  <c r="AL340" i="1"/>
  <c r="AM340" i="1"/>
  <c r="AN340" i="1"/>
  <c r="AO340" i="1"/>
  <c r="AL351" i="1"/>
  <c r="AM351" i="1"/>
  <c r="AN351" i="1"/>
  <c r="AO351" i="1"/>
  <c r="AN369" i="1"/>
  <c r="AO369" i="1"/>
  <c r="AM376" i="1"/>
  <c r="AO376" i="1"/>
  <c r="AM378" i="1"/>
  <c r="AL422" i="1"/>
  <c r="AM422" i="1"/>
  <c r="AN422" i="1"/>
  <c r="AO422" i="1"/>
  <c r="AL425" i="1"/>
  <c r="AM425" i="1"/>
  <c r="AN425" i="1"/>
  <c r="AO425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BS239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T203" i="1"/>
  <c r="BU203" i="1"/>
  <c r="BV203" i="1"/>
  <c r="BW203" i="1"/>
  <c r="BX203" i="1"/>
  <c r="BY203" i="1"/>
  <c r="BS203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U224" i="1"/>
  <c r="CF223" i="1"/>
  <c r="BV223" i="1"/>
  <c r="CG222" i="1"/>
  <c r="CC222" i="1"/>
  <c r="CA222" i="1"/>
  <c r="BY222" i="1"/>
  <c r="BU222" i="1"/>
  <c r="CD221" i="1"/>
  <c r="BT221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CB212" i="1"/>
  <c r="BT212" i="1"/>
  <c r="CG211" i="1"/>
  <c r="CE211" i="1"/>
  <c r="CC211" i="1"/>
  <c r="CA211" i="1"/>
  <c r="BY211" i="1"/>
  <c r="BW211" i="1"/>
  <c r="BU211" i="1"/>
  <c r="CD210" i="1"/>
  <c r="CC210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CL343" i="1"/>
  <c r="CL341" i="1"/>
  <c r="CL335" i="1"/>
  <c r="CL334" i="1"/>
  <c r="CL328" i="1"/>
  <c r="CL327" i="1"/>
  <c r="CL321" i="1"/>
  <c r="CL320" i="1"/>
  <c r="CL314" i="1"/>
  <c r="CL313" i="1"/>
  <c r="CL307" i="1"/>
  <c r="CL306" i="1"/>
  <c r="CL300" i="1"/>
  <c r="CL299" i="1"/>
  <c r="CL293" i="1"/>
  <c r="CL292" i="1"/>
  <c r="CL286" i="1"/>
  <c r="CL285" i="1"/>
  <c r="CL279" i="1"/>
  <c r="CL278" i="1"/>
  <c r="CL272" i="1"/>
  <c r="CL271" i="1"/>
  <c r="CL265" i="1"/>
  <c r="CL264" i="1"/>
  <c r="CL258" i="1"/>
  <c r="CL257" i="1"/>
  <c r="CL256" i="1"/>
  <c r="CL252" i="1"/>
  <c r="CL246" i="1"/>
  <c r="CL245" i="1"/>
  <c r="CL238" i="1"/>
  <c r="CL237" i="1"/>
  <c r="CL230" i="1"/>
  <c r="CL229" i="1"/>
  <c r="CL206" i="1"/>
  <c r="CL205" i="1"/>
  <c r="CL182" i="1"/>
  <c r="CL181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BS177" i="1"/>
  <c r="BT177" i="1"/>
  <c r="BU177" i="1"/>
  <c r="BW177" i="1"/>
  <c r="BX177" i="1"/>
  <c r="BY177" i="1"/>
  <c r="CA177" i="1"/>
  <c r="CB177" i="1"/>
  <c r="CC177" i="1"/>
  <c r="CD177" i="1"/>
  <c r="CE177" i="1"/>
  <c r="CF177" i="1"/>
  <c r="CG177" i="1"/>
  <c r="CH177" i="1"/>
  <c r="CI177" i="1"/>
  <c r="E4" i="3"/>
  <c r="F4" i="3"/>
  <c r="G4" i="3"/>
  <c r="H4" i="3"/>
  <c r="I4" i="3"/>
  <c r="J4" i="3"/>
  <c r="B1" i="3"/>
  <c r="C1" i="3"/>
  <c r="E1" i="3"/>
  <c r="F1" i="3"/>
  <c r="G1" i="3"/>
  <c r="H1" i="3"/>
  <c r="I1" i="3"/>
  <c r="J1" i="3"/>
  <c r="K1" i="3"/>
  <c r="L1" i="3"/>
  <c r="M1" i="3"/>
  <c r="N1" i="3"/>
  <c r="O1" i="3"/>
  <c r="P1" i="3"/>
  <c r="Q1" i="3"/>
  <c r="F1" i="1"/>
  <c r="J1" i="4"/>
  <c r="K1" i="4"/>
  <c r="A1" i="3"/>
  <c r="B1" i="4"/>
  <c r="D1" i="4"/>
  <c r="E1" i="4"/>
  <c r="F1" i="4"/>
  <c r="G1" i="4"/>
  <c r="H1" i="4"/>
  <c r="I1" i="4"/>
  <c r="M58" i="3" l="1"/>
  <c r="E11" i="32"/>
  <c r="L58" i="3"/>
  <c r="E10" i="32"/>
  <c r="S58" i="3"/>
  <c r="E17" i="32"/>
  <c r="AQ108" i="1"/>
  <c r="AQ12" i="1"/>
  <c r="AQ402" i="1"/>
  <c r="A2" i="4"/>
  <c r="A3" i="4"/>
  <c r="A4" i="4"/>
  <c r="A5" i="4"/>
  <c r="A9" i="4"/>
  <c r="A6" i="4"/>
  <c r="A8" i="4"/>
  <c r="A7" i="4"/>
  <c r="AL85" i="1"/>
  <c r="AL378" i="1"/>
  <c r="D15" i="3"/>
  <c r="E33" i="3" s="1"/>
  <c r="T58" i="3"/>
  <c r="E18" i="32"/>
  <c r="H58" i="3"/>
  <c r="E6" i="32"/>
  <c r="AL375" i="1"/>
  <c r="J37" i="3"/>
  <c r="S63" i="3" s="1"/>
  <c r="AM377" i="1"/>
  <c r="AL376" i="1"/>
  <c r="AQ125" i="1"/>
  <c r="P430" i="1"/>
  <c r="AQ430" i="1"/>
  <c r="F427" i="1"/>
  <c r="F430" i="1"/>
  <c r="AN81" i="1"/>
  <c r="AN377" i="1"/>
  <c r="AN373" i="1"/>
  <c r="BS251" i="1"/>
  <c r="AO223" i="1"/>
  <c r="CI222" i="1"/>
  <c r="AN83" i="1"/>
  <c r="AN79" i="1"/>
  <c r="AM83" i="1"/>
  <c r="AN375" i="1"/>
  <c r="AL373" i="1"/>
  <c r="CI211" i="1"/>
  <c r="AA180" i="1"/>
  <c r="D4" i="3"/>
  <c r="F22" i="3" s="1"/>
  <c r="AN371" i="1"/>
  <c r="AM375" i="1"/>
  <c r="AL377" i="1"/>
  <c r="CL242" i="1"/>
  <c r="CI212" i="1"/>
  <c r="F37" i="3"/>
  <c r="CI220" i="1"/>
  <c r="AN220" i="1"/>
  <c r="CL284" i="1"/>
  <c r="AL211" i="1"/>
  <c r="AN85" i="1"/>
  <c r="AM85" i="1"/>
  <c r="AM81" i="1"/>
  <c r="AL83" i="1"/>
  <c r="AL81" i="1"/>
  <c r="AM373" i="1"/>
  <c r="CI221" i="1"/>
  <c r="AN210" i="1"/>
  <c r="AN212" i="1"/>
  <c r="AN211" i="1"/>
  <c r="AM222" i="1"/>
  <c r="AI211" i="1"/>
  <c r="AM374" i="1"/>
  <c r="AQ251" i="1"/>
  <c r="AN378" i="1"/>
  <c r="AK378" i="1" s="1"/>
  <c r="AL69" i="1"/>
  <c r="AL65" i="1"/>
  <c r="CF210" i="1"/>
  <c r="CD212" i="1"/>
  <c r="BX222" i="1"/>
  <c r="CL247" i="1"/>
  <c r="BW244" i="1"/>
  <c r="AM224" i="1"/>
  <c r="AM64" i="1"/>
  <c r="AM65" i="1"/>
  <c r="AM68" i="1"/>
  <c r="AM69" i="1"/>
  <c r="AN82" i="1"/>
  <c r="AN224" i="1"/>
  <c r="AN223" i="1"/>
  <c r="AL222" i="1"/>
  <c r="CI210" i="1"/>
  <c r="BS222" i="1"/>
  <c r="CC223" i="1"/>
  <c r="CF244" i="1"/>
  <c r="CB244" i="1"/>
  <c r="BT244" i="1"/>
  <c r="AO224" i="1"/>
  <c r="AN376" i="1"/>
  <c r="AN372" i="1"/>
  <c r="AN374" i="1"/>
  <c r="BZ236" i="1"/>
  <c r="CC251" i="1"/>
  <c r="AM63" i="1"/>
  <c r="AM66" i="1"/>
  <c r="AM67" i="1"/>
  <c r="AM70" i="1"/>
  <c r="AN84" i="1"/>
  <c r="AN80" i="1"/>
  <c r="AN222" i="1"/>
  <c r="AN221" i="1"/>
  <c r="AM211" i="1"/>
  <c r="AL224" i="1"/>
  <c r="V180" i="1"/>
  <c r="X180" i="1"/>
  <c r="R251" i="1"/>
  <c r="AO27" i="1"/>
  <c r="Y368" i="1"/>
  <c r="Y380" i="1" s="1"/>
  <c r="C80" i="4"/>
  <c r="AN213" i="1"/>
  <c r="AL67" i="1"/>
  <c r="AL63" i="1"/>
  <c r="AO213" i="1"/>
  <c r="AL213" i="1"/>
  <c r="S180" i="1"/>
  <c r="F116" i="1"/>
  <c r="T89" i="1"/>
  <c r="F201" i="1"/>
  <c r="CK201" i="1" s="1"/>
  <c r="F89" i="1"/>
  <c r="AI213" i="1"/>
  <c r="AM213" i="1"/>
  <c r="H37" i="3"/>
  <c r="E29" i="3"/>
  <c r="Y177" i="1"/>
  <c r="Y180" i="1" s="1"/>
  <c r="H31" i="3"/>
  <c r="E25" i="3"/>
  <c r="U177" i="1"/>
  <c r="C60" i="4"/>
  <c r="P133" i="1"/>
  <c r="S379" i="1"/>
  <c r="AF180" i="1"/>
  <c r="AN225" i="1"/>
  <c r="AI225" i="1"/>
  <c r="AE180" i="1"/>
  <c r="S24" i="1"/>
  <c r="S185" i="1" s="1"/>
  <c r="BT185" i="1" s="1"/>
  <c r="AB180" i="1"/>
  <c r="U367" i="1"/>
  <c r="Y86" i="1"/>
  <c r="AL225" i="1"/>
  <c r="AM225" i="1"/>
  <c r="CI225" i="1"/>
  <c r="CL225" i="1" s="1"/>
  <c r="AH379" i="1"/>
  <c r="AO379" i="1" s="1"/>
  <c r="X236" i="1"/>
  <c r="V379" i="1"/>
  <c r="AD379" i="1"/>
  <c r="AH251" i="1"/>
  <c r="AD251" i="1"/>
  <c r="Z251" i="1"/>
  <c r="X251" i="1"/>
  <c r="AF251" i="1"/>
  <c r="AB251" i="1"/>
  <c r="V251" i="1"/>
  <c r="I250" i="4"/>
  <c r="AH236" i="1"/>
  <c r="Z236" i="1"/>
  <c r="P410" i="1"/>
  <c r="AD236" i="1"/>
  <c r="S236" i="1"/>
  <c r="AD368" i="1"/>
  <c r="AE86" i="1"/>
  <c r="AH368" i="1"/>
  <c r="AO368" i="1" s="1"/>
  <c r="V368" i="1"/>
  <c r="H25" i="3"/>
  <c r="J25" i="3"/>
  <c r="G63" i="3" s="1"/>
  <c r="BV236" i="1"/>
  <c r="CH236" i="1"/>
  <c r="BU251" i="1"/>
  <c r="BY251" i="1"/>
  <c r="CG251" i="1"/>
  <c r="CL340" i="1"/>
  <c r="R71" i="1"/>
  <c r="BS236" i="1"/>
  <c r="BW236" i="1"/>
  <c r="CA236" i="1"/>
  <c r="CE236" i="1"/>
  <c r="CI236" i="1"/>
  <c r="CD236" i="1"/>
  <c r="BU236" i="1"/>
  <c r="BY236" i="1"/>
  <c r="CC236" i="1"/>
  <c r="CG236" i="1"/>
  <c r="BV251" i="1"/>
  <c r="BZ251" i="1"/>
  <c r="CD251" i="1"/>
  <c r="CH251" i="1"/>
  <c r="BT251" i="1"/>
  <c r="BX251" i="1"/>
  <c r="CB251" i="1"/>
  <c r="AI84" i="1"/>
  <c r="CL240" i="1"/>
  <c r="AQ368" i="1"/>
  <c r="CL243" i="1"/>
  <c r="AQ297" i="1"/>
  <c r="P240" i="1"/>
  <c r="AQ232" i="1"/>
  <c r="BT236" i="1"/>
  <c r="BX236" i="1"/>
  <c r="CB236" i="1"/>
  <c r="CF236" i="1"/>
  <c r="CL232" i="1"/>
  <c r="BW251" i="1"/>
  <c r="CA251" i="1"/>
  <c r="CE251" i="1"/>
  <c r="CI251" i="1"/>
  <c r="CF251" i="1"/>
  <c r="CL304" i="1"/>
  <c r="CL332" i="1"/>
  <c r="CL239" i="1"/>
  <c r="AG41" i="1"/>
  <c r="AQ403" i="1"/>
  <c r="P326" i="1"/>
  <c r="P298" i="1"/>
  <c r="P282" i="1"/>
  <c r="P201" i="1"/>
  <c r="AQ370" i="1"/>
  <c r="AQ76" i="1"/>
  <c r="P370" i="1"/>
  <c r="AQ30" i="1"/>
  <c r="P30" i="1"/>
  <c r="P76" i="1"/>
  <c r="AQ363" i="1"/>
  <c r="AQ359" i="1"/>
  <c r="AQ323" i="1"/>
  <c r="AQ109" i="1"/>
  <c r="AE368" i="1"/>
  <c r="AE380" i="1" s="1"/>
  <c r="AN28" i="1"/>
  <c r="AB379" i="1"/>
  <c r="S368" i="1"/>
  <c r="AN27" i="1"/>
  <c r="AN40" i="1"/>
  <c r="AF379" i="1"/>
  <c r="Z368" i="1"/>
  <c r="AB75" i="1"/>
  <c r="AN75" i="1" s="1"/>
  <c r="F76" i="1"/>
  <c r="F370" i="1"/>
  <c r="AM77" i="1"/>
  <c r="CI244" i="1"/>
  <c r="CL224" i="1"/>
  <c r="CG244" i="1"/>
  <c r="CC244" i="1"/>
  <c r="BY244" i="1"/>
  <c r="BU244" i="1"/>
  <c r="CE244" i="1"/>
  <c r="CA244" i="1"/>
  <c r="CH244" i="1"/>
  <c r="CD244" i="1"/>
  <c r="BZ244" i="1"/>
  <c r="BV244" i="1"/>
  <c r="AL24" i="1"/>
  <c r="F392" i="1"/>
  <c r="AK333" i="1"/>
  <c r="AK277" i="1"/>
  <c r="AQ21" i="1"/>
  <c r="K52" i="4"/>
  <c r="AQ311" i="1"/>
  <c r="AK239" i="1"/>
  <c r="AN219" i="1"/>
  <c r="AO40" i="1"/>
  <c r="AF368" i="1"/>
  <c r="AB368" i="1"/>
  <c r="U368" i="1"/>
  <c r="P180" i="1"/>
  <c r="Y74" i="1"/>
  <c r="AK297" i="1"/>
  <c r="AG379" i="1"/>
  <c r="AC379" i="1"/>
  <c r="AG368" i="1"/>
  <c r="AC368" i="1"/>
  <c r="AE74" i="1"/>
  <c r="F376" i="1"/>
  <c r="P23" i="1"/>
  <c r="F200" i="1"/>
  <c r="CK200" i="1" s="1"/>
  <c r="AQ259" i="1"/>
  <c r="AQ37" i="1"/>
  <c r="F183" i="1"/>
  <c r="CK183" i="1" s="1"/>
  <c r="F368" i="1"/>
  <c r="F356" i="1"/>
  <c r="F191" i="1"/>
  <c r="CK191" i="1" s="1"/>
  <c r="K276" i="4"/>
  <c r="AQ414" i="1"/>
  <c r="AQ389" i="1"/>
  <c r="AQ377" i="1"/>
  <c r="P373" i="1"/>
  <c r="P357" i="1"/>
  <c r="AQ301" i="1"/>
  <c r="P261" i="1"/>
  <c r="AQ196" i="1"/>
  <c r="AQ184" i="1"/>
  <c r="AQ140" i="1"/>
  <c r="AQ46" i="1"/>
  <c r="P393" i="1"/>
  <c r="F372" i="1"/>
  <c r="F348" i="1"/>
  <c r="AQ406" i="1"/>
  <c r="AQ342" i="1"/>
  <c r="F367" i="1"/>
  <c r="F375" i="1"/>
  <c r="F139" i="1"/>
  <c r="P32" i="1"/>
  <c r="F86" i="1"/>
  <c r="P236" i="1"/>
  <c r="F112" i="1"/>
  <c r="P86" i="1"/>
  <c r="P213" i="1"/>
  <c r="AQ68" i="1"/>
  <c r="AQ218" i="1"/>
  <c r="AQ361" i="1"/>
  <c r="AQ374" i="1"/>
  <c r="AQ10" i="1"/>
  <c r="P310" i="1"/>
  <c r="AQ291" i="1"/>
  <c r="AQ429" i="1"/>
  <c r="AQ416" i="1"/>
  <c r="AQ387" i="1"/>
  <c r="AQ383" i="1"/>
  <c r="AQ379" i="1"/>
  <c r="AQ367" i="1"/>
  <c r="P363" i="1"/>
  <c r="P359" i="1"/>
  <c r="AQ351" i="1"/>
  <c r="P339" i="1"/>
  <c r="AQ327" i="1"/>
  <c r="P323" i="1"/>
  <c r="AQ315" i="1"/>
  <c r="AQ303" i="1"/>
  <c r="AQ299" i="1"/>
  <c r="P291" i="1"/>
  <c r="AQ287" i="1"/>
  <c r="AQ271" i="1"/>
  <c r="AQ267" i="1"/>
  <c r="P251" i="1"/>
  <c r="AQ242" i="1"/>
  <c r="AQ226" i="1"/>
  <c r="P222" i="1"/>
  <c r="AQ214" i="1"/>
  <c r="P210" i="1"/>
  <c r="P217" i="1"/>
  <c r="AQ198" i="1"/>
  <c r="AQ190" i="1"/>
  <c r="AQ186" i="1"/>
  <c r="P178" i="1"/>
  <c r="AQ138" i="1"/>
  <c r="P110" i="1"/>
  <c r="AQ92" i="1"/>
  <c r="AQ86" i="1"/>
  <c r="P82" i="1"/>
  <c r="AQ78" i="1"/>
  <c r="AQ74" i="1"/>
  <c r="AQ70" i="1"/>
  <c r="AQ66" i="1"/>
  <c r="AQ50" i="1"/>
  <c r="AQ294" i="1"/>
  <c r="F416" i="1"/>
  <c r="P19" i="1"/>
  <c r="P80" i="1"/>
  <c r="P128" i="1"/>
  <c r="P224" i="1"/>
  <c r="P379" i="1"/>
  <c r="P416" i="1"/>
  <c r="AQ33" i="1"/>
  <c r="AQ84" i="1"/>
  <c r="AQ133" i="1"/>
  <c r="AQ224" i="1"/>
  <c r="AQ360" i="1"/>
  <c r="AQ378" i="1"/>
  <c r="AQ372" i="1"/>
  <c r="AQ399" i="1"/>
  <c r="P262" i="1"/>
  <c r="P277" i="1"/>
  <c r="P309" i="1"/>
  <c r="P338" i="1"/>
  <c r="AQ281" i="1"/>
  <c r="AQ298" i="1"/>
  <c r="AQ333" i="1"/>
  <c r="P426" i="1"/>
  <c r="AQ433" i="1"/>
  <c r="P414" i="1"/>
  <c r="P377" i="1"/>
  <c r="AQ373" i="1"/>
  <c r="P369" i="1"/>
  <c r="P361" i="1"/>
  <c r="AQ357" i="1"/>
  <c r="AQ349" i="1"/>
  <c r="AQ341" i="1"/>
  <c r="P333" i="1"/>
  <c r="AQ329" i="1"/>
  <c r="P317" i="1"/>
  <c r="AQ313" i="1"/>
  <c r="AQ309" i="1"/>
  <c r="P305" i="1"/>
  <c r="P297" i="1"/>
  <c r="AQ289" i="1"/>
  <c r="AQ285" i="1"/>
  <c r="P281" i="1"/>
  <c r="AQ277" i="1"/>
  <c r="AQ273" i="1"/>
  <c r="AQ261" i="1"/>
  <c r="P342" i="1"/>
  <c r="P248" i="1"/>
  <c r="AQ240" i="1"/>
  <c r="P232" i="1"/>
  <c r="AQ220" i="1"/>
  <c r="AQ216" i="1"/>
  <c r="P208" i="1"/>
  <c r="AQ200" i="1"/>
  <c r="AQ192" i="1"/>
  <c r="AQ188" i="1"/>
  <c r="P184" i="1"/>
  <c r="AQ136" i="1"/>
  <c r="AQ128" i="1"/>
  <c r="AQ98" i="1"/>
  <c r="P84" i="1"/>
  <c r="AQ80" i="1"/>
  <c r="P64" i="1"/>
  <c r="P40" i="1"/>
  <c r="AQ32" i="1"/>
  <c r="AQ19" i="1"/>
  <c r="P24" i="1"/>
  <c r="F386" i="1"/>
  <c r="P38" i="1"/>
  <c r="P68" i="1"/>
  <c r="P216" i="1"/>
  <c r="P267" i="1"/>
  <c r="AQ28" i="1"/>
  <c r="AQ48" i="1"/>
  <c r="AQ100" i="1"/>
  <c r="AQ208" i="1"/>
  <c r="AQ248" i="1"/>
  <c r="AQ362" i="1"/>
  <c r="AQ358" i="1"/>
  <c r="AQ376" i="1"/>
  <c r="AQ369" i="1"/>
  <c r="AQ401" i="1"/>
  <c r="AQ426" i="1"/>
  <c r="P415" i="1"/>
  <c r="P220" i="1"/>
  <c r="P289" i="1"/>
  <c r="P311" i="1"/>
  <c r="AQ158" i="1"/>
  <c r="AQ296" i="1"/>
  <c r="F119" i="1"/>
  <c r="P417" i="1"/>
  <c r="F406" i="1"/>
  <c r="AQ391" i="1"/>
  <c r="P375" i="1"/>
  <c r="AQ375" i="1"/>
  <c r="AQ371" i="1"/>
  <c r="P371" i="1"/>
  <c r="AQ364" i="1"/>
  <c r="AQ347" i="1"/>
  <c r="AQ352" i="1"/>
  <c r="AQ331" i="1"/>
  <c r="P331" i="1"/>
  <c r="P319" i="1"/>
  <c r="AQ319" i="1"/>
  <c r="AQ295" i="1"/>
  <c r="P295" i="1"/>
  <c r="AQ283" i="1"/>
  <c r="P283" i="1"/>
  <c r="AQ275" i="1"/>
  <c r="P275" i="1"/>
  <c r="AQ263" i="1"/>
  <c r="P263" i="1"/>
  <c r="AQ234" i="1"/>
  <c r="P234" i="1"/>
  <c r="P227" i="1"/>
  <c r="P202" i="1"/>
  <c r="AQ202" i="1"/>
  <c r="K91" i="4"/>
  <c r="AQ124" i="1"/>
  <c r="P124" i="1"/>
  <c r="AQ96" i="1"/>
  <c r="P71" i="1"/>
  <c r="F377" i="1"/>
  <c r="F84" i="1"/>
  <c r="AQ17" i="1"/>
  <c r="F64" i="1"/>
  <c r="F158" i="1"/>
  <c r="F384" i="1"/>
  <c r="F413" i="1"/>
  <c r="F433" i="1"/>
  <c r="P21" i="1"/>
  <c r="P36" i="1"/>
  <c r="P66" i="1"/>
  <c r="P78" i="1"/>
  <c r="P192" i="1"/>
  <c r="P214" i="1"/>
  <c r="P349" i="1"/>
  <c r="AQ23" i="1"/>
  <c r="AQ40" i="1"/>
  <c r="AQ64" i="1"/>
  <c r="AQ82" i="1"/>
  <c r="AQ94" i="1"/>
  <c r="AQ227" i="1"/>
  <c r="K9" i="4"/>
  <c r="K22" i="4"/>
  <c r="F429" i="1"/>
  <c r="P303" i="1"/>
  <c r="AQ317" i="1"/>
  <c r="AQ339" i="1"/>
  <c r="F66" i="1"/>
  <c r="F96" i="1"/>
  <c r="F224" i="1"/>
  <c r="CK224" i="1" s="1"/>
  <c r="F261" i="1"/>
  <c r="CK261" i="1" s="1"/>
  <c r="F268" i="1"/>
  <c r="CK268" i="1" s="1"/>
  <c r="F275" i="1"/>
  <c r="CK275" i="1" s="1"/>
  <c r="F282" i="1"/>
  <c r="CK282" i="1" s="1"/>
  <c r="F289" i="1"/>
  <c r="CK289" i="1" s="1"/>
  <c r="F296" i="1"/>
  <c r="CK296" i="1" s="1"/>
  <c r="F303" i="1"/>
  <c r="CK303" i="1" s="1"/>
  <c r="F310" i="1"/>
  <c r="CK310" i="1" s="1"/>
  <c r="F317" i="1"/>
  <c r="CK317" i="1" s="1"/>
  <c r="F324" i="1"/>
  <c r="CK324" i="1" s="1"/>
  <c r="F331" i="1"/>
  <c r="CK331" i="1" s="1"/>
  <c r="F338" i="1"/>
  <c r="CK338" i="1" s="1"/>
  <c r="P137" i="1"/>
  <c r="K61" i="4"/>
  <c r="P433" i="1"/>
  <c r="AQ337" i="1"/>
  <c r="P337" i="1"/>
  <c r="AQ325" i="1"/>
  <c r="P325" i="1"/>
  <c r="P269" i="1"/>
  <c r="AQ269" i="1"/>
  <c r="AQ212" i="1"/>
  <c r="P212" i="1"/>
  <c r="AQ52" i="1"/>
  <c r="F98" i="1"/>
  <c r="F221" i="1"/>
  <c r="CK221" i="1" s="1"/>
  <c r="F78" i="1"/>
  <c r="F210" i="1"/>
  <c r="CK210" i="1" s="1"/>
  <c r="AQ24" i="1"/>
  <c r="F390" i="1"/>
  <c r="F414" i="1"/>
  <c r="P29" i="1"/>
  <c r="P200" i="1"/>
  <c r="P226" i="1"/>
  <c r="AQ36" i="1"/>
  <c r="AQ54" i="1"/>
  <c r="AQ385" i="1"/>
  <c r="P406" i="1"/>
  <c r="AQ417" i="1"/>
  <c r="K26" i="4"/>
  <c r="K48" i="4"/>
  <c r="AQ210" i="1"/>
  <c r="P364" i="1"/>
  <c r="AQ422" i="1"/>
  <c r="AQ305" i="1"/>
  <c r="AQ431" i="1"/>
  <c r="P419" i="1"/>
  <c r="K45" i="4"/>
  <c r="P340" i="1"/>
  <c r="P324" i="1"/>
  <c r="P312" i="1"/>
  <c r="P296" i="1"/>
  <c r="P284" i="1"/>
  <c r="P268" i="1"/>
  <c r="AQ253" i="1"/>
  <c r="AQ244" i="1"/>
  <c r="AQ236" i="1"/>
  <c r="P215" i="1"/>
  <c r="P211" i="1"/>
  <c r="P204" i="1"/>
  <c r="P199" i="1"/>
  <c r="AQ203" i="1"/>
  <c r="AQ194" i="1"/>
  <c r="K270" i="4"/>
  <c r="AQ141" i="1"/>
  <c r="F132" i="1"/>
  <c r="AQ112" i="1"/>
  <c r="AQ35" i="1"/>
  <c r="AQ31" i="1"/>
  <c r="P41" i="1"/>
  <c r="F374" i="1"/>
  <c r="F378" i="1"/>
  <c r="F388" i="1"/>
  <c r="F410" i="1"/>
  <c r="P17" i="1"/>
  <c r="P109" i="1"/>
  <c r="P351" i="1"/>
  <c r="AQ27" i="1"/>
  <c r="AQ38" i="1"/>
  <c r="AQ34" i="1"/>
  <c r="AQ29" i="1"/>
  <c r="AQ178" i="1"/>
  <c r="AQ222" i="1"/>
  <c r="AQ410" i="1"/>
  <c r="K304" i="4"/>
  <c r="AQ110" i="1"/>
  <c r="P352" i="1"/>
  <c r="AQ217" i="1"/>
  <c r="P429" i="1"/>
  <c r="F28" i="1"/>
  <c r="F419" i="1"/>
  <c r="F373" i="1"/>
  <c r="P34" i="1"/>
  <c r="P70" i="1"/>
  <c r="P242" i="1"/>
  <c r="AQ16" i="1"/>
  <c r="AQ39" i="1"/>
  <c r="AQ122" i="1"/>
  <c r="AQ266" i="1"/>
  <c r="AQ395" i="1"/>
  <c r="AQ71" i="1"/>
  <c r="P438" i="1"/>
  <c r="P380" i="1"/>
  <c r="F254" i="1"/>
  <c r="AQ87" i="1"/>
  <c r="AK248" i="1"/>
  <c r="J31" i="3"/>
  <c r="M63" i="3" s="1"/>
  <c r="F31" i="3"/>
  <c r="H30" i="3"/>
  <c r="I37" i="3"/>
  <c r="G37" i="3"/>
  <c r="G17" i="32" s="1"/>
  <c r="AQ425" i="1"/>
  <c r="P403" i="1"/>
  <c r="AQ392" i="1"/>
  <c r="AQ390" i="1"/>
  <c r="AQ388" i="1"/>
  <c r="AQ386" i="1"/>
  <c r="P378" i="1"/>
  <c r="P376" i="1"/>
  <c r="P374" i="1"/>
  <c r="P372" i="1"/>
  <c r="P368" i="1"/>
  <c r="AQ348" i="1"/>
  <c r="AQ340" i="1"/>
  <c r="AQ338" i="1"/>
  <c r="AQ336" i="1"/>
  <c r="AQ326" i="1"/>
  <c r="AQ324" i="1"/>
  <c r="AQ322" i="1"/>
  <c r="AQ312" i="1"/>
  <c r="AQ310" i="1"/>
  <c r="AQ308" i="1"/>
  <c r="AQ284" i="1"/>
  <c r="AQ282" i="1"/>
  <c r="AQ280" i="1"/>
  <c r="AQ264" i="1"/>
  <c r="P260" i="1"/>
  <c r="AQ247" i="1"/>
  <c r="AQ239" i="1"/>
  <c r="AQ225" i="1"/>
  <c r="AQ223" i="1"/>
  <c r="AQ221" i="1"/>
  <c r="AQ219" i="1"/>
  <c r="AQ215" i="1"/>
  <c r="AQ213" i="1"/>
  <c r="AQ211" i="1"/>
  <c r="AQ209" i="1"/>
  <c r="AQ197" i="1"/>
  <c r="P193" i="1"/>
  <c r="P191" i="1"/>
  <c r="AQ179" i="1"/>
  <c r="K400" i="4"/>
  <c r="AQ137" i="1"/>
  <c r="P123" i="1"/>
  <c r="AQ107" i="1"/>
  <c r="AQ93" i="1"/>
  <c r="P69" i="1"/>
  <c r="P67" i="1"/>
  <c r="P65" i="1"/>
  <c r="AQ63" i="1"/>
  <c r="CL208" i="1"/>
  <c r="CL211" i="1"/>
  <c r="CL214" i="1"/>
  <c r="AI374" i="1"/>
  <c r="Z379" i="1"/>
  <c r="AQ393" i="1"/>
  <c r="F408" i="1"/>
  <c r="F140" i="1"/>
  <c r="F360" i="1"/>
  <c r="P114" i="1"/>
  <c r="P132" i="1"/>
  <c r="AQ204" i="1"/>
  <c r="K7" i="4"/>
  <c r="K46" i="4"/>
  <c r="F438" i="1"/>
  <c r="F187" i="1"/>
  <c r="CK187" i="1" s="1"/>
  <c r="F196" i="1"/>
  <c r="CK196" i="1" s="1"/>
  <c r="F212" i="1"/>
  <c r="CK212" i="1" s="1"/>
  <c r="F219" i="1"/>
  <c r="CK219" i="1" s="1"/>
  <c r="F223" i="1"/>
  <c r="CK223" i="1" s="1"/>
  <c r="F226" i="1"/>
  <c r="CK226" i="1" s="1"/>
  <c r="P404" i="1"/>
  <c r="F395" i="1"/>
  <c r="AQ408" i="1"/>
  <c r="AQ228" i="1"/>
  <c r="AQ130" i="1"/>
  <c r="AQ102" i="1"/>
  <c r="F225" i="1"/>
  <c r="CK225" i="1" s="1"/>
  <c r="F220" i="1"/>
  <c r="CK220" i="1" s="1"/>
  <c r="F136" i="1"/>
  <c r="F25" i="3"/>
  <c r="F358" i="1"/>
  <c r="F362" i="1"/>
  <c r="AQ55" i="1"/>
  <c r="AQ53" i="1"/>
  <c r="AQ51" i="1"/>
  <c r="AQ49" i="1"/>
  <c r="AQ195" i="1"/>
  <c r="P228" i="1"/>
  <c r="AQ243" i="1"/>
  <c r="P244" i="1"/>
  <c r="AQ344" i="1"/>
  <c r="K15" i="4"/>
  <c r="K36" i="4"/>
  <c r="P253" i="1"/>
  <c r="AQ419" i="1"/>
  <c r="P254" i="1"/>
  <c r="P87" i="1"/>
  <c r="AQ380" i="1"/>
  <c r="I153" i="4"/>
  <c r="F43" i="1"/>
  <c r="F95" i="1"/>
  <c r="F97" i="1"/>
  <c r="F99" i="1"/>
  <c r="F185" i="1"/>
  <c r="CK185" i="1" s="1"/>
  <c r="F189" i="1"/>
  <c r="CK189" i="1" s="1"/>
  <c r="F193" i="1"/>
  <c r="CK193" i="1" s="1"/>
  <c r="F198" i="1"/>
  <c r="CK198" i="1" s="1"/>
  <c r="F202" i="1"/>
  <c r="CK202" i="1" s="1"/>
  <c r="CL231" i="1"/>
  <c r="CL233" i="1"/>
  <c r="CL234" i="1"/>
  <c r="CL235" i="1"/>
  <c r="CL248" i="1"/>
  <c r="CL249" i="1"/>
  <c r="CL250" i="1"/>
  <c r="CL262" i="1"/>
  <c r="CL269" i="1"/>
  <c r="CL270" i="1"/>
  <c r="CL276" i="1"/>
  <c r="CL277" i="1"/>
  <c r="CL283" i="1"/>
  <c r="CL290" i="1"/>
  <c r="CL291" i="1"/>
  <c r="CL297" i="1"/>
  <c r="CL298" i="1"/>
  <c r="CL305" i="1"/>
  <c r="CL311" i="1"/>
  <c r="CL312" i="1"/>
  <c r="CL318" i="1"/>
  <c r="CL319" i="1"/>
  <c r="CL325" i="1"/>
  <c r="CL326" i="1"/>
  <c r="CL333" i="1"/>
  <c r="CL339" i="1"/>
  <c r="AN64" i="1"/>
  <c r="AL64" i="1"/>
  <c r="AN65" i="1"/>
  <c r="AN66" i="1"/>
  <c r="AL66" i="1"/>
  <c r="AN67" i="1"/>
  <c r="AN68" i="1"/>
  <c r="AL68" i="1"/>
  <c r="AN69" i="1"/>
  <c r="AN70" i="1"/>
  <c r="AL70" i="1"/>
  <c r="AI378" i="1"/>
  <c r="P428" i="1"/>
  <c r="AQ415" i="1"/>
  <c r="K413" i="4"/>
  <c r="AQ400" i="1"/>
  <c r="AQ384" i="1"/>
  <c r="P362" i="1"/>
  <c r="P360" i="1"/>
  <c r="P358" i="1"/>
  <c r="AQ356" i="1"/>
  <c r="P348" i="1"/>
  <c r="F341" i="1"/>
  <c r="CK341" i="1" s="1"/>
  <c r="AQ334" i="1"/>
  <c r="AQ332" i="1"/>
  <c r="AQ330" i="1"/>
  <c r="AQ320" i="1"/>
  <c r="AQ318" i="1"/>
  <c r="AQ316" i="1"/>
  <c r="AQ306" i="1"/>
  <c r="AQ304" i="1"/>
  <c r="AQ302" i="1"/>
  <c r="AQ292" i="1"/>
  <c r="AQ290" i="1"/>
  <c r="AQ288" i="1"/>
  <c r="AQ278" i="1"/>
  <c r="AQ276" i="1"/>
  <c r="AQ274" i="1"/>
  <c r="AQ270" i="1"/>
  <c r="AQ268" i="1"/>
  <c r="AQ262" i="1"/>
  <c r="AQ260" i="1"/>
  <c r="AQ249" i="1"/>
  <c r="AQ241" i="1"/>
  <c r="AQ233" i="1"/>
  <c r="AQ231" i="1"/>
  <c r="P225" i="1"/>
  <c r="P223" i="1"/>
  <c r="P221" i="1"/>
  <c r="P219" i="1"/>
  <c r="P209" i="1"/>
  <c r="AQ207" i="1"/>
  <c r="AQ201" i="1"/>
  <c r="AQ199" i="1"/>
  <c r="AQ193" i="1"/>
  <c r="AQ191" i="1"/>
  <c r="AQ189" i="1"/>
  <c r="AQ187" i="1"/>
  <c r="AQ185" i="1"/>
  <c r="P179" i="1"/>
  <c r="K398" i="4"/>
  <c r="P125" i="1"/>
  <c r="AQ123" i="1"/>
  <c r="AQ101" i="1"/>
  <c r="AQ99" i="1"/>
  <c r="AQ97" i="1"/>
  <c r="AQ95" i="1"/>
  <c r="AQ85" i="1"/>
  <c r="AQ83" i="1"/>
  <c r="AQ81" i="1"/>
  <c r="AQ79" i="1"/>
  <c r="AQ77" i="1"/>
  <c r="AQ75" i="1"/>
  <c r="AQ69" i="1"/>
  <c r="AQ67" i="1"/>
  <c r="AQ65" i="1"/>
  <c r="AQ47" i="1"/>
  <c r="AN251" i="1"/>
  <c r="AL251" i="1"/>
  <c r="AM84" i="1"/>
  <c r="AM82" i="1"/>
  <c r="AM80" i="1"/>
  <c r="AL84" i="1"/>
  <c r="AL82" i="1"/>
  <c r="AI80" i="1"/>
  <c r="AG236" i="1"/>
  <c r="AF236" i="1"/>
  <c r="AE236" i="1"/>
  <c r="AC236" i="1"/>
  <c r="AB236" i="1"/>
  <c r="AA236" i="1"/>
  <c r="Y236" i="1"/>
  <c r="V236" i="1"/>
  <c r="U236" i="1"/>
  <c r="Z41" i="1"/>
  <c r="Z109" i="1" s="1"/>
  <c r="AQ41" i="1"/>
  <c r="K34" i="4"/>
  <c r="P250" i="1"/>
  <c r="AQ250" i="1"/>
  <c r="P13" i="1"/>
  <c r="F299" i="1"/>
  <c r="CK299" i="1" s="1"/>
  <c r="AQ114" i="1"/>
  <c r="F114" i="1"/>
  <c r="AH180" i="1"/>
  <c r="AG180" i="1"/>
  <c r="AD180" i="1"/>
  <c r="AC180" i="1"/>
  <c r="Z180" i="1"/>
  <c r="P320" i="1"/>
  <c r="AG251" i="1"/>
  <c r="AE251" i="1"/>
  <c r="AC251" i="1"/>
  <c r="AA251" i="1"/>
  <c r="Y251" i="1"/>
  <c r="U251" i="1"/>
  <c r="AK233" i="1"/>
  <c r="R180" i="1"/>
  <c r="AH24" i="1"/>
  <c r="AH202" i="1" s="1"/>
  <c r="AD24" i="1"/>
  <c r="AD188" i="1" s="1"/>
  <c r="CE188" i="1" s="1"/>
  <c r="AK179" i="1"/>
  <c r="AO180" i="1"/>
  <c r="I213" i="4"/>
  <c r="P138" i="1"/>
  <c r="AQ404" i="1"/>
  <c r="P395" i="1"/>
  <c r="P194" i="1"/>
  <c r="AQ180" i="1"/>
  <c r="P130" i="1"/>
  <c r="P102" i="1"/>
  <c r="F104" i="1"/>
  <c r="AQ56" i="1"/>
  <c r="K423" i="4"/>
  <c r="F271" i="1"/>
  <c r="CK271" i="1" s="1"/>
  <c r="F327" i="1"/>
  <c r="CK327" i="1" s="1"/>
  <c r="I25" i="3"/>
  <c r="G25" i="3"/>
  <c r="F357" i="1"/>
  <c r="F359" i="1"/>
  <c r="F361" i="1"/>
  <c r="F363" i="1"/>
  <c r="F385" i="1"/>
  <c r="F137" i="1"/>
  <c r="F344" i="1"/>
  <c r="F435" i="1"/>
  <c r="P18" i="1"/>
  <c r="P20" i="1"/>
  <c r="P22" i="1"/>
  <c r="P28" i="1"/>
  <c r="P39" i="1"/>
  <c r="P33" i="1"/>
  <c r="P31" i="1"/>
  <c r="P75" i="1"/>
  <c r="P85" i="1"/>
  <c r="P83" i="1"/>
  <c r="P81" i="1"/>
  <c r="P79" i="1"/>
  <c r="P77" i="1"/>
  <c r="P136" i="1"/>
  <c r="P139" i="1"/>
  <c r="P185" i="1"/>
  <c r="P235" i="1"/>
  <c r="P233" i="1"/>
  <c r="P243" i="1"/>
  <c r="P249" i="1"/>
  <c r="P270" i="1"/>
  <c r="P400" i="1"/>
  <c r="AQ22" i="1"/>
  <c r="AQ20" i="1"/>
  <c r="AQ18" i="1"/>
  <c r="P112" i="1"/>
  <c r="AQ132" i="1"/>
  <c r="AQ139" i="1"/>
  <c r="AQ177" i="1"/>
  <c r="AQ183" i="1"/>
  <c r="P203" i="1"/>
  <c r="AQ235" i="1"/>
  <c r="P344" i="1"/>
  <c r="AQ413" i="1"/>
  <c r="P435" i="1"/>
  <c r="AQ435" i="1"/>
  <c r="K6" i="4"/>
  <c r="P104" i="1"/>
  <c r="AQ104" i="1"/>
  <c r="F253" i="1"/>
  <c r="P408" i="1"/>
  <c r="F347" i="1"/>
  <c r="F428" i="1"/>
  <c r="K20" i="4"/>
  <c r="P431" i="1"/>
  <c r="P274" i="1"/>
  <c r="P276" i="1"/>
  <c r="P288" i="1"/>
  <c r="P290" i="1"/>
  <c r="P302" i="1"/>
  <c r="P304" i="1"/>
  <c r="P316" i="1"/>
  <c r="P318" i="1"/>
  <c r="P330" i="1"/>
  <c r="P332" i="1"/>
  <c r="P141" i="1"/>
  <c r="AQ119" i="1"/>
  <c r="AQ428" i="1"/>
  <c r="F138" i="1"/>
  <c r="F10" i="1"/>
  <c r="F27" i="1"/>
  <c r="F40" i="1"/>
  <c r="F77" i="1"/>
  <c r="F85" i="1"/>
  <c r="F123" i="1"/>
  <c r="F184" i="1"/>
  <c r="CK184" i="1" s="1"/>
  <c r="F186" i="1"/>
  <c r="CK186" i="1" s="1"/>
  <c r="F188" i="1"/>
  <c r="CK188" i="1" s="1"/>
  <c r="F190" i="1"/>
  <c r="CK190" i="1" s="1"/>
  <c r="F192" i="1"/>
  <c r="CK192" i="1" s="1"/>
  <c r="F195" i="1"/>
  <c r="CK195" i="1" s="1"/>
  <c r="F197" i="1"/>
  <c r="CK197" i="1" s="1"/>
  <c r="F199" i="1"/>
  <c r="CK199" i="1" s="1"/>
  <c r="F207" i="1"/>
  <c r="CK207" i="1" s="1"/>
  <c r="F209" i="1"/>
  <c r="CK209" i="1" s="1"/>
  <c r="F211" i="1"/>
  <c r="CK211" i="1" s="1"/>
  <c r="F213" i="1"/>
  <c r="CK213" i="1" s="1"/>
  <c r="F285" i="1"/>
  <c r="CK285" i="1" s="1"/>
  <c r="F313" i="1"/>
  <c r="CK313" i="1" s="1"/>
  <c r="P292" i="1"/>
  <c r="F334" i="1"/>
  <c r="CK334" i="1" s="1"/>
  <c r="K399" i="4"/>
  <c r="I122" i="4"/>
  <c r="I172" i="4"/>
  <c r="I232" i="4"/>
  <c r="AN24" i="1"/>
  <c r="P37" i="1"/>
  <c r="P35" i="1"/>
  <c r="F81" i="1"/>
  <c r="I118" i="4"/>
  <c r="I136" i="4"/>
  <c r="I157" i="4"/>
  <c r="I200" i="4"/>
  <c r="I217" i="4"/>
  <c r="I248" i="4"/>
  <c r="AQ58" i="1"/>
  <c r="F349" i="1"/>
  <c r="F58" i="1"/>
  <c r="AN244" i="1"/>
  <c r="AO71" i="1"/>
  <c r="AG71" i="1"/>
  <c r="AE71" i="1"/>
  <c r="AC71" i="1"/>
  <c r="AA71" i="1"/>
  <c r="Y71" i="1"/>
  <c r="W71" i="1"/>
  <c r="U71" i="1"/>
  <c r="P58" i="1"/>
  <c r="CL213" i="1"/>
  <c r="CI219" i="1"/>
  <c r="AO28" i="1"/>
  <c r="U379" i="1"/>
  <c r="AA368" i="1"/>
  <c r="AG367" i="1"/>
  <c r="AC367" i="1"/>
  <c r="AG86" i="1"/>
  <c r="AG87" i="1" s="1"/>
  <c r="AC41" i="1"/>
  <c r="AC109" i="1" s="1"/>
  <c r="U41" i="1"/>
  <c r="U109" i="1" s="1"/>
  <c r="AF24" i="1"/>
  <c r="AF184" i="1" s="1"/>
  <c r="Z24" i="1"/>
  <c r="Z184" i="1" s="1"/>
  <c r="CA184" i="1" s="1"/>
  <c r="AK23" i="1"/>
  <c r="AK22" i="1"/>
  <c r="AK21" i="1"/>
  <c r="AK20" i="1"/>
  <c r="AK19" i="1"/>
  <c r="AG24" i="1"/>
  <c r="AE24" i="1"/>
  <c r="AB24" i="1"/>
  <c r="V24" i="1"/>
  <c r="AK18" i="1"/>
  <c r="AO24" i="1"/>
  <c r="AM24" i="1"/>
  <c r="AK17" i="1"/>
  <c r="W24" i="1"/>
  <c r="AK16" i="1"/>
  <c r="K8" i="4"/>
  <c r="F383" i="1"/>
  <c r="AQ11" i="1"/>
  <c r="AQ13" i="1"/>
  <c r="AK339" i="1"/>
  <c r="AK305" i="1"/>
  <c r="AK269" i="1"/>
  <c r="AK263" i="1"/>
  <c r="AK242" i="1"/>
  <c r="AK422" i="1"/>
  <c r="AK351" i="1"/>
  <c r="AK325" i="1"/>
  <c r="AK319" i="1"/>
  <c r="AK283" i="1"/>
  <c r="AK250" i="1"/>
  <c r="AO251" i="1"/>
  <c r="AM251" i="1"/>
  <c r="AK235" i="1"/>
  <c r="AM236" i="1"/>
  <c r="AK311" i="1"/>
  <c r="AK291" i="1"/>
  <c r="AO236" i="1"/>
  <c r="AK231" i="1"/>
  <c r="P140" i="1"/>
  <c r="K278" i="4"/>
  <c r="AN63" i="1"/>
  <c r="AL80" i="1"/>
  <c r="P241" i="1"/>
  <c r="K294" i="4"/>
  <c r="K277" i="4"/>
  <c r="K404" i="4"/>
  <c r="K422" i="4"/>
  <c r="I31" i="3"/>
  <c r="G31" i="3"/>
  <c r="G11" i="32" s="1"/>
  <c r="J30" i="3"/>
  <c r="L63" i="3" s="1"/>
  <c r="F30" i="3"/>
  <c r="AH71" i="1"/>
  <c r="AF71" i="1"/>
  <c r="AD71" i="1"/>
  <c r="AB71" i="1"/>
  <c r="Z71" i="1"/>
  <c r="X71" i="1"/>
  <c r="V71" i="1"/>
  <c r="AI65" i="1"/>
  <c r="AI67" i="1"/>
  <c r="AI69" i="1"/>
  <c r="F264" i="1"/>
  <c r="CK264" i="1" s="1"/>
  <c r="F278" i="1"/>
  <c r="CK278" i="1" s="1"/>
  <c r="F292" i="1"/>
  <c r="CK292" i="1" s="1"/>
  <c r="F306" i="1"/>
  <c r="CK306" i="1" s="1"/>
  <c r="F320" i="1"/>
  <c r="CK320" i="1" s="1"/>
  <c r="P264" i="1"/>
  <c r="Y41" i="1"/>
  <c r="Y109" i="1" s="1"/>
  <c r="AI64" i="1"/>
  <c r="AI66" i="1"/>
  <c r="AI68" i="1"/>
  <c r="AI70" i="1"/>
  <c r="AI82" i="1"/>
  <c r="AI376" i="1"/>
  <c r="W251" i="1"/>
  <c r="W180" i="1"/>
  <c r="AC24" i="1"/>
  <c r="AA24" i="1"/>
  <c r="Y24" i="1"/>
  <c r="U24" i="1"/>
  <c r="E43" i="1"/>
  <c r="AE41" i="1"/>
  <c r="AE109" i="1" s="1"/>
  <c r="H26" i="3"/>
  <c r="J26" i="3"/>
  <c r="H63" i="3" s="1"/>
  <c r="F26" i="3"/>
  <c r="H29" i="3"/>
  <c r="J29" i="3"/>
  <c r="K63" i="3" s="1"/>
  <c r="F29" i="3"/>
  <c r="I29" i="3"/>
  <c r="G29" i="3"/>
  <c r="CL179" i="1"/>
  <c r="CL203" i="1"/>
  <c r="AK326" i="1"/>
  <c r="AK318" i="1"/>
  <c r="AK298" i="1"/>
  <c r="AK290" i="1"/>
  <c r="AK270" i="1"/>
  <c r="AK262" i="1"/>
  <c r="AK249" i="1"/>
  <c r="AO244" i="1"/>
  <c r="AK240" i="1"/>
  <c r="AK234" i="1"/>
  <c r="AK214" i="1"/>
  <c r="CL178" i="1"/>
  <c r="AK340" i="1"/>
  <c r="AK332" i="1"/>
  <c r="AK312" i="1"/>
  <c r="AK304" i="1"/>
  <c r="AK284" i="1"/>
  <c r="AK276" i="1"/>
  <c r="AK247" i="1"/>
  <c r="AK243" i="1"/>
  <c r="AK232" i="1"/>
  <c r="AN236" i="1"/>
  <c r="AL236" i="1"/>
  <c r="AK208" i="1"/>
  <c r="AK122" i="1"/>
  <c r="I120" i="4"/>
  <c r="I134" i="4"/>
  <c r="I138" i="4"/>
  <c r="I155" i="4"/>
  <c r="I170" i="4"/>
  <c r="I195" i="4"/>
  <c r="I211" i="4"/>
  <c r="I210" i="4"/>
  <c r="I216" i="4" s="1"/>
  <c r="I218" i="4"/>
  <c r="I237" i="4"/>
  <c r="I249" i="4"/>
  <c r="C177" i="4"/>
  <c r="C179" i="4"/>
  <c r="D16" i="3"/>
  <c r="E34" i="3" s="1"/>
  <c r="E14" i="32" s="1"/>
  <c r="E13" i="32"/>
  <c r="D14" i="3"/>
  <c r="I30" i="3"/>
  <c r="G30" i="3"/>
  <c r="G10" i="32" s="1"/>
  <c r="I26" i="3"/>
  <c r="G26" i="3"/>
  <c r="G6" i="32" s="1"/>
  <c r="J38" i="3"/>
  <c r="T63" i="3" s="1"/>
  <c r="I38" i="3"/>
  <c r="H38" i="3"/>
  <c r="G38" i="3"/>
  <c r="F38" i="3"/>
  <c r="F18" i="32" s="1"/>
  <c r="AI63" i="1"/>
  <c r="AI85" i="1"/>
  <c r="AI83" i="1"/>
  <c r="AI81" i="1"/>
  <c r="AI222" i="1"/>
  <c r="AI224" i="1"/>
  <c r="AI377" i="1"/>
  <c r="AI375" i="1"/>
  <c r="AI373" i="1"/>
  <c r="W236" i="1"/>
  <c r="X24" i="1"/>
  <c r="R24" i="1"/>
  <c r="AK178" i="1"/>
  <c r="AN180" i="1"/>
  <c r="AK39" i="1"/>
  <c r="AK37" i="1"/>
  <c r="AK35" i="1"/>
  <c r="AK38" i="1"/>
  <c r="AK36" i="1"/>
  <c r="AK34" i="1"/>
  <c r="D5" i="3"/>
  <c r="E23" i="3" s="1"/>
  <c r="D18" i="3"/>
  <c r="E36" i="3" s="1"/>
  <c r="E16" i="32" s="1"/>
  <c r="CL263" i="1"/>
  <c r="AK425" i="1"/>
  <c r="V138" i="1" a="1"/>
  <c r="V138" i="1" s="1"/>
  <c r="X138" i="1" a="1"/>
  <c r="X138" i="1" s="1"/>
  <c r="Z138" i="1" a="1"/>
  <c r="Z138" i="1" s="1"/>
  <c r="AB138" i="1" a="1"/>
  <c r="AB138" i="1" s="1"/>
  <c r="AD138" i="1" a="1"/>
  <c r="AD138" i="1" s="1"/>
  <c r="AF138" i="1" a="1"/>
  <c r="AF138" i="1" s="1"/>
  <c r="AH138" i="1" a="1"/>
  <c r="AH138" i="1" s="1"/>
  <c r="S138" i="1" a="1"/>
  <c r="S138" i="1" s="1"/>
  <c r="U138" i="1" a="1"/>
  <c r="U138" i="1" s="1"/>
  <c r="W138" i="1" a="1"/>
  <c r="W138" i="1" s="1"/>
  <c r="Y138" i="1" a="1"/>
  <c r="Y138" i="1" s="1"/>
  <c r="AA138" i="1" a="1"/>
  <c r="AA138" i="1" s="1"/>
  <c r="AC138" i="1" a="1"/>
  <c r="AC138" i="1" s="1"/>
  <c r="AE138" i="1" a="1"/>
  <c r="AE138" i="1" s="1"/>
  <c r="AG138" i="1" a="1"/>
  <c r="AG138" i="1" s="1"/>
  <c r="R138" i="1" a="1"/>
  <c r="R138" i="1" s="1"/>
  <c r="A86" i="4"/>
  <c r="A24" i="4"/>
  <c r="A129" i="4"/>
  <c r="A58" i="4"/>
  <c r="A11" i="4"/>
  <c r="A13" i="4"/>
  <c r="A15" i="4"/>
  <c r="A17" i="4"/>
  <c r="A19" i="4"/>
  <c r="A21" i="4"/>
  <c r="A23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9" i="4"/>
  <c r="A61" i="4"/>
  <c r="A63" i="4"/>
  <c r="A65" i="4"/>
  <c r="A67" i="4"/>
  <c r="A69" i="4"/>
  <c r="A71" i="4"/>
  <c r="A73" i="4"/>
  <c r="A75" i="4"/>
  <c r="A78" i="4"/>
  <c r="A80" i="4"/>
  <c r="A82" i="4"/>
  <c r="A84" i="4"/>
  <c r="A88" i="4"/>
  <c r="A90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K216" i="4" s="1"/>
  <c r="A212" i="4"/>
  <c r="A214" i="4"/>
  <c r="A216" i="4"/>
  <c r="A218" i="4"/>
  <c r="A220" i="4"/>
  <c r="A222" i="4"/>
  <c r="A224" i="4"/>
  <c r="A226" i="4"/>
  <c r="A228" i="4"/>
  <c r="A230" i="4"/>
  <c r="K236" i="4" s="1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K110" i="4" s="1"/>
  <c r="A292" i="4"/>
  <c r="A294" i="4"/>
  <c r="A296" i="4"/>
  <c r="A298" i="4"/>
  <c r="A300" i="4"/>
  <c r="A302" i="4"/>
  <c r="A304" i="4"/>
  <c r="A306" i="4"/>
  <c r="A308" i="4"/>
  <c r="A310" i="4"/>
  <c r="K112" i="4" s="1"/>
  <c r="A312" i="4"/>
  <c r="A314" i="4"/>
  <c r="A316" i="4"/>
  <c r="A318" i="4"/>
  <c r="A320" i="4"/>
  <c r="A322" i="4"/>
  <c r="A324" i="4"/>
  <c r="A326" i="4"/>
  <c r="K127" i="4" s="1"/>
  <c r="A328" i="4"/>
  <c r="A330" i="4"/>
  <c r="A332" i="4"/>
  <c r="A334" i="4"/>
  <c r="A336" i="4"/>
  <c r="A338" i="4"/>
  <c r="A340" i="4"/>
  <c r="A342" i="4"/>
  <c r="K144" i="4" s="1"/>
  <c r="A344" i="4"/>
  <c r="A346" i="4"/>
  <c r="A348" i="4"/>
  <c r="A350" i="4"/>
  <c r="A352" i="4"/>
  <c r="A354" i="4"/>
  <c r="A356" i="4"/>
  <c r="K146" i="4" s="1"/>
  <c r="A358" i="4"/>
  <c r="A360" i="4"/>
  <c r="A362" i="4"/>
  <c r="A364" i="4"/>
  <c r="A366" i="4"/>
  <c r="A368" i="4"/>
  <c r="A370" i="4"/>
  <c r="A372" i="4"/>
  <c r="A374" i="4"/>
  <c r="A376" i="4"/>
  <c r="A378" i="4"/>
  <c r="A380" i="4"/>
  <c r="K161" i="4" s="1"/>
  <c r="A382" i="4"/>
  <c r="A384" i="4"/>
  <c r="A386" i="4"/>
  <c r="A388" i="4"/>
  <c r="A390" i="4"/>
  <c r="A392" i="4"/>
  <c r="A394" i="4"/>
  <c r="K163" i="4" s="1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K189" i="4" s="1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K205" i="4" s="1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K225" i="4" s="1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K242" i="4" s="1"/>
  <c r="A518" i="4"/>
  <c r="A520" i="4"/>
  <c r="A522" i="4"/>
  <c r="A524" i="4"/>
  <c r="A526" i="4"/>
  <c r="A528" i="4"/>
  <c r="A530" i="4"/>
  <c r="A532" i="4"/>
  <c r="A534" i="4"/>
  <c r="A87" i="4"/>
  <c r="A77" i="4"/>
  <c r="A91" i="4"/>
  <c r="K65" i="4" s="1"/>
  <c r="A10" i="4"/>
  <c r="A12" i="4"/>
  <c r="A14" i="4"/>
  <c r="A16" i="4"/>
  <c r="A18" i="4"/>
  <c r="A20" i="4"/>
  <c r="K21" i="4" s="1"/>
  <c r="A22" i="4"/>
  <c r="A25" i="4"/>
  <c r="A27" i="4"/>
  <c r="A29" i="4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60" i="4"/>
  <c r="A62" i="4"/>
  <c r="A64" i="4"/>
  <c r="A66" i="4"/>
  <c r="A68" i="4"/>
  <c r="A70" i="4"/>
  <c r="A72" i="4"/>
  <c r="A74" i="4"/>
  <c r="A76" i="4"/>
  <c r="A79" i="4"/>
  <c r="A81" i="4"/>
  <c r="A83" i="4"/>
  <c r="K84" i="4" s="1"/>
  <c r="A85" i="4"/>
  <c r="A89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K199" i="4" s="1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K253" i="4" s="1"/>
  <c r="A249" i="4"/>
  <c r="A251" i="4"/>
  <c r="A253" i="4"/>
  <c r="A255" i="4"/>
  <c r="A257" i="4"/>
  <c r="A259" i="4"/>
  <c r="A261" i="4"/>
  <c r="A263" i="4"/>
  <c r="A265" i="4"/>
  <c r="A267" i="4"/>
  <c r="A269" i="4"/>
  <c r="A271" i="4"/>
  <c r="A273" i="4"/>
  <c r="A275" i="4"/>
  <c r="A277" i="4"/>
  <c r="A279" i="4"/>
  <c r="A281" i="4"/>
  <c r="K109" i="4" s="1"/>
  <c r="A283" i="4"/>
  <c r="A285" i="4"/>
  <c r="A287" i="4"/>
  <c r="A289" i="4"/>
  <c r="A291" i="4"/>
  <c r="A293" i="4"/>
  <c r="A295" i="4"/>
  <c r="A297" i="4"/>
  <c r="A299" i="4"/>
  <c r="A301" i="4"/>
  <c r="K111" i="4" s="1"/>
  <c r="A303" i="4"/>
  <c r="A305" i="4"/>
  <c r="A307" i="4"/>
  <c r="A309" i="4"/>
  <c r="A311" i="4"/>
  <c r="A313" i="4"/>
  <c r="A315" i="4"/>
  <c r="A317" i="4"/>
  <c r="A319" i="4"/>
  <c r="K126" i="4" s="1"/>
  <c r="A321" i="4"/>
  <c r="A323" i="4"/>
  <c r="A325" i="4"/>
  <c r="A327" i="4"/>
  <c r="A329" i="4"/>
  <c r="A331" i="4"/>
  <c r="A333" i="4"/>
  <c r="K128" i="4" s="1"/>
  <c r="A335" i="4"/>
  <c r="A337" i="4"/>
  <c r="A339" i="4"/>
  <c r="A341" i="4"/>
  <c r="A343" i="4"/>
  <c r="A345" i="4"/>
  <c r="A347" i="4"/>
  <c r="A349" i="4"/>
  <c r="K145" i="4" s="1"/>
  <c r="A351" i="4"/>
  <c r="A353" i="4"/>
  <c r="A355" i="4"/>
  <c r="A357" i="4"/>
  <c r="A359" i="4"/>
  <c r="A361" i="4"/>
  <c r="A363" i="4"/>
  <c r="K147" i="4" s="1"/>
  <c r="A365" i="4"/>
  <c r="A367" i="4"/>
  <c r="A369" i="4"/>
  <c r="A371" i="4"/>
  <c r="A373" i="4"/>
  <c r="K160" i="4" s="1"/>
  <c r="A375" i="4"/>
  <c r="A377" i="4"/>
  <c r="A379" i="4"/>
  <c r="A381" i="4"/>
  <c r="A383" i="4"/>
  <c r="A385" i="4"/>
  <c r="A387" i="4"/>
  <c r="K162" i="4" s="1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K188" i="4" s="1"/>
  <c r="A421" i="4"/>
  <c r="A423" i="4"/>
  <c r="A425" i="4"/>
  <c r="A427" i="4"/>
  <c r="A429" i="4"/>
  <c r="A431" i="4"/>
  <c r="A433" i="4"/>
  <c r="A435" i="4"/>
  <c r="A437" i="4"/>
  <c r="A439" i="4"/>
  <c r="A441" i="4"/>
  <c r="A443" i="4"/>
  <c r="A445" i="4"/>
  <c r="A447" i="4"/>
  <c r="A449" i="4"/>
  <c r="K204" i="4" s="1"/>
  <c r="A451" i="4"/>
  <c r="A453" i="4"/>
  <c r="A455" i="4"/>
  <c r="A457" i="4"/>
  <c r="A459" i="4"/>
  <c r="A461" i="4"/>
  <c r="A463" i="4"/>
  <c r="K206" i="4" s="1"/>
  <c r="A465" i="4"/>
  <c r="A467" i="4"/>
  <c r="A469" i="4"/>
  <c r="A471" i="4"/>
  <c r="A473" i="4"/>
  <c r="A475" i="4"/>
  <c r="A477" i="4"/>
  <c r="A479" i="4"/>
  <c r="K224" i="4" s="1"/>
  <c r="A481" i="4"/>
  <c r="A483" i="4"/>
  <c r="A485" i="4"/>
  <c r="A487" i="4"/>
  <c r="A489" i="4"/>
  <c r="A491" i="4"/>
  <c r="A493" i="4"/>
  <c r="K226" i="4" s="1"/>
  <c r="A495" i="4"/>
  <c r="A497" i="4"/>
  <c r="A499" i="4"/>
  <c r="A501" i="4"/>
  <c r="A503" i="4"/>
  <c r="A505" i="4"/>
  <c r="A507" i="4"/>
  <c r="A509" i="4"/>
  <c r="K241" i="4" s="1"/>
  <c r="A511" i="4"/>
  <c r="A513" i="4"/>
  <c r="A515" i="4"/>
  <c r="A517" i="4"/>
  <c r="A519" i="4"/>
  <c r="A521" i="4"/>
  <c r="A523" i="4"/>
  <c r="K243" i="4" s="1"/>
  <c r="A525" i="4"/>
  <c r="A527" i="4"/>
  <c r="A529" i="4"/>
  <c r="A531" i="4"/>
  <c r="A533" i="4"/>
  <c r="P341" i="1"/>
  <c r="P327" i="1"/>
  <c r="P313" i="1"/>
  <c r="P299" i="1"/>
  <c r="P285" i="1"/>
  <c r="P271" i="1"/>
  <c r="K284" i="4"/>
  <c r="K293" i="4"/>
  <c r="K295" i="4"/>
  <c r="I119" i="4"/>
  <c r="I121" i="4"/>
  <c r="I135" i="4"/>
  <c r="I137" i="4"/>
  <c r="I154" i="4"/>
  <c r="I156" i="4"/>
  <c r="I169" i="4"/>
  <c r="I171" i="4"/>
  <c r="I173" i="4"/>
  <c r="I194" i="4"/>
  <c r="I196" i="4"/>
  <c r="I193" i="4"/>
  <c r="I199" i="4" s="1"/>
  <c r="I201" i="4"/>
  <c r="I212" i="4"/>
  <c r="I231" i="4"/>
  <c r="I233" i="4"/>
  <c r="I230" i="4"/>
  <c r="I236" i="4" s="1"/>
  <c r="I238" i="4"/>
  <c r="K405" i="4"/>
  <c r="K414" i="4"/>
  <c r="E152" i="1"/>
  <c r="AC87" i="1"/>
  <c r="U87" i="1"/>
  <c r="P278" i="1"/>
  <c r="P306" i="1"/>
  <c r="P334" i="1"/>
  <c r="AQ427" i="1"/>
  <c r="P427" i="1"/>
  <c r="K81" i="4"/>
  <c r="AH244" i="1"/>
  <c r="AG244" i="1"/>
  <c r="AF244" i="1"/>
  <c r="AE244" i="1"/>
  <c r="AD244" i="1"/>
  <c r="AC244" i="1"/>
  <c r="AB244" i="1"/>
  <c r="AA244" i="1"/>
  <c r="Z244" i="1"/>
  <c r="Y244" i="1"/>
  <c r="V244" i="1"/>
  <c r="U244" i="1"/>
  <c r="S244" i="1"/>
  <c r="X244" i="1"/>
  <c r="X27" i="1"/>
  <c r="X40" i="1"/>
  <c r="AA27" i="1"/>
  <c r="AA40" i="1"/>
  <c r="AH41" i="1"/>
  <c r="AH74" i="1"/>
  <c r="AF41" i="1"/>
  <c r="AF109" i="1" s="1"/>
  <c r="AF74" i="1"/>
  <c r="AF87" i="1" s="1"/>
  <c r="AD41" i="1"/>
  <c r="AD109" i="1" s="1"/>
  <c r="AD74" i="1"/>
  <c r="AD87" i="1" s="1"/>
  <c r="AB41" i="1"/>
  <c r="AB109" i="1" s="1"/>
  <c r="AB74" i="1"/>
  <c r="Z74" i="1"/>
  <c r="Z87" i="1" s="1"/>
  <c r="V41" i="1"/>
  <c r="V109" i="1" s="1"/>
  <c r="V74" i="1"/>
  <c r="V87" i="1" s="1"/>
  <c r="S41" i="1"/>
  <c r="S74" i="1"/>
  <c r="S87" i="1" s="1"/>
  <c r="S71" i="1"/>
  <c r="X28" i="1"/>
  <c r="U180" i="1" l="1"/>
  <c r="BV177" i="1"/>
  <c r="E22" i="3"/>
  <c r="L61" i="3"/>
  <c r="H10" i="32"/>
  <c r="M59" i="3"/>
  <c r="F11" i="32"/>
  <c r="K58" i="3"/>
  <c r="E9" i="32"/>
  <c r="K60" i="3"/>
  <c r="G9" i="32"/>
  <c r="S59" i="3"/>
  <c r="F17" i="32"/>
  <c r="L62" i="3"/>
  <c r="I10" i="32"/>
  <c r="K62" i="3"/>
  <c r="I9" i="32"/>
  <c r="L59" i="3"/>
  <c r="F10" i="32"/>
  <c r="S61" i="3"/>
  <c r="H17" i="32"/>
  <c r="J17" i="32" s="1"/>
  <c r="K59" i="3"/>
  <c r="F9" i="32"/>
  <c r="K61" i="3"/>
  <c r="H9" i="32"/>
  <c r="M62" i="3"/>
  <c r="I11" i="32"/>
  <c r="J11" i="32"/>
  <c r="S62" i="3"/>
  <c r="I17" i="32"/>
  <c r="M61" i="3"/>
  <c r="H11" i="32"/>
  <c r="AD380" i="1"/>
  <c r="F58" i="3"/>
  <c r="G62" i="3"/>
  <c r="I5" i="32"/>
  <c r="G58" i="3"/>
  <c r="E5" i="32"/>
  <c r="G59" i="3"/>
  <c r="F5" i="32"/>
  <c r="G61" i="3"/>
  <c r="H5" i="32"/>
  <c r="G60" i="3"/>
  <c r="G5" i="32"/>
  <c r="T43" i="1"/>
  <c r="E112" i="1"/>
  <c r="E114" i="1" s="1"/>
  <c r="E118" i="1" s="1"/>
  <c r="T60" i="3"/>
  <c r="G18" i="32"/>
  <c r="T61" i="3"/>
  <c r="H18" i="32"/>
  <c r="T62" i="3"/>
  <c r="I18" i="32"/>
  <c r="E58" i="3"/>
  <c r="E3" i="32"/>
  <c r="H59" i="3"/>
  <c r="F6" i="32"/>
  <c r="H62" i="3"/>
  <c r="I6" i="32"/>
  <c r="H61" i="3"/>
  <c r="H6" i="32"/>
  <c r="D59" i="3"/>
  <c r="F2" i="32"/>
  <c r="AK376" i="1"/>
  <c r="V380" i="1"/>
  <c r="AK375" i="1"/>
  <c r="AK377" i="1"/>
  <c r="AK83" i="1"/>
  <c r="AK373" i="1"/>
  <c r="AK374" i="1"/>
  <c r="AK81" i="1"/>
  <c r="AK85" i="1"/>
  <c r="AK211" i="1"/>
  <c r="CL222" i="1"/>
  <c r="AK65" i="1"/>
  <c r="AK224" i="1"/>
  <c r="AK222" i="1"/>
  <c r="AM71" i="1"/>
  <c r="AK69" i="1"/>
  <c r="CL251" i="1"/>
  <c r="CL236" i="1"/>
  <c r="AK213" i="1"/>
  <c r="I22" i="3"/>
  <c r="E2" i="32"/>
  <c r="G22" i="3"/>
  <c r="H22" i="3"/>
  <c r="E32" i="3"/>
  <c r="S21" i="3"/>
  <c r="AK67" i="1"/>
  <c r="S123" i="1"/>
  <c r="S184" i="1"/>
  <c r="BT184" i="1" s="1"/>
  <c r="V10" i="1"/>
  <c r="AE218" i="1"/>
  <c r="CF218" i="1" s="1"/>
  <c r="AE10" i="1"/>
  <c r="Y10" i="1"/>
  <c r="U10" i="1"/>
  <c r="AB10" i="1"/>
  <c r="AF10" i="1"/>
  <c r="S10" i="1"/>
  <c r="S109" i="1"/>
  <c r="Z10" i="1"/>
  <c r="AG218" i="1"/>
  <c r="CH218" i="1" s="1"/>
  <c r="AG10" i="1"/>
  <c r="AG109" i="1"/>
  <c r="AN109" i="1" s="1"/>
  <c r="AD10" i="1"/>
  <c r="AH109" i="1"/>
  <c r="AO109" i="1" s="1"/>
  <c r="AH10" i="1"/>
  <c r="E116" i="1"/>
  <c r="AC10" i="1"/>
  <c r="S192" i="1"/>
  <c r="BT192" i="1" s="1"/>
  <c r="S187" i="1"/>
  <c r="BT187" i="1" s="1"/>
  <c r="S380" i="1"/>
  <c r="S201" i="1"/>
  <c r="BT201" i="1" s="1"/>
  <c r="S196" i="1"/>
  <c r="BT196" i="1" s="1"/>
  <c r="S361" i="1"/>
  <c r="S356" i="1"/>
  <c r="AK225" i="1"/>
  <c r="S89" i="1"/>
  <c r="V89" i="1"/>
  <c r="AD89" i="1"/>
  <c r="U89" i="1"/>
  <c r="AC89" i="1"/>
  <c r="Z89" i="1"/>
  <c r="AG89" i="1"/>
  <c r="AF89" i="1"/>
  <c r="J22" i="3"/>
  <c r="D63" i="3" s="1"/>
  <c r="AI177" i="1"/>
  <c r="AL177" i="1"/>
  <c r="AM177" i="1"/>
  <c r="AM180" i="1" s="1"/>
  <c r="BZ177" i="1"/>
  <c r="AH185" i="1"/>
  <c r="AO185" i="1" s="1"/>
  <c r="AH190" i="1"/>
  <c r="AO190" i="1" s="1"/>
  <c r="AH189" i="1"/>
  <c r="CI189" i="1" s="1"/>
  <c r="AH186" i="1"/>
  <c r="AO186" i="1" s="1"/>
  <c r="Z380" i="1"/>
  <c r="AG226" i="1"/>
  <c r="CH226" i="1" s="1"/>
  <c r="S363" i="1"/>
  <c r="S347" i="1"/>
  <c r="S195" i="1"/>
  <c r="BT195" i="1" s="1"/>
  <c r="S186" i="1"/>
  <c r="BT186" i="1" s="1"/>
  <c r="S358" i="1"/>
  <c r="S198" i="1"/>
  <c r="BT198" i="1" s="1"/>
  <c r="S189" i="1"/>
  <c r="BT189" i="1" s="1"/>
  <c r="S428" i="1"/>
  <c r="S357" i="1"/>
  <c r="S197" i="1"/>
  <c r="BT197" i="1" s="1"/>
  <c r="S188" i="1"/>
  <c r="BT188" i="1" s="1"/>
  <c r="S360" i="1"/>
  <c r="S200" i="1"/>
  <c r="BT200" i="1" s="1"/>
  <c r="S191" i="1"/>
  <c r="BT191" i="1" s="1"/>
  <c r="S183" i="1"/>
  <c r="BT183" i="1" s="1"/>
  <c r="S359" i="1"/>
  <c r="S199" i="1"/>
  <c r="BT199" i="1" s="1"/>
  <c r="S190" i="1"/>
  <c r="BT190" i="1" s="1"/>
  <c r="S362" i="1"/>
  <c r="S202" i="1"/>
  <c r="BT202" i="1" s="1"/>
  <c r="S193" i="1"/>
  <c r="BT193" i="1" s="1"/>
  <c r="AG348" i="1"/>
  <c r="AG426" i="1"/>
  <c r="AG400" i="1"/>
  <c r="AG207" i="1"/>
  <c r="CH207" i="1" s="1"/>
  <c r="AH380" i="1"/>
  <c r="Y87" i="1"/>
  <c r="Y89" i="1" s="1"/>
  <c r="AE87" i="1"/>
  <c r="AE89" i="1" s="1"/>
  <c r="AK82" i="1"/>
  <c r="AH428" i="1"/>
  <c r="E146" i="1"/>
  <c r="E153" i="1" s="1"/>
  <c r="AK80" i="1"/>
  <c r="AO380" i="1"/>
  <c r="S43" i="1"/>
  <c r="AD184" i="1"/>
  <c r="CE184" i="1" s="1"/>
  <c r="AD428" i="1"/>
  <c r="AD186" i="1"/>
  <c r="CE186" i="1" s="1"/>
  <c r="AD183" i="1"/>
  <c r="CE183" i="1" s="1"/>
  <c r="AD187" i="1"/>
  <c r="CE187" i="1" s="1"/>
  <c r="AI236" i="1"/>
  <c r="AN379" i="1"/>
  <c r="AG43" i="1"/>
  <c r="AH183" i="1"/>
  <c r="CI183" i="1" s="1"/>
  <c r="AH187" i="1"/>
  <c r="CI187" i="1" s="1"/>
  <c r="AH191" i="1"/>
  <c r="AO191" i="1" s="1"/>
  <c r="AH184" i="1"/>
  <c r="AO184" i="1" s="1"/>
  <c r="AH188" i="1"/>
  <c r="AO188" i="1" s="1"/>
  <c r="AC207" i="1"/>
  <c r="CD207" i="1" s="1"/>
  <c r="AK84" i="1"/>
  <c r="AK64" i="1"/>
  <c r="F24" i="3"/>
  <c r="AI251" i="1"/>
  <c r="AN368" i="1"/>
  <c r="AC380" i="1"/>
  <c r="AN41" i="1"/>
  <c r="AC348" i="1"/>
  <c r="AF380" i="1"/>
  <c r="AC226" i="1"/>
  <c r="CD226" i="1" s="1"/>
  <c r="U380" i="1"/>
  <c r="AG380" i="1"/>
  <c r="AB380" i="1"/>
  <c r="AO41" i="1"/>
  <c r="AK68" i="1"/>
  <c r="AK70" i="1"/>
  <c r="AL71" i="1"/>
  <c r="AK66" i="1"/>
  <c r="AB43" i="1"/>
  <c r="AC426" i="1"/>
  <c r="AC218" i="1"/>
  <c r="CD218" i="1" s="1"/>
  <c r="V43" i="1"/>
  <c r="AF43" i="1"/>
  <c r="Z43" i="1"/>
  <c r="AD43" i="1"/>
  <c r="AH43" i="1"/>
  <c r="E145" i="1"/>
  <c r="AC400" i="1"/>
  <c r="K415" i="4"/>
  <c r="K60" i="4"/>
  <c r="S60" i="3"/>
  <c r="D37" i="3"/>
  <c r="Z183" i="1"/>
  <c r="CA183" i="1" s="1"/>
  <c r="AH195" i="1"/>
  <c r="AH199" i="1"/>
  <c r="AH192" i="1"/>
  <c r="AH197" i="1"/>
  <c r="AH201" i="1"/>
  <c r="F32" i="3"/>
  <c r="J32" i="3"/>
  <c r="N63" i="3" s="1"/>
  <c r="H34" i="3"/>
  <c r="H14" i="32" s="1"/>
  <c r="H32" i="3"/>
  <c r="J34" i="3"/>
  <c r="P63" i="3" s="1"/>
  <c r="F34" i="3"/>
  <c r="I32" i="3"/>
  <c r="G32" i="3"/>
  <c r="I34" i="3"/>
  <c r="P62" i="3" s="1"/>
  <c r="G34" i="3"/>
  <c r="J23" i="3"/>
  <c r="E63" i="3" s="1"/>
  <c r="F23" i="3"/>
  <c r="H23" i="3"/>
  <c r="H3" i="32" s="1"/>
  <c r="I23" i="3"/>
  <c r="G23" i="3"/>
  <c r="AH193" i="1"/>
  <c r="AH196" i="1"/>
  <c r="AO196" i="1" s="1"/>
  <c r="AH198" i="1"/>
  <c r="CI198" i="1" s="1"/>
  <c r="AH200" i="1"/>
  <c r="AO200" i="1" s="1"/>
  <c r="AK251" i="1"/>
  <c r="AK236" i="1"/>
  <c r="AH123" i="1"/>
  <c r="AO123" i="1" s="1"/>
  <c r="AO136" i="1" s="1"/>
  <c r="AH356" i="1"/>
  <c r="AH358" i="1"/>
  <c r="AO358" i="1" s="1"/>
  <c r="AH360" i="1"/>
  <c r="AO360" i="1" s="1"/>
  <c r="AH362" i="1"/>
  <c r="AO362" i="1" s="1"/>
  <c r="AH347" i="1"/>
  <c r="AO347" i="1" s="1"/>
  <c r="AH357" i="1"/>
  <c r="AO357" i="1" s="1"/>
  <c r="AH359" i="1"/>
  <c r="AO359" i="1" s="1"/>
  <c r="AH361" i="1"/>
  <c r="AO361" i="1" s="1"/>
  <c r="AH363" i="1"/>
  <c r="AO363" i="1" s="1"/>
  <c r="AF183" i="1"/>
  <c r="CG183" i="1" s="1"/>
  <c r="AD123" i="1"/>
  <c r="AD185" i="1"/>
  <c r="AD190" i="1"/>
  <c r="CE190" i="1" s="1"/>
  <c r="AD192" i="1"/>
  <c r="CE192" i="1" s="1"/>
  <c r="AD193" i="1"/>
  <c r="CE193" i="1" s="1"/>
  <c r="AD195" i="1"/>
  <c r="AD196" i="1"/>
  <c r="CE196" i="1" s="1"/>
  <c r="AD197" i="1"/>
  <c r="CE197" i="1" s="1"/>
  <c r="AD198" i="1"/>
  <c r="CE198" i="1" s="1"/>
  <c r="AD199" i="1"/>
  <c r="CE199" i="1" s="1"/>
  <c r="AD200" i="1"/>
  <c r="CE200" i="1" s="1"/>
  <c r="AD201" i="1"/>
  <c r="CE201" i="1" s="1"/>
  <c r="AD202" i="1"/>
  <c r="CE202" i="1" s="1"/>
  <c r="AD347" i="1"/>
  <c r="AD356" i="1"/>
  <c r="AD357" i="1"/>
  <c r="AD358" i="1"/>
  <c r="AD359" i="1"/>
  <c r="AD360" i="1"/>
  <c r="AD361" i="1"/>
  <c r="AD362" i="1"/>
  <c r="AD363" i="1"/>
  <c r="AD189" i="1"/>
  <c r="CE189" i="1" s="1"/>
  <c r="AD191" i="1"/>
  <c r="CE191" i="1" s="1"/>
  <c r="CI202" i="1"/>
  <c r="AO202" i="1"/>
  <c r="U43" i="1"/>
  <c r="Y43" i="1"/>
  <c r="K79" i="4"/>
  <c r="I33" i="3"/>
  <c r="G33" i="3"/>
  <c r="J33" i="3"/>
  <c r="O63" i="3" s="1"/>
  <c r="H33" i="3"/>
  <c r="F33" i="3"/>
  <c r="F13" i="32" s="1"/>
  <c r="H36" i="3"/>
  <c r="H16" i="32" s="1"/>
  <c r="D25" i="3"/>
  <c r="J36" i="3"/>
  <c r="R63" i="3" s="1"/>
  <c r="F36" i="3"/>
  <c r="I36" i="3"/>
  <c r="G36" i="3"/>
  <c r="I24" i="3"/>
  <c r="J24" i="3"/>
  <c r="H24" i="3"/>
  <c r="AI180" i="1"/>
  <c r="Y207" i="1"/>
  <c r="BZ207" i="1" s="1"/>
  <c r="U348" i="1"/>
  <c r="AN367" i="1"/>
  <c r="Y348" i="1"/>
  <c r="Y218" i="1"/>
  <c r="BZ218" i="1" s="1"/>
  <c r="Y426" i="1"/>
  <c r="Y400" i="1"/>
  <c r="Y226" i="1"/>
  <c r="AN86" i="1"/>
  <c r="K297" i="4"/>
  <c r="K19" i="4"/>
  <c r="K88" i="4"/>
  <c r="U218" i="1"/>
  <c r="BV218" i="1" s="1"/>
  <c r="U400" i="1"/>
  <c r="U207" i="1"/>
  <c r="BV207" i="1" s="1"/>
  <c r="U226" i="1"/>
  <c r="U426" i="1"/>
  <c r="AE400" i="1"/>
  <c r="AE426" i="1"/>
  <c r="AE226" i="1"/>
  <c r="CF226" i="1" s="1"/>
  <c r="AE207" i="1"/>
  <c r="CF207" i="1" s="1"/>
  <c r="AE348" i="1"/>
  <c r="CG184" i="1"/>
  <c r="Z123" i="1"/>
  <c r="Z428" i="1"/>
  <c r="Z186" i="1"/>
  <c r="CA186" i="1" s="1"/>
  <c r="Z187" i="1"/>
  <c r="CA187" i="1" s="1"/>
  <c r="Z188" i="1"/>
  <c r="CA188" i="1" s="1"/>
  <c r="Z189" i="1"/>
  <c r="CA189" i="1" s="1"/>
  <c r="Z190" i="1"/>
  <c r="CA190" i="1" s="1"/>
  <c r="Z191" i="1"/>
  <c r="CA191" i="1" s="1"/>
  <c r="Z192" i="1"/>
  <c r="CA192" i="1" s="1"/>
  <c r="Z193" i="1"/>
  <c r="CA193" i="1" s="1"/>
  <c r="Z195" i="1"/>
  <c r="Z196" i="1"/>
  <c r="CA196" i="1" s="1"/>
  <c r="Z197" i="1"/>
  <c r="CA197" i="1" s="1"/>
  <c r="Z198" i="1"/>
  <c r="CA198" i="1" s="1"/>
  <c r="Z199" i="1"/>
  <c r="CA199" i="1" s="1"/>
  <c r="Z200" i="1"/>
  <c r="CA200" i="1" s="1"/>
  <c r="Z201" i="1"/>
  <c r="CA201" i="1" s="1"/>
  <c r="Z202" i="1"/>
  <c r="CA202" i="1" s="1"/>
  <c r="Z347" i="1"/>
  <c r="Z356" i="1"/>
  <c r="Z357" i="1"/>
  <c r="Z358" i="1"/>
  <c r="Z359" i="1"/>
  <c r="Z360" i="1"/>
  <c r="Z361" i="1"/>
  <c r="Z362" i="1"/>
  <c r="Z363" i="1"/>
  <c r="Z185" i="1"/>
  <c r="AF123" i="1"/>
  <c r="AF186" i="1"/>
  <c r="CG186" i="1" s="1"/>
  <c r="AF187" i="1"/>
  <c r="CG187" i="1" s="1"/>
  <c r="AF188" i="1"/>
  <c r="CG188" i="1" s="1"/>
  <c r="AF189" i="1"/>
  <c r="CG189" i="1" s="1"/>
  <c r="AF190" i="1"/>
  <c r="CG190" i="1" s="1"/>
  <c r="AF191" i="1"/>
  <c r="CG191" i="1" s="1"/>
  <c r="AF192" i="1"/>
  <c r="CG192" i="1" s="1"/>
  <c r="AF193" i="1"/>
  <c r="CG193" i="1" s="1"/>
  <c r="AF195" i="1"/>
  <c r="AF196" i="1"/>
  <c r="CG196" i="1" s="1"/>
  <c r="AF197" i="1"/>
  <c r="CG197" i="1" s="1"/>
  <c r="AF198" i="1"/>
  <c r="CG198" i="1" s="1"/>
  <c r="AF199" i="1"/>
  <c r="CG199" i="1" s="1"/>
  <c r="AF200" i="1"/>
  <c r="CG200" i="1" s="1"/>
  <c r="AF201" i="1"/>
  <c r="CG201" i="1" s="1"/>
  <c r="AF202" i="1"/>
  <c r="CG202" i="1" s="1"/>
  <c r="AF347" i="1"/>
  <c r="AF356" i="1"/>
  <c r="AF357" i="1"/>
  <c r="AF358" i="1"/>
  <c r="AF359" i="1"/>
  <c r="AF360" i="1"/>
  <c r="AF361" i="1"/>
  <c r="AF362" i="1"/>
  <c r="AF363" i="1"/>
  <c r="AF428" i="1"/>
  <c r="AF185" i="1"/>
  <c r="CG185" i="1" s="1"/>
  <c r="AB123" i="1"/>
  <c r="AB183" i="1"/>
  <c r="AB184" i="1"/>
  <c r="CC184" i="1" s="1"/>
  <c r="AB428" i="1"/>
  <c r="AB185" i="1"/>
  <c r="CC185" i="1" s="1"/>
  <c r="AB186" i="1"/>
  <c r="CC186" i="1" s="1"/>
  <c r="AB187" i="1"/>
  <c r="CC187" i="1" s="1"/>
  <c r="AB188" i="1"/>
  <c r="CC188" i="1" s="1"/>
  <c r="AB189" i="1"/>
  <c r="CC189" i="1" s="1"/>
  <c r="AB190" i="1"/>
  <c r="CC190" i="1" s="1"/>
  <c r="AB191" i="1"/>
  <c r="CC191" i="1" s="1"/>
  <c r="AB192" i="1"/>
  <c r="CC192" i="1" s="1"/>
  <c r="AB193" i="1"/>
  <c r="CC193" i="1" s="1"/>
  <c r="AB195" i="1"/>
  <c r="AB196" i="1"/>
  <c r="CC196" i="1" s="1"/>
  <c r="AB197" i="1"/>
  <c r="CC197" i="1" s="1"/>
  <c r="AB198" i="1"/>
  <c r="CC198" i="1" s="1"/>
  <c r="AB199" i="1"/>
  <c r="CC199" i="1" s="1"/>
  <c r="AB200" i="1"/>
  <c r="CC200" i="1" s="1"/>
  <c r="AB201" i="1"/>
  <c r="CC201" i="1" s="1"/>
  <c r="AB202" i="1"/>
  <c r="CC202" i="1" s="1"/>
  <c r="AB347" i="1"/>
  <c r="AB356" i="1"/>
  <c r="AB357" i="1"/>
  <c r="AB358" i="1"/>
  <c r="AB359" i="1"/>
  <c r="AB360" i="1"/>
  <c r="AB361" i="1"/>
  <c r="AB362" i="1"/>
  <c r="AB363" i="1"/>
  <c r="AG123" i="1"/>
  <c r="AG183" i="1"/>
  <c r="AG184" i="1"/>
  <c r="CH184" i="1" s="1"/>
  <c r="AG428" i="1"/>
  <c r="AG185" i="1"/>
  <c r="CH185" i="1" s="1"/>
  <c r="AG186" i="1"/>
  <c r="CH186" i="1" s="1"/>
  <c r="AG187" i="1"/>
  <c r="CH187" i="1" s="1"/>
  <c r="AG188" i="1"/>
  <c r="CH188" i="1" s="1"/>
  <c r="AG189" i="1"/>
  <c r="CH189" i="1" s="1"/>
  <c r="AG190" i="1"/>
  <c r="CH190" i="1" s="1"/>
  <c r="AG191" i="1"/>
  <c r="CH191" i="1" s="1"/>
  <c r="AG192" i="1"/>
  <c r="CH192" i="1" s="1"/>
  <c r="AG193" i="1"/>
  <c r="CH193" i="1" s="1"/>
  <c r="AG195" i="1"/>
  <c r="AG196" i="1"/>
  <c r="CH196" i="1" s="1"/>
  <c r="AG197" i="1"/>
  <c r="CH197" i="1" s="1"/>
  <c r="AG198" i="1"/>
  <c r="CH198" i="1" s="1"/>
  <c r="AG199" i="1"/>
  <c r="CH199" i="1" s="1"/>
  <c r="AG200" i="1"/>
  <c r="CH200" i="1" s="1"/>
  <c r="AG201" i="1"/>
  <c r="CH201" i="1" s="1"/>
  <c r="AG202" i="1"/>
  <c r="CH202" i="1" s="1"/>
  <c r="AG347" i="1"/>
  <c r="AG356" i="1"/>
  <c r="AG357" i="1"/>
  <c r="AG358" i="1"/>
  <c r="AG359" i="1"/>
  <c r="AG360" i="1"/>
  <c r="AG361" i="1"/>
  <c r="AG362" i="1"/>
  <c r="AG363" i="1"/>
  <c r="V123" i="1"/>
  <c r="V183" i="1"/>
  <c r="V184" i="1"/>
  <c r="BW184" i="1" s="1"/>
  <c r="V428" i="1"/>
  <c r="V185" i="1"/>
  <c r="BW185" i="1" s="1"/>
  <c r="V186" i="1"/>
  <c r="BW186" i="1" s="1"/>
  <c r="V187" i="1"/>
  <c r="BW187" i="1" s="1"/>
  <c r="V188" i="1"/>
  <c r="BW188" i="1" s="1"/>
  <c r="V189" i="1"/>
  <c r="BW189" i="1" s="1"/>
  <c r="V190" i="1"/>
  <c r="BW190" i="1" s="1"/>
  <c r="V191" i="1"/>
  <c r="BW191" i="1" s="1"/>
  <c r="V192" i="1"/>
  <c r="BW192" i="1" s="1"/>
  <c r="V193" i="1"/>
  <c r="BW193" i="1" s="1"/>
  <c r="V195" i="1"/>
  <c r="V196" i="1"/>
  <c r="BW196" i="1" s="1"/>
  <c r="V197" i="1"/>
  <c r="BW197" i="1" s="1"/>
  <c r="V198" i="1"/>
  <c r="BW198" i="1" s="1"/>
  <c r="V199" i="1"/>
  <c r="BW199" i="1" s="1"/>
  <c r="V200" i="1"/>
  <c r="BW200" i="1" s="1"/>
  <c r="V201" i="1"/>
  <c r="BW201" i="1" s="1"/>
  <c r="V202" i="1"/>
  <c r="BW202" i="1" s="1"/>
  <c r="V347" i="1"/>
  <c r="V356" i="1"/>
  <c r="V357" i="1"/>
  <c r="V358" i="1"/>
  <c r="V359" i="1"/>
  <c r="V360" i="1"/>
  <c r="V361" i="1"/>
  <c r="V362" i="1"/>
  <c r="V363" i="1"/>
  <c r="AE183" i="1"/>
  <c r="AE184" i="1"/>
  <c r="CF184" i="1" s="1"/>
  <c r="AE123" i="1"/>
  <c r="AE428" i="1"/>
  <c r="AE185" i="1"/>
  <c r="CF185" i="1" s="1"/>
  <c r="AE186" i="1"/>
  <c r="CF186" i="1" s="1"/>
  <c r="AE187" i="1"/>
  <c r="CF187" i="1" s="1"/>
  <c r="AE188" i="1"/>
  <c r="CF188" i="1" s="1"/>
  <c r="AE189" i="1"/>
  <c r="CF189" i="1" s="1"/>
  <c r="AE190" i="1"/>
  <c r="CF190" i="1" s="1"/>
  <c r="AE191" i="1"/>
  <c r="CF191" i="1" s="1"/>
  <c r="AE192" i="1"/>
  <c r="CF192" i="1" s="1"/>
  <c r="AE193" i="1"/>
  <c r="CF193" i="1" s="1"/>
  <c r="AE195" i="1"/>
  <c r="AE196" i="1"/>
  <c r="CF196" i="1" s="1"/>
  <c r="AE197" i="1"/>
  <c r="CF197" i="1" s="1"/>
  <c r="AE198" i="1"/>
  <c r="CF198" i="1" s="1"/>
  <c r="AE199" i="1"/>
  <c r="CF199" i="1" s="1"/>
  <c r="AE200" i="1"/>
  <c r="CF200" i="1" s="1"/>
  <c r="AE201" i="1"/>
  <c r="CF201" i="1" s="1"/>
  <c r="AE202" i="1"/>
  <c r="CF202" i="1" s="1"/>
  <c r="AE347" i="1"/>
  <c r="AE356" i="1"/>
  <c r="AE357" i="1"/>
  <c r="AE358" i="1"/>
  <c r="AE359" i="1"/>
  <c r="AE360" i="1"/>
  <c r="AE361" i="1"/>
  <c r="AE362" i="1"/>
  <c r="AE363" i="1"/>
  <c r="AK24" i="1"/>
  <c r="E150" i="1"/>
  <c r="W123" i="1"/>
  <c r="W428" i="1"/>
  <c r="W183" i="1"/>
  <c r="W186" i="1"/>
  <c r="BX186" i="1" s="1"/>
  <c r="W188" i="1"/>
  <c r="W190" i="1"/>
  <c r="BX190" i="1" s="1"/>
  <c r="W192" i="1"/>
  <c r="BX192" i="1" s="1"/>
  <c r="W195" i="1"/>
  <c r="W197" i="1"/>
  <c r="W199" i="1"/>
  <c r="BX199" i="1" s="1"/>
  <c r="W201" i="1"/>
  <c r="BX201" i="1" s="1"/>
  <c r="W356" i="1"/>
  <c r="W358" i="1"/>
  <c r="W360" i="1"/>
  <c r="W362" i="1"/>
  <c r="W184" i="1"/>
  <c r="BX184" i="1" s="1"/>
  <c r="W185" i="1"/>
  <c r="W187" i="1"/>
  <c r="BX187" i="1" s="1"/>
  <c r="W189" i="1"/>
  <c r="W191" i="1"/>
  <c r="BX191" i="1" s="1"/>
  <c r="W193" i="1"/>
  <c r="BX193" i="1" s="1"/>
  <c r="W196" i="1"/>
  <c r="BX196" i="1" s="1"/>
  <c r="W198" i="1"/>
  <c r="W200" i="1"/>
  <c r="BX200" i="1" s="1"/>
  <c r="W202" i="1"/>
  <c r="W347" i="1"/>
  <c r="W357" i="1"/>
  <c r="W359" i="1"/>
  <c r="W361" i="1"/>
  <c r="W363" i="1"/>
  <c r="AE43" i="1"/>
  <c r="K416" i="4"/>
  <c r="K307" i="4"/>
  <c r="K227" i="4"/>
  <c r="K207" i="4"/>
  <c r="G24" i="3"/>
  <c r="U123" i="1"/>
  <c r="U184" i="1"/>
  <c r="BV184" i="1" s="1"/>
  <c r="U186" i="1"/>
  <c r="BV186" i="1" s="1"/>
  <c r="U188" i="1"/>
  <c r="BV188" i="1" s="1"/>
  <c r="U190" i="1"/>
  <c r="BV190" i="1" s="1"/>
  <c r="U192" i="1"/>
  <c r="BV192" i="1" s="1"/>
  <c r="U195" i="1"/>
  <c r="U197" i="1"/>
  <c r="BV197" i="1" s="1"/>
  <c r="U199" i="1"/>
  <c r="BV199" i="1" s="1"/>
  <c r="U201" i="1"/>
  <c r="BV201" i="1" s="1"/>
  <c r="U347" i="1"/>
  <c r="U357" i="1"/>
  <c r="U359" i="1"/>
  <c r="U361" i="1"/>
  <c r="U363" i="1"/>
  <c r="U428" i="1"/>
  <c r="U183" i="1"/>
  <c r="U185" i="1"/>
  <c r="BV185" i="1" s="1"/>
  <c r="U187" i="1"/>
  <c r="BV187" i="1" s="1"/>
  <c r="U189" i="1"/>
  <c r="BV189" i="1" s="1"/>
  <c r="U191" i="1"/>
  <c r="BV191" i="1" s="1"/>
  <c r="U193" i="1"/>
  <c r="BV193" i="1" s="1"/>
  <c r="U196" i="1"/>
  <c r="BV196" i="1" s="1"/>
  <c r="U198" i="1"/>
  <c r="BV198" i="1" s="1"/>
  <c r="U200" i="1"/>
  <c r="BV200" i="1" s="1"/>
  <c r="U202" i="1"/>
  <c r="BV202" i="1" s="1"/>
  <c r="U356" i="1"/>
  <c r="U358" i="1"/>
  <c r="U360" i="1"/>
  <c r="U362" i="1"/>
  <c r="AA428" i="1"/>
  <c r="AA183" i="1"/>
  <c r="AA185" i="1"/>
  <c r="CB185" i="1" s="1"/>
  <c r="AA187" i="1"/>
  <c r="CB187" i="1" s="1"/>
  <c r="AA189" i="1"/>
  <c r="CB189" i="1" s="1"/>
  <c r="AA191" i="1"/>
  <c r="CB191" i="1" s="1"/>
  <c r="AA193" i="1"/>
  <c r="CB193" i="1" s="1"/>
  <c r="AA196" i="1"/>
  <c r="CB196" i="1" s="1"/>
  <c r="AA198" i="1"/>
  <c r="CB198" i="1" s="1"/>
  <c r="AA200" i="1"/>
  <c r="CB200" i="1" s="1"/>
  <c r="AA202" i="1"/>
  <c r="CB202" i="1" s="1"/>
  <c r="AA356" i="1"/>
  <c r="AA358" i="1"/>
  <c r="AA360" i="1"/>
  <c r="AA362" i="1"/>
  <c r="AA123" i="1"/>
  <c r="AA184" i="1"/>
  <c r="CB184" i="1" s="1"/>
  <c r="AA186" i="1"/>
  <c r="CB186" i="1" s="1"/>
  <c r="AA188" i="1"/>
  <c r="CB188" i="1" s="1"/>
  <c r="AA190" i="1"/>
  <c r="CB190" i="1" s="1"/>
  <c r="AA192" i="1"/>
  <c r="CB192" i="1" s="1"/>
  <c r="AA195" i="1"/>
  <c r="AA197" i="1"/>
  <c r="CB197" i="1" s="1"/>
  <c r="AA199" i="1"/>
  <c r="CB199" i="1" s="1"/>
  <c r="AA201" i="1"/>
  <c r="CB201" i="1" s="1"/>
  <c r="AA347" i="1"/>
  <c r="AA357" i="1"/>
  <c r="AA359" i="1"/>
  <c r="AA361" i="1"/>
  <c r="AA363" i="1"/>
  <c r="AN71" i="1"/>
  <c r="Y428" i="1"/>
  <c r="Y183" i="1"/>
  <c r="Y185" i="1"/>
  <c r="BZ185" i="1" s="1"/>
  <c r="Y187" i="1"/>
  <c r="BZ187" i="1" s="1"/>
  <c r="Y189" i="1"/>
  <c r="BZ189" i="1" s="1"/>
  <c r="Y191" i="1"/>
  <c r="BZ191" i="1" s="1"/>
  <c r="Y193" i="1"/>
  <c r="BZ193" i="1" s="1"/>
  <c r="Y196" i="1"/>
  <c r="BZ196" i="1" s="1"/>
  <c r="Y198" i="1"/>
  <c r="BZ198" i="1" s="1"/>
  <c r="Y200" i="1"/>
  <c r="BZ200" i="1" s="1"/>
  <c r="Y202" i="1"/>
  <c r="BZ202" i="1" s="1"/>
  <c r="Y356" i="1"/>
  <c r="Y358" i="1"/>
  <c r="Y360" i="1"/>
  <c r="Y362" i="1"/>
  <c r="Y123" i="1"/>
  <c r="Y184" i="1"/>
  <c r="BZ184" i="1" s="1"/>
  <c r="Y186" i="1"/>
  <c r="Y188" i="1"/>
  <c r="BZ188" i="1" s="1"/>
  <c r="Y190" i="1"/>
  <c r="BZ190" i="1" s="1"/>
  <c r="Y192" i="1"/>
  <c r="BZ192" i="1" s="1"/>
  <c r="Y195" i="1"/>
  <c r="Y197" i="1"/>
  <c r="BZ197" i="1" s="1"/>
  <c r="Y199" i="1"/>
  <c r="Y201" i="1"/>
  <c r="BZ201" i="1" s="1"/>
  <c r="Y347" i="1"/>
  <c r="Y357" i="1"/>
  <c r="Y359" i="1"/>
  <c r="Y361" i="1"/>
  <c r="Y363" i="1"/>
  <c r="AC43" i="1"/>
  <c r="AC428" i="1"/>
  <c r="AC183" i="1"/>
  <c r="AC185" i="1"/>
  <c r="AC187" i="1"/>
  <c r="AC189" i="1"/>
  <c r="AC191" i="1"/>
  <c r="AC193" i="1"/>
  <c r="AC196" i="1"/>
  <c r="AC198" i="1"/>
  <c r="AC200" i="1"/>
  <c r="AC202" i="1"/>
  <c r="AC356" i="1"/>
  <c r="AC358" i="1"/>
  <c r="AC360" i="1"/>
  <c r="AC362" i="1"/>
  <c r="AC123" i="1"/>
  <c r="AC184" i="1"/>
  <c r="AC186" i="1"/>
  <c r="AC188" i="1"/>
  <c r="AC190" i="1"/>
  <c r="AC192" i="1"/>
  <c r="AC195" i="1"/>
  <c r="AC197" i="1"/>
  <c r="AC199" i="1"/>
  <c r="AC201" i="1"/>
  <c r="AC347" i="1"/>
  <c r="AC357" i="1"/>
  <c r="AC359" i="1"/>
  <c r="AC361" i="1"/>
  <c r="AC363" i="1"/>
  <c r="M60" i="3"/>
  <c r="D31" i="3"/>
  <c r="AK63" i="1"/>
  <c r="K213" i="4"/>
  <c r="K25" i="4"/>
  <c r="D29" i="3"/>
  <c r="BU186" i="1"/>
  <c r="BU190" i="1"/>
  <c r="BU199" i="1"/>
  <c r="BU185" i="1"/>
  <c r="BU189" i="1"/>
  <c r="BU193" i="1"/>
  <c r="BU198" i="1"/>
  <c r="BU202" i="1"/>
  <c r="H60" i="3"/>
  <c r="D26" i="3"/>
  <c r="L60" i="3"/>
  <c r="D30" i="3"/>
  <c r="R184" i="1"/>
  <c r="R186" i="1"/>
  <c r="R188" i="1"/>
  <c r="R190" i="1"/>
  <c r="R192" i="1"/>
  <c r="R195" i="1"/>
  <c r="R197" i="1"/>
  <c r="R199" i="1"/>
  <c r="R201" i="1"/>
  <c r="R347" i="1"/>
  <c r="R357" i="1"/>
  <c r="R359" i="1"/>
  <c r="R361" i="1"/>
  <c r="R363" i="1"/>
  <c r="R123" i="1"/>
  <c r="R428" i="1"/>
  <c r="R183" i="1"/>
  <c r="R185" i="1"/>
  <c r="R187" i="1"/>
  <c r="R189" i="1"/>
  <c r="R191" i="1"/>
  <c r="R193" i="1"/>
  <c r="R196" i="1"/>
  <c r="R198" i="1"/>
  <c r="R200" i="1"/>
  <c r="R202" i="1"/>
  <c r="R356" i="1"/>
  <c r="R358" i="1"/>
  <c r="R360" i="1"/>
  <c r="R362" i="1"/>
  <c r="AI24" i="1"/>
  <c r="X184" i="1"/>
  <c r="X186" i="1"/>
  <c r="X188" i="1"/>
  <c r="X190" i="1"/>
  <c r="X192" i="1"/>
  <c r="X195" i="1"/>
  <c r="X197" i="1"/>
  <c r="X199" i="1"/>
  <c r="X201" i="1"/>
  <c r="X347" i="1"/>
  <c r="X357" i="1"/>
  <c r="X359" i="1"/>
  <c r="X361" i="1"/>
  <c r="X363" i="1"/>
  <c r="X123" i="1"/>
  <c r="X428" i="1"/>
  <c r="X183" i="1"/>
  <c r="X185" i="1"/>
  <c r="X187" i="1"/>
  <c r="X189" i="1"/>
  <c r="X191" i="1"/>
  <c r="X193" i="1"/>
  <c r="X196" i="1"/>
  <c r="X198" i="1"/>
  <c r="X200" i="1"/>
  <c r="X202" i="1"/>
  <c r="X356" i="1"/>
  <c r="X358" i="1"/>
  <c r="X360" i="1"/>
  <c r="X362" i="1"/>
  <c r="T59" i="3"/>
  <c r="D38" i="3"/>
  <c r="K87" i="4"/>
  <c r="X75" i="1"/>
  <c r="X368" i="1"/>
  <c r="AI71" i="1"/>
  <c r="S426" i="1"/>
  <c r="S218" i="1"/>
  <c r="S226" i="1"/>
  <c r="BT226" i="1" s="1"/>
  <c r="S207" i="1"/>
  <c r="S348" i="1"/>
  <c r="S400" i="1"/>
  <c r="V426" i="1"/>
  <c r="V218" i="1"/>
  <c r="V226" i="1"/>
  <c r="BW226" i="1" s="1"/>
  <c r="V207" i="1"/>
  <c r="V348" i="1"/>
  <c r="V400" i="1"/>
  <c r="Z426" i="1"/>
  <c r="Z218" i="1"/>
  <c r="Z226" i="1"/>
  <c r="CA226" i="1" s="1"/>
  <c r="Z207" i="1"/>
  <c r="Z348" i="1"/>
  <c r="Z400" i="1"/>
  <c r="AB426" i="1"/>
  <c r="AB207" i="1"/>
  <c r="AB218" i="1"/>
  <c r="AB226" i="1"/>
  <c r="AB348" i="1"/>
  <c r="AB400" i="1"/>
  <c r="AD426" i="1"/>
  <c r="AD207" i="1"/>
  <c r="AD218" i="1"/>
  <c r="AD226" i="1"/>
  <c r="CE226" i="1" s="1"/>
  <c r="AD348" i="1"/>
  <c r="AD400" i="1"/>
  <c r="AF426" i="1"/>
  <c r="AF207" i="1"/>
  <c r="AF218" i="1"/>
  <c r="AF226" i="1"/>
  <c r="CG226" i="1" s="1"/>
  <c r="AF348" i="1"/>
  <c r="AF400" i="1"/>
  <c r="AH426" i="1"/>
  <c r="AH207" i="1"/>
  <c r="AH218" i="1"/>
  <c r="AH226" i="1"/>
  <c r="AH348" i="1"/>
  <c r="AH400" i="1"/>
  <c r="AO400" i="1" s="1"/>
  <c r="AA41" i="1"/>
  <c r="AA109" i="1" s="1"/>
  <c r="AA74" i="1"/>
  <c r="AA367" i="1"/>
  <c r="X74" i="1"/>
  <c r="X41" i="1"/>
  <c r="X109" i="1" s="1"/>
  <c r="X367" i="1"/>
  <c r="K526" i="4"/>
  <c r="K508" i="4"/>
  <c r="K509" i="4"/>
  <c r="K492" i="4"/>
  <c r="K493" i="4"/>
  <c r="K466" i="4"/>
  <c r="K448" i="4"/>
  <c r="K449" i="4"/>
  <c r="K348" i="4"/>
  <c r="K376" i="4"/>
  <c r="K349" i="4"/>
  <c r="K332" i="4"/>
  <c r="K333" i="4"/>
  <c r="K352" i="4"/>
  <c r="K322" i="4"/>
  <c r="K301" i="4"/>
  <c r="K300" i="4"/>
  <c r="K339" i="4"/>
  <c r="K369" i="4"/>
  <c r="K272" i="4"/>
  <c r="K287" i="4"/>
  <c r="K247" i="4"/>
  <c r="B504" i="4"/>
  <c r="K231" i="4"/>
  <c r="K237" i="4"/>
  <c r="B481" i="4"/>
  <c r="K217" i="4"/>
  <c r="K211" i="4"/>
  <c r="B451" i="4"/>
  <c r="K201" i="4"/>
  <c r="K195" i="4"/>
  <c r="B421" i="4"/>
  <c r="K170" i="4"/>
  <c r="B375" i="4"/>
  <c r="K154" i="4"/>
  <c r="B344" i="4"/>
  <c r="K137" i="4"/>
  <c r="B328" i="4"/>
  <c r="K121" i="4"/>
  <c r="B303" i="4"/>
  <c r="K513" i="4"/>
  <c r="K483" i="4"/>
  <c r="K391" i="4"/>
  <c r="K384" i="4"/>
  <c r="K377" i="4"/>
  <c r="K360" i="4"/>
  <c r="K353" i="4"/>
  <c r="K527" i="4"/>
  <c r="K520" i="4"/>
  <c r="K506" i="4"/>
  <c r="K497" i="4"/>
  <c r="K490" i="4"/>
  <c r="K476" i="4"/>
  <c r="K346" i="4"/>
  <c r="K486" i="4"/>
  <c r="K485" i="4"/>
  <c r="K440" i="4"/>
  <c r="K187" i="4"/>
  <c r="K505" i="4"/>
  <c r="K475" i="4"/>
  <c r="K436" i="4"/>
  <c r="K409" i="4"/>
  <c r="K445" i="4"/>
  <c r="K410" i="4"/>
  <c r="K394" i="4"/>
  <c r="K393" i="4"/>
  <c r="K341" i="4"/>
  <c r="K342" i="4"/>
  <c r="K326" i="4"/>
  <c r="K325" i="4"/>
  <c r="K309" i="4"/>
  <c r="K359" i="4"/>
  <c r="K329" i="4"/>
  <c r="K310" i="4"/>
  <c r="K345" i="4"/>
  <c r="K315" i="4"/>
  <c r="K289" i="4"/>
  <c r="K290" i="4"/>
  <c r="K370" i="4"/>
  <c r="K340" i="4"/>
  <c r="K248" i="4"/>
  <c r="K254" i="4"/>
  <c r="B511" i="4"/>
  <c r="K238" i="4"/>
  <c r="K232" i="4"/>
  <c r="B488" i="4"/>
  <c r="K218" i="4"/>
  <c r="K212" i="4"/>
  <c r="B458" i="4"/>
  <c r="K196" i="4"/>
  <c r="K220" i="4"/>
  <c r="K171" i="4"/>
  <c r="B382" i="4"/>
  <c r="K155" i="4"/>
  <c r="B351" i="4"/>
  <c r="K134" i="4"/>
  <c r="K129" i="4"/>
  <c r="K118" i="4"/>
  <c r="K125" i="4"/>
  <c r="K113" i="4"/>
  <c r="B275" i="4"/>
  <c r="K80" i="4"/>
  <c r="K98" i="4"/>
  <c r="K74" i="4"/>
  <c r="K73" i="4"/>
  <c r="K58" i="4"/>
  <c r="K77" i="4"/>
  <c r="K75" i="4"/>
  <c r="K92" i="4"/>
  <c r="K63" i="4"/>
  <c r="O58" i="3"/>
  <c r="P58" i="3"/>
  <c r="R58" i="3"/>
  <c r="K498" i="4"/>
  <c r="K439" i="4"/>
  <c r="K435" i="4"/>
  <c r="K93" i="4"/>
  <c r="K530" i="4"/>
  <c r="K499" i="4"/>
  <c r="K470" i="4"/>
  <c r="K424" i="4"/>
  <c r="K407" i="4"/>
  <c r="K298" i="4"/>
  <c r="K190" i="4"/>
  <c r="K175" i="4"/>
  <c r="K115" i="4"/>
  <c r="K83" i="4"/>
  <c r="K95" i="4"/>
  <c r="AI138" i="1"/>
  <c r="AB87" i="1"/>
  <c r="AB89" i="1" s="1"/>
  <c r="AN74" i="1"/>
  <c r="AH87" i="1"/>
  <c r="AH89" i="1" s="1"/>
  <c r="AO74" i="1"/>
  <c r="AO87" i="1" s="1"/>
  <c r="AA86" i="1"/>
  <c r="AA379" i="1"/>
  <c r="AK31" i="1"/>
  <c r="X86" i="1"/>
  <c r="X379" i="1"/>
  <c r="K522" i="4"/>
  <c r="K523" i="4"/>
  <c r="K496" i="4"/>
  <c r="K478" i="4"/>
  <c r="K479" i="4"/>
  <c r="K462" i="4"/>
  <c r="K463" i="4"/>
  <c r="K512" i="4"/>
  <c r="K482" i="4"/>
  <c r="K418" i="4"/>
  <c r="K452" i="4"/>
  <c r="K419" i="4"/>
  <c r="K387" i="4"/>
  <c r="K386" i="4"/>
  <c r="K372" i="4"/>
  <c r="K373" i="4"/>
  <c r="K363" i="4"/>
  <c r="K390" i="4"/>
  <c r="K362" i="4"/>
  <c r="K319" i="4"/>
  <c r="K318" i="4"/>
  <c r="K280" i="4"/>
  <c r="K281" i="4"/>
  <c r="K255" i="4"/>
  <c r="K249" i="4"/>
  <c r="B518" i="4"/>
  <c r="K233" i="4"/>
  <c r="K257" i="4"/>
  <c r="K193" i="4"/>
  <c r="B403" i="4"/>
  <c r="K172" i="4"/>
  <c r="B389" i="4"/>
  <c r="K156" i="4"/>
  <c r="B358" i="4"/>
  <c r="K135" i="4"/>
  <c r="B314" i="4"/>
  <c r="K119" i="4"/>
  <c r="B283" i="4"/>
  <c r="K101" i="4"/>
  <c r="K100" i="4"/>
  <c r="K521" i="4"/>
  <c r="K507" i="4"/>
  <c r="K491" i="4"/>
  <c r="K477" i="4"/>
  <c r="K392" i="4"/>
  <c r="K378" i="4"/>
  <c r="K361" i="4"/>
  <c r="K347" i="4"/>
  <c r="K99" i="4"/>
  <c r="K514" i="4"/>
  <c r="K484" i="4"/>
  <c r="K385" i="4"/>
  <c r="K354" i="4"/>
  <c r="K453" i="4"/>
  <c r="K446" i="4"/>
  <c r="K330" i="4"/>
  <c r="K467" i="4"/>
  <c r="K460" i="4"/>
  <c r="K323" i="4"/>
  <c r="K316" i="4"/>
  <c r="K50" i="4"/>
  <c r="K288" i="4"/>
  <c r="K454" i="4"/>
  <c r="K417" i="4"/>
  <c r="K324" i="4"/>
  <c r="K317" i="4"/>
  <c r="K299" i="4"/>
  <c r="K461" i="4"/>
  <c r="K447" i="4"/>
  <c r="K426" i="4"/>
  <c r="K408" i="4"/>
  <c r="K331" i="4"/>
  <c r="K308" i="4"/>
  <c r="K78" i="4"/>
  <c r="K82" i="4"/>
  <c r="A64" i="3"/>
  <c r="A58" i="3"/>
  <c r="A88" i="3"/>
  <c r="A83" i="3"/>
  <c r="A85" i="3"/>
  <c r="A87" i="3"/>
  <c r="A90" i="3"/>
  <c r="A92" i="3"/>
  <c r="A94" i="3"/>
  <c r="A106" i="3"/>
  <c r="A108" i="3"/>
  <c r="A110" i="3"/>
  <c r="A112" i="3"/>
  <c r="A114" i="3"/>
  <c r="A67" i="3"/>
  <c r="A8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K178" i="4" s="1"/>
  <c r="A44" i="3"/>
  <c r="A46" i="3"/>
  <c r="A48" i="3"/>
  <c r="A50" i="3"/>
  <c r="A52" i="3"/>
  <c r="A54" i="3"/>
  <c r="A56" i="3"/>
  <c r="A59" i="3"/>
  <c r="A61" i="3"/>
  <c r="A63" i="3"/>
  <c r="A66" i="3"/>
  <c r="A6" i="3"/>
  <c r="A96" i="3"/>
  <c r="A97" i="3"/>
  <c r="A98" i="3"/>
  <c r="A99" i="3"/>
  <c r="A100" i="3"/>
  <c r="A101" i="3"/>
  <c r="A102" i="3"/>
  <c r="A103" i="3"/>
  <c r="A104" i="3"/>
  <c r="A105" i="3"/>
  <c r="A82" i="3"/>
  <c r="A84" i="3"/>
  <c r="A86" i="3"/>
  <c r="A89" i="3"/>
  <c r="A91" i="3"/>
  <c r="A93" i="3"/>
  <c r="A95" i="3"/>
  <c r="A107" i="3"/>
  <c r="A109" i="3"/>
  <c r="A111" i="3"/>
  <c r="A113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7" i="3"/>
  <c r="A9" i="3"/>
  <c r="A11" i="3"/>
  <c r="A13" i="3"/>
  <c r="A15" i="3"/>
  <c r="A17" i="3"/>
  <c r="A19" i="3"/>
  <c r="A21" i="3"/>
  <c r="A23" i="3"/>
  <c r="A25" i="3"/>
  <c r="A27" i="3"/>
  <c r="A29" i="3"/>
  <c r="A31" i="3"/>
  <c r="A33" i="3"/>
  <c r="A35" i="3"/>
  <c r="A37" i="3"/>
  <c r="A39" i="3"/>
  <c r="A41" i="3"/>
  <c r="K177" i="4" s="1"/>
  <c r="A43" i="3"/>
  <c r="K179" i="4" s="1"/>
  <c r="A45" i="3"/>
  <c r="A47" i="3"/>
  <c r="A49" i="3"/>
  <c r="A51" i="3"/>
  <c r="A53" i="3"/>
  <c r="A55" i="3"/>
  <c r="A57" i="3"/>
  <c r="A60" i="3"/>
  <c r="A62" i="3"/>
  <c r="A65" i="3"/>
  <c r="A68" i="3"/>
  <c r="A3" i="3"/>
  <c r="A5" i="3"/>
  <c r="A4" i="3"/>
  <c r="A2" i="3"/>
  <c r="K516" i="4"/>
  <c r="K515" i="4"/>
  <c r="K456" i="4"/>
  <c r="K455" i="4"/>
  <c r="K519" i="4"/>
  <c r="K489" i="4"/>
  <c r="K459" i="4"/>
  <c r="K428" i="4"/>
  <c r="K427" i="4"/>
  <c r="K406" i="4"/>
  <c r="K434" i="4"/>
  <c r="K380" i="4"/>
  <c r="K379" i="4"/>
  <c r="K165" i="4"/>
  <c r="K371" i="4"/>
  <c r="K356" i="4"/>
  <c r="K383" i="4"/>
  <c r="K355" i="4"/>
  <c r="K338" i="4"/>
  <c r="K149" i="4"/>
  <c r="K114" i="4"/>
  <c r="K279" i="4"/>
  <c r="K368" i="4"/>
  <c r="K130" i="4"/>
  <c r="K230" i="4"/>
  <c r="B474" i="4"/>
  <c r="K210" i="4"/>
  <c r="B444" i="4"/>
  <c r="K194" i="4"/>
  <c r="K200" i="4"/>
  <c r="B412" i="4"/>
  <c r="K166" i="4"/>
  <c r="K173" i="4"/>
  <c r="K169" i="4"/>
  <c r="K164" i="4"/>
  <c r="B367" i="4"/>
  <c r="K157" i="4"/>
  <c r="K150" i="4"/>
  <c r="K153" i="4"/>
  <c r="B337" i="4"/>
  <c r="K148" i="4"/>
  <c r="K136" i="4"/>
  <c r="B321" i="4"/>
  <c r="K140" i="4"/>
  <c r="K122" i="4"/>
  <c r="K120" i="4"/>
  <c r="B292" i="4"/>
  <c r="K96" i="4"/>
  <c r="K70" i="4"/>
  <c r="K71" i="4"/>
  <c r="K69" i="4"/>
  <c r="K86" i="4"/>
  <c r="K131" i="4"/>
  <c r="K528" i="4"/>
  <c r="K468" i="4"/>
  <c r="K437" i="4"/>
  <c r="K138" i="4"/>
  <c r="K529" i="4"/>
  <c r="K500" i="4"/>
  <c r="K469" i="4"/>
  <c r="K438" i="4"/>
  <c r="K425" i="4"/>
  <c r="K306" i="4"/>
  <c r="K286" i="4"/>
  <c r="K250" i="4"/>
  <c r="K244" i="4"/>
  <c r="K97" i="4"/>
  <c r="CI196" i="1" l="1"/>
  <c r="J6" i="32"/>
  <c r="J18" i="32"/>
  <c r="J9" i="32"/>
  <c r="J10" i="32"/>
  <c r="E4" i="32"/>
  <c r="J5" i="32"/>
  <c r="T116" i="1"/>
  <c r="O61" i="3"/>
  <c r="H13" i="32"/>
  <c r="P60" i="3"/>
  <c r="G14" i="32"/>
  <c r="R60" i="3"/>
  <c r="G16" i="32"/>
  <c r="I14" i="32"/>
  <c r="N59" i="3"/>
  <c r="F12" i="32"/>
  <c r="R62" i="3"/>
  <c r="I16" i="32"/>
  <c r="O60" i="3"/>
  <c r="G13" i="32"/>
  <c r="N60" i="3"/>
  <c r="G12" i="32"/>
  <c r="R59" i="3"/>
  <c r="F16" i="32"/>
  <c r="O62" i="3"/>
  <c r="I13" i="32"/>
  <c r="N62" i="3"/>
  <c r="I12" i="32"/>
  <c r="P59" i="3"/>
  <c r="F14" i="32"/>
  <c r="N61" i="3"/>
  <c r="H12" i="32"/>
  <c r="N58" i="3"/>
  <c r="E12" i="32"/>
  <c r="F61" i="3"/>
  <c r="H4" i="32"/>
  <c r="E59" i="3"/>
  <c r="F3" i="32"/>
  <c r="F59" i="3"/>
  <c r="F4" i="32"/>
  <c r="F60" i="3"/>
  <c r="G4" i="32"/>
  <c r="F62" i="3"/>
  <c r="I4" i="32"/>
  <c r="D61" i="3"/>
  <c r="H2" i="32"/>
  <c r="D60" i="3"/>
  <c r="G2" i="32"/>
  <c r="E60" i="3"/>
  <c r="G3" i="32"/>
  <c r="D62" i="3"/>
  <c r="I2" i="32"/>
  <c r="E62" i="3"/>
  <c r="I3" i="32"/>
  <c r="J3" i="32" s="1"/>
  <c r="D58" i="3"/>
  <c r="D22" i="3"/>
  <c r="CI185" i="1"/>
  <c r="CI188" i="1"/>
  <c r="AG116" i="1"/>
  <c r="S116" i="1"/>
  <c r="AC116" i="1"/>
  <c r="AE116" i="1"/>
  <c r="U27" i="3"/>
  <c r="X27" i="3"/>
  <c r="W27" i="3"/>
  <c r="V27" i="3"/>
  <c r="T27" i="3"/>
  <c r="D32" i="3"/>
  <c r="AO183" i="1"/>
  <c r="U116" i="1"/>
  <c r="AF116" i="1"/>
  <c r="AO189" i="1"/>
  <c r="Y116" i="1"/>
  <c r="Z116" i="1"/>
  <c r="AD116" i="1"/>
  <c r="V116" i="1"/>
  <c r="AH116" i="1"/>
  <c r="AB116" i="1"/>
  <c r="AG227" i="1"/>
  <c r="AG216" i="1" s="1"/>
  <c r="AA10" i="1"/>
  <c r="X10" i="1"/>
  <c r="CI186" i="1"/>
  <c r="AL180" i="1"/>
  <c r="AK177" i="1"/>
  <c r="CL177" i="1"/>
  <c r="CI190" i="1"/>
  <c r="AO187" i="1"/>
  <c r="S364" i="1"/>
  <c r="S194" i="1"/>
  <c r="S203" i="1"/>
  <c r="CI184" i="1"/>
  <c r="AO403" i="1"/>
  <c r="AH107" i="1"/>
  <c r="AH110" i="1" s="1"/>
  <c r="CI191" i="1"/>
  <c r="CI200" i="1"/>
  <c r="E132" i="1"/>
  <c r="AN380" i="1"/>
  <c r="AN362" i="1"/>
  <c r="AM123" i="1"/>
  <c r="AM136" i="1" s="1"/>
  <c r="AC227" i="1"/>
  <c r="AM361" i="1"/>
  <c r="AM360" i="1"/>
  <c r="AH203" i="1"/>
  <c r="AE227" i="1"/>
  <c r="AE216" i="1" s="1"/>
  <c r="AN357" i="1"/>
  <c r="AM357" i="1"/>
  <c r="AN361" i="1"/>
  <c r="AN358" i="1"/>
  <c r="BU200" i="1"/>
  <c r="BU196" i="1"/>
  <c r="BU191" i="1"/>
  <c r="BU187" i="1"/>
  <c r="BU201" i="1"/>
  <c r="BU197" i="1"/>
  <c r="BU192" i="1"/>
  <c r="BU188" i="1"/>
  <c r="BU184" i="1"/>
  <c r="BZ199" i="1"/>
  <c r="BZ186" i="1"/>
  <c r="BX202" i="1"/>
  <c r="BX198" i="1"/>
  <c r="BX189" i="1"/>
  <c r="BX185" i="1"/>
  <c r="BX197" i="1"/>
  <c r="BX188" i="1"/>
  <c r="AH194" i="1"/>
  <c r="CI193" i="1"/>
  <c r="AO193" i="1"/>
  <c r="E61" i="3"/>
  <c r="D23" i="3"/>
  <c r="P61" i="3"/>
  <c r="D34" i="3"/>
  <c r="AO192" i="1"/>
  <c r="CI192" i="1"/>
  <c r="CI195" i="1"/>
  <c r="AO195" i="1"/>
  <c r="AO198" i="1"/>
  <c r="AO199" i="1"/>
  <c r="CI199" i="1"/>
  <c r="AO201" i="1"/>
  <c r="CI201" i="1"/>
  <c r="AO197" i="1"/>
  <c r="CI197" i="1"/>
  <c r="AN363" i="1"/>
  <c r="AN359" i="1"/>
  <c r="AN347" i="1"/>
  <c r="AO356" i="1"/>
  <c r="AO364" i="1" s="1"/>
  <c r="AH364" i="1"/>
  <c r="AM362" i="1"/>
  <c r="AM358" i="1"/>
  <c r="AM363" i="1"/>
  <c r="AM359" i="1"/>
  <c r="AM347" i="1"/>
  <c r="AN123" i="1"/>
  <c r="AN136" i="1" s="1"/>
  <c r="AN360" i="1"/>
  <c r="AD364" i="1"/>
  <c r="CE195" i="1"/>
  <c r="AD203" i="1"/>
  <c r="CE185" i="1"/>
  <c r="AD194" i="1"/>
  <c r="R61" i="3"/>
  <c r="D36" i="3"/>
  <c r="O59" i="3"/>
  <c r="D33" i="3"/>
  <c r="F63" i="3"/>
  <c r="AY30" i="1" s="1"/>
  <c r="D24" i="3"/>
  <c r="E147" i="1"/>
  <c r="AK71" i="1"/>
  <c r="BZ226" i="1"/>
  <c r="Y227" i="1"/>
  <c r="AN87" i="1"/>
  <c r="BV226" i="1"/>
  <c r="U227" i="1"/>
  <c r="CA195" i="1"/>
  <c r="Z203" i="1"/>
  <c r="AF364" i="1"/>
  <c r="AF203" i="1"/>
  <c r="CG195" i="1"/>
  <c r="CA185" i="1"/>
  <c r="Z194" i="1"/>
  <c r="Z364" i="1"/>
  <c r="AF194" i="1"/>
  <c r="CF183" i="1"/>
  <c r="AE194" i="1"/>
  <c r="AE364" i="1"/>
  <c r="V364" i="1"/>
  <c r="AG364" i="1"/>
  <c r="AB364" i="1"/>
  <c r="AE203" i="1"/>
  <c r="CF195" i="1"/>
  <c r="V203" i="1"/>
  <c r="BW195" i="1"/>
  <c r="BW183" i="1"/>
  <c r="V194" i="1"/>
  <c r="AG203" i="1"/>
  <c r="CH195" i="1"/>
  <c r="CH183" i="1"/>
  <c r="AG194" i="1"/>
  <c r="AB203" i="1"/>
  <c r="CC195" i="1"/>
  <c r="CC183" i="1"/>
  <c r="AB194" i="1"/>
  <c r="BX195" i="1"/>
  <c r="W203" i="1"/>
  <c r="W364" i="1"/>
  <c r="W194" i="1"/>
  <c r="BX183" i="1"/>
  <c r="CD201" i="1"/>
  <c r="AN201" i="1"/>
  <c r="CD197" i="1"/>
  <c r="AN197" i="1"/>
  <c r="CD192" i="1"/>
  <c r="AN192" i="1"/>
  <c r="CD188" i="1"/>
  <c r="AN188" i="1"/>
  <c r="CD184" i="1"/>
  <c r="AN184" i="1"/>
  <c r="CD202" i="1"/>
  <c r="AN202" i="1"/>
  <c r="CD198" i="1"/>
  <c r="AN198" i="1"/>
  <c r="CD193" i="1"/>
  <c r="AN193" i="1"/>
  <c r="CD189" i="1"/>
  <c r="AN189" i="1"/>
  <c r="CD185" i="1"/>
  <c r="AN185" i="1"/>
  <c r="Y203" i="1"/>
  <c r="BZ195" i="1"/>
  <c r="BZ183" i="1"/>
  <c r="Y194" i="1"/>
  <c r="BV183" i="1"/>
  <c r="U194" i="1"/>
  <c r="U203" i="1"/>
  <c r="BV195" i="1"/>
  <c r="Y364" i="1"/>
  <c r="U364" i="1"/>
  <c r="CD199" i="1"/>
  <c r="AN199" i="1"/>
  <c r="AC203" i="1"/>
  <c r="CD195" i="1"/>
  <c r="AN195" i="1"/>
  <c r="CD190" i="1"/>
  <c r="AN190" i="1"/>
  <c r="CD186" i="1"/>
  <c r="AN186" i="1"/>
  <c r="AN356" i="1"/>
  <c r="AC364" i="1"/>
  <c r="CD200" i="1"/>
  <c r="AN200" i="1"/>
  <c r="CD196" i="1"/>
  <c r="AN196" i="1"/>
  <c r="CD191" i="1"/>
  <c r="AN191" i="1"/>
  <c r="CD187" i="1"/>
  <c r="AN187" i="1"/>
  <c r="CD183" i="1"/>
  <c r="AN183" i="1"/>
  <c r="AC194" i="1"/>
  <c r="AA203" i="1"/>
  <c r="CB195" i="1"/>
  <c r="CB183" i="1"/>
  <c r="AA194" i="1"/>
  <c r="AA364" i="1"/>
  <c r="AM356" i="1"/>
  <c r="X364" i="1"/>
  <c r="BY200" i="1"/>
  <c r="AM200" i="1"/>
  <c r="BY196" i="1"/>
  <c r="AM196" i="1"/>
  <c r="BY191" i="1"/>
  <c r="AM191" i="1"/>
  <c r="BY187" i="1"/>
  <c r="AM187" i="1"/>
  <c r="BY183" i="1"/>
  <c r="AM183" i="1"/>
  <c r="X194" i="1"/>
  <c r="BY201" i="1"/>
  <c r="AM201" i="1"/>
  <c r="BY197" i="1"/>
  <c r="AM197" i="1"/>
  <c r="BY192" i="1"/>
  <c r="AM192" i="1"/>
  <c r="BY188" i="1"/>
  <c r="AM188" i="1"/>
  <c r="AM184" i="1"/>
  <c r="BY184" i="1"/>
  <c r="AI362" i="1"/>
  <c r="AL362" i="1"/>
  <c r="AI358" i="1"/>
  <c r="AL358" i="1"/>
  <c r="BS202" i="1"/>
  <c r="AI202" i="1"/>
  <c r="AL202" i="1"/>
  <c r="BS198" i="1"/>
  <c r="AI198" i="1"/>
  <c r="AL198" i="1"/>
  <c r="BS193" i="1"/>
  <c r="AI193" i="1"/>
  <c r="AL193" i="1"/>
  <c r="BS189" i="1"/>
  <c r="AI189" i="1"/>
  <c r="AL189" i="1"/>
  <c r="BS185" i="1"/>
  <c r="AI185" i="1"/>
  <c r="AL185" i="1"/>
  <c r="AI428" i="1"/>
  <c r="AI363" i="1"/>
  <c r="AL363" i="1"/>
  <c r="AI359" i="1"/>
  <c r="AL359" i="1"/>
  <c r="AI347" i="1"/>
  <c r="AL347" i="1"/>
  <c r="BS199" i="1"/>
  <c r="AI199" i="1"/>
  <c r="AL199" i="1"/>
  <c r="BS195" i="1"/>
  <c r="AI195" i="1"/>
  <c r="AL195" i="1"/>
  <c r="R203" i="1"/>
  <c r="BS190" i="1"/>
  <c r="AI190" i="1"/>
  <c r="AL190" i="1"/>
  <c r="BS186" i="1"/>
  <c r="AI186" i="1"/>
  <c r="AL186" i="1"/>
  <c r="BU183" i="1"/>
  <c r="BY202" i="1"/>
  <c r="AM202" i="1"/>
  <c r="BY198" i="1"/>
  <c r="AM198" i="1"/>
  <c r="BY193" i="1"/>
  <c r="AM193" i="1"/>
  <c r="BY189" i="1"/>
  <c r="AM189" i="1"/>
  <c r="BY185" i="1"/>
  <c r="AM185" i="1"/>
  <c r="BY199" i="1"/>
  <c r="AM199" i="1"/>
  <c r="X203" i="1"/>
  <c r="BY195" i="1"/>
  <c r="AM195" i="1"/>
  <c r="BY190" i="1"/>
  <c r="AM190" i="1"/>
  <c r="BY186" i="1"/>
  <c r="AM186" i="1"/>
  <c r="AI360" i="1"/>
  <c r="AL360" i="1"/>
  <c r="AI356" i="1"/>
  <c r="AL356" i="1"/>
  <c r="R364" i="1"/>
  <c r="BS200" i="1"/>
  <c r="AI200" i="1"/>
  <c r="AL200" i="1"/>
  <c r="BS196" i="1"/>
  <c r="AI196" i="1"/>
  <c r="AL196" i="1"/>
  <c r="BS191" i="1"/>
  <c r="AI191" i="1"/>
  <c r="AL191" i="1"/>
  <c r="BS187" i="1"/>
  <c r="AI187" i="1"/>
  <c r="AL187" i="1"/>
  <c r="BS183" i="1"/>
  <c r="AI183" i="1"/>
  <c r="AL183" i="1"/>
  <c r="R194" i="1"/>
  <c r="AI123" i="1"/>
  <c r="AL123" i="1"/>
  <c r="AI361" i="1"/>
  <c r="AL361" i="1"/>
  <c r="AI357" i="1"/>
  <c r="AL357" i="1"/>
  <c r="BS201" i="1"/>
  <c r="AI201" i="1"/>
  <c r="AL201" i="1"/>
  <c r="BS197" i="1"/>
  <c r="AI197" i="1"/>
  <c r="AL197" i="1"/>
  <c r="BS192" i="1"/>
  <c r="AI192" i="1"/>
  <c r="AL192" i="1"/>
  <c r="BS188" i="1"/>
  <c r="AI188" i="1"/>
  <c r="AL188" i="1"/>
  <c r="BS184" i="1"/>
  <c r="AI184" i="1"/>
  <c r="AL184" i="1"/>
  <c r="BU195" i="1"/>
  <c r="AA426" i="1"/>
  <c r="AA207" i="1"/>
  <c r="AA43" i="1"/>
  <c r="AA218" i="1"/>
  <c r="AA226" i="1"/>
  <c r="CB226" i="1" s="1"/>
  <c r="AA348" i="1"/>
  <c r="AA400" i="1"/>
  <c r="AO348" i="1"/>
  <c r="AH227" i="1"/>
  <c r="AO218" i="1"/>
  <c r="CI218" i="1"/>
  <c r="AO426" i="1"/>
  <c r="AF227" i="1"/>
  <c r="CG218" i="1"/>
  <c r="AD227" i="1"/>
  <c r="CE218" i="1"/>
  <c r="AN348" i="1"/>
  <c r="AB227" i="1"/>
  <c r="CC218" i="1"/>
  <c r="AN218" i="1"/>
  <c r="AN426" i="1"/>
  <c r="X380" i="1"/>
  <c r="X87" i="1"/>
  <c r="X89" i="1" s="1"/>
  <c r="AA380" i="1"/>
  <c r="P347" i="1"/>
  <c r="P425" i="1"/>
  <c r="P239" i="1"/>
  <c r="P195" i="1"/>
  <c r="P122" i="1"/>
  <c r="P74" i="1"/>
  <c r="P16" i="1"/>
  <c r="P27" i="1"/>
  <c r="P158" i="1"/>
  <c r="P247" i="1"/>
  <c r="P63" i="1"/>
  <c r="P183" i="1"/>
  <c r="P422" i="1"/>
  <c r="P413" i="1"/>
  <c r="P356" i="1"/>
  <c r="P218" i="1"/>
  <c r="P177" i="1"/>
  <c r="P207" i="1"/>
  <c r="P10" i="1"/>
  <c r="P119" i="1"/>
  <c r="P231" i="1"/>
  <c r="P367" i="1"/>
  <c r="AI77" i="1"/>
  <c r="AL77" i="1"/>
  <c r="AK77" i="1" s="1"/>
  <c r="X426" i="1"/>
  <c r="X207" i="1"/>
  <c r="X218" i="1"/>
  <c r="X348" i="1"/>
  <c r="X400" i="1"/>
  <c r="X226" i="1"/>
  <c r="BY226" i="1" s="1"/>
  <c r="X43" i="1"/>
  <c r="AO226" i="1"/>
  <c r="CI226" i="1"/>
  <c r="CI207" i="1"/>
  <c r="AO207" i="1"/>
  <c r="CG207" i="1"/>
  <c r="CE207" i="1"/>
  <c r="AN400" i="1"/>
  <c r="CC226" i="1"/>
  <c r="AN226" i="1"/>
  <c r="CC207" i="1"/>
  <c r="AN207" i="1"/>
  <c r="CA207" i="1"/>
  <c r="Z227" i="1"/>
  <c r="CA218" i="1"/>
  <c r="BW207" i="1"/>
  <c r="V227" i="1"/>
  <c r="BW218" i="1"/>
  <c r="BT207" i="1"/>
  <c r="S227" i="1"/>
  <c r="BT218" i="1"/>
  <c r="AA87" i="1"/>
  <c r="AA89" i="1" s="1"/>
  <c r="J2" i="32" l="1"/>
  <c r="AT177" i="1"/>
  <c r="D276" i="4" s="1"/>
  <c r="E134" i="1"/>
  <c r="E137" i="1"/>
  <c r="AT224" i="1"/>
  <c r="AV358" i="1"/>
  <c r="AV193" i="1"/>
  <c r="AV64" i="1"/>
  <c r="AV233" i="1"/>
  <c r="AV77" i="1"/>
  <c r="AV17" i="1"/>
  <c r="AV179" i="1"/>
  <c r="AV376" i="1"/>
  <c r="AV425" i="1"/>
  <c r="AV31" i="1"/>
  <c r="J14" i="32"/>
  <c r="J13" i="32"/>
  <c r="AU233" i="1"/>
  <c r="AV186" i="1"/>
  <c r="AV250" i="1"/>
  <c r="AV249" i="1"/>
  <c r="AV192" i="1"/>
  <c r="AV318" i="1"/>
  <c r="AV277" i="1"/>
  <c r="AV85" i="1"/>
  <c r="AV213" i="1"/>
  <c r="AV178" i="1"/>
  <c r="AV312" i="1"/>
  <c r="AV208" i="1"/>
  <c r="AV232" i="1"/>
  <c r="AV67" i="1"/>
  <c r="AV30" i="1"/>
  <c r="AV202" i="1"/>
  <c r="AV21" i="1"/>
  <c r="AV290" i="1"/>
  <c r="AV184" i="1"/>
  <c r="AV362" i="1"/>
  <c r="AV304" i="1"/>
  <c r="AV198" i="1"/>
  <c r="AV188" i="1"/>
  <c r="AV263" i="1"/>
  <c r="AV225" i="1"/>
  <c r="AV19" i="1"/>
  <c r="AV298" i="1"/>
  <c r="AV195" i="1"/>
  <c r="AV211" i="1"/>
  <c r="AV360" i="1"/>
  <c r="AV270" i="1"/>
  <c r="AV82" i="1"/>
  <c r="AV339" i="1"/>
  <c r="AV196" i="1"/>
  <c r="AV374" i="1"/>
  <c r="AV357" i="1"/>
  <c r="AV283" i="1"/>
  <c r="AV66" i="1"/>
  <c r="AV23" i="1"/>
  <c r="AV240" i="1"/>
  <c r="AV243" i="1"/>
  <c r="AV269" i="1"/>
  <c r="AV247" i="1"/>
  <c r="AV356" i="1"/>
  <c r="AV276" i="1"/>
  <c r="AU184" i="1"/>
  <c r="AV359" i="1"/>
  <c r="AV332" i="1"/>
  <c r="AV197" i="1"/>
  <c r="AV214" i="1"/>
  <c r="AV183" i="1"/>
  <c r="AV340" i="1"/>
  <c r="AV297" i="1"/>
  <c r="AV201" i="1"/>
  <c r="AV68" i="1"/>
  <c r="AV224" i="1"/>
  <c r="AV34" i="1"/>
  <c r="AV191" i="1"/>
  <c r="AV65" i="1"/>
  <c r="AV16" i="1"/>
  <c r="AV373" i="1"/>
  <c r="AV190" i="1"/>
  <c r="AV22" i="1"/>
  <c r="AV377" i="1"/>
  <c r="AV375" i="1"/>
  <c r="AX276" i="1"/>
  <c r="AV361" i="1"/>
  <c r="AV177" i="1"/>
  <c r="F276" i="4" s="1"/>
  <c r="F368" i="4" s="1"/>
  <c r="AV319" i="1"/>
  <c r="AV222" i="1"/>
  <c r="AV363" i="1"/>
  <c r="AU200" i="1"/>
  <c r="AV123" i="1"/>
  <c r="AV305" i="1"/>
  <c r="AV70" i="1"/>
  <c r="AV234" i="1"/>
  <c r="AV36" i="1"/>
  <c r="AV200" i="1"/>
  <c r="AV69" i="1"/>
  <c r="AV20" i="1"/>
  <c r="AV185" i="1"/>
  <c r="AV325" i="1"/>
  <c r="AV235" i="1"/>
  <c r="AV81" i="1"/>
  <c r="AV248" i="1"/>
  <c r="AV38" i="1"/>
  <c r="AV291" i="1"/>
  <c r="AV80" i="1"/>
  <c r="AV35" i="1"/>
  <c r="AV422" i="1"/>
  <c r="AV18" i="1"/>
  <c r="AV187" i="1"/>
  <c r="AV63" i="1"/>
  <c r="AV351" i="1"/>
  <c r="AV284" i="1"/>
  <c r="AV231" i="1"/>
  <c r="AV189" i="1"/>
  <c r="AV333" i="1"/>
  <c r="AV242" i="1"/>
  <c r="AV83" i="1"/>
  <c r="AV262" i="1"/>
  <c r="AV122" i="1"/>
  <c r="AV311" i="1"/>
  <c r="AV84" i="1"/>
  <c r="AV39" i="1"/>
  <c r="AV239" i="1"/>
  <c r="AV326" i="1"/>
  <c r="AV199" i="1"/>
  <c r="AV37" i="1"/>
  <c r="AV347" i="1"/>
  <c r="AV378" i="1"/>
  <c r="AU231" i="1"/>
  <c r="AX30" i="1"/>
  <c r="AU70" i="1"/>
  <c r="AV370" i="1"/>
  <c r="AX81" i="1"/>
  <c r="AX23" i="1"/>
  <c r="AU82" i="1"/>
  <c r="AX37" i="1"/>
  <c r="AX208" i="1"/>
  <c r="AU239" i="1"/>
  <c r="AU361" i="1"/>
  <c r="AU290" i="1"/>
  <c r="AX239" i="1"/>
  <c r="AU370" i="1"/>
  <c r="AU377" i="1"/>
  <c r="AU326" i="1"/>
  <c r="AX235" i="1"/>
  <c r="AX277" i="1"/>
  <c r="AX185" i="1"/>
  <c r="AX34" i="1"/>
  <c r="AU376" i="1"/>
  <c r="AU214" i="1"/>
  <c r="AU425" i="1"/>
  <c r="AX325" i="1"/>
  <c r="AX67" i="1"/>
  <c r="AU201" i="1"/>
  <c r="AU198" i="1"/>
  <c r="AU325" i="1"/>
  <c r="AX183" i="1"/>
  <c r="AX36" i="1"/>
  <c r="AU347" i="1"/>
  <c r="AU34" i="1"/>
  <c r="AX39" i="1"/>
  <c r="AX243" i="1"/>
  <c r="AX83" i="1"/>
  <c r="AX242" i="1"/>
  <c r="AX333" i="1"/>
  <c r="AX187" i="1"/>
  <c r="AX198" i="1"/>
  <c r="AX63" i="1"/>
  <c r="AX21" i="1"/>
  <c r="AX358" i="1"/>
  <c r="AU363" i="1"/>
  <c r="AX69" i="1"/>
  <c r="AX38" i="1"/>
  <c r="AX291" i="1"/>
  <c r="AU357" i="1"/>
  <c r="AU190" i="1"/>
  <c r="AU340" i="1"/>
  <c r="AU222" i="1"/>
  <c r="AU311" i="1"/>
  <c r="AU318" i="1"/>
  <c r="AU225" i="1"/>
  <c r="AU305" i="1"/>
  <c r="AU22" i="1"/>
  <c r="AU67" i="1"/>
  <c r="AU283" i="1"/>
  <c r="AU373" i="1"/>
  <c r="AU333" i="1"/>
  <c r="AX35" i="1"/>
  <c r="AX232" i="1"/>
  <c r="AX70" i="1"/>
  <c r="AX231" i="1"/>
  <c r="AX305" i="1"/>
  <c r="AX425" i="1"/>
  <c r="AX319" i="1"/>
  <c r="AX82" i="1"/>
  <c r="AX122" i="1"/>
  <c r="AX375" i="1"/>
  <c r="AX19" i="1"/>
  <c r="AX262" i="1"/>
  <c r="AU196" i="1"/>
  <c r="AX376" i="1"/>
  <c r="AU358" i="1"/>
  <c r="AW375" i="1"/>
  <c r="AX361" i="1"/>
  <c r="AU30" i="1"/>
  <c r="AU31" i="1"/>
  <c r="AU247" i="1"/>
  <c r="AU250" i="1"/>
  <c r="AU422" i="1"/>
  <c r="AU242" i="1"/>
  <c r="AU234" i="1"/>
  <c r="AU277" i="1"/>
  <c r="AU38" i="1"/>
  <c r="AU177" i="1"/>
  <c r="E276" i="4" s="1"/>
  <c r="E338" i="4" s="1"/>
  <c r="AX356" i="1"/>
  <c r="AU249" i="1"/>
  <c r="AU21" i="1"/>
  <c r="AX22" i="1"/>
  <c r="AX222" i="1"/>
  <c r="AX68" i="1"/>
  <c r="AX201" i="1"/>
  <c r="AX297" i="1"/>
  <c r="AX326" i="1"/>
  <c r="AX339" i="1"/>
  <c r="AX225" i="1"/>
  <c r="AX363" i="1"/>
  <c r="AX224" i="1"/>
  <c r="AX360" i="1"/>
  <c r="AX84" i="1"/>
  <c r="AU188" i="1"/>
  <c r="AU356" i="1"/>
  <c r="AU360" i="1"/>
  <c r="AU359" i="1"/>
  <c r="AU123" i="1"/>
  <c r="AU270" i="1"/>
  <c r="AU16" i="1"/>
  <c r="AU65" i="1"/>
  <c r="AU374" i="1"/>
  <c r="AU263" i="1"/>
  <c r="AU248" i="1"/>
  <c r="AU312" i="1"/>
  <c r="AU213" i="1"/>
  <c r="AU276" i="1"/>
  <c r="AU37" i="1"/>
  <c r="AU208" i="1"/>
  <c r="AU77" i="1"/>
  <c r="AX20" i="1"/>
  <c r="AX211" i="1"/>
  <c r="AX66" i="1"/>
  <c r="AX197" i="1"/>
  <c r="AX270" i="1"/>
  <c r="AX318" i="1"/>
  <c r="AX312" i="1"/>
  <c r="AX190" i="1"/>
  <c r="AX214" i="1"/>
  <c r="AX351" i="1"/>
  <c r="AX195" i="1"/>
  <c r="AX284" i="1"/>
  <c r="AX80" i="1"/>
  <c r="AX290" i="1"/>
  <c r="AX304" i="1"/>
  <c r="AU183" i="1"/>
  <c r="AU199" i="1"/>
  <c r="AU186" i="1"/>
  <c r="AU189" i="1"/>
  <c r="AU195" i="1"/>
  <c r="AX370" i="1"/>
  <c r="AU20" i="1"/>
  <c r="AU69" i="1"/>
  <c r="AU378" i="1"/>
  <c r="AU19" i="1"/>
  <c r="AU64" i="1"/>
  <c r="AU332" i="1"/>
  <c r="AU211" i="1"/>
  <c r="AU319" i="1"/>
  <c r="AU17" i="1"/>
  <c r="AU81" i="1"/>
  <c r="AX77" i="1"/>
  <c r="AX18" i="1"/>
  <c r="AX178" i="1"/>
  <c r="AX64" i="1"/>
  <c r="AX192" i="1"/>
  <c r="AX200" i="1"/>
  <c r="AX298" i="1"/>
  <c r="AX332" i="1"/>
  <c r="AX199" i="1"/>
  <c r="AX234" i="1"/>
  <c r="AX347" i="1"/>
  <c r="AX193" i="1"/>
  <c r="AX31" i="1"/>
  <c r="AX65" i="1"/>
  <c r="AX269" i="1"/>
  <c r="AX177" i="1"/>
  <c r="H276" i="4" s="1"/>
  <c r="H368" i="4" s="1"/>
  <c r="AU192" i="1"/>
  <c r="AU202" i="1"/>
  <c r="AU185" i="1"/>
  <c r="AX357" i="1"/>
  <c r="AU36" i="1"/>
  <c r="AU80" i="1"/>
  <c r="AU351" i="1"/>
  <c r="AU23" i="1"/>
  <c r="AU68" i="1"/>
  <c r="AU179" i="1"/>
  <c r="AU232" i="1"/>
  <c r="AU339" i="1"/>
  <c r="AU262" i="1"/>
  <c r="AU235" i="1"/>
  <c r="AU66" i="1"/>
  <c r="AX16" i="1"/>
  <c r="AX213" i="1"/>
  <c r="AX263" i="1"/>
  <c r="AX188" i="1"/>
  <c r="AX196" i="1"/>
  <c r="AX283" i="1"/>
  <c r="AX123" i="1"/>
  <c r="AX233" i="1"/>
  <c r="AX248" i="1"/>
  <c r="AX340" i="1"/>
  <c r="AX359" i="1"/>
  <c r="AX240" i="1"/>
  <c r="AX373" i="1"/>
  <c r="AU191" i="1"/>
  <c r="AX202" i="1"/>
  <c r="AU193" i="1"/>
  <c r="AU362" i="1"/>
  <c r="AU187" i="1"/>
  <c r="AU122" i="1"/>
  <c r="AU84" i="1"/>
  <c r="AU269" i="1"/>
  <c r="AU35" i="1"/>
  <c r="AU83" i="1"/>
  <c r="AU240" i="1"/>
  <c r="AU243" i="1"/>
  <c r="AX377" i="1"/>
  <c r="AU85" i="1"/>
  <c r="AU224" i="1"/>
  <c r="AX250" i="1"/>
  <c r="AX85" i="1"/>
  <c r="AX249" i="1"/>
  <c r="AX184" i="1"/>
  <c r="AX191" i="1"/>
  <c r="AX189" i="1"/>
  <c r="AX247" i="1"/>
  <c r="AX17" i="1"/>
  <c r="AX374" i="1"/>
  <c r="AX311" i="1"/>
  <c r="AX378" i="1"/>
  <c r="AX179" i="1"/>
  <c r="AX422" i="1"/>
  <c r="AU197" i="1"/>
  <c r="AX362" i="1"/>
  <c r="AX186" i="1"/>
  <c r="AU304" i="1"/>
  <c r="AU178" i="1"/>
  <c r="AU291" i="1"/>
  <c r="AU298" i="1"/>
  <c r="AU39" i="1"/>
  <c r="AU284" i="1"/>
  <c r="AU18" i="1"/>
  <c r="AU63" i="1"/>
  <c r="AU375" i="1"/>
  <c r="AU297" i="1"/>
  <c r="J12" i="32"/>
  <c r="J16" i="32"/>
  <c r="J4" i="32"/>
  <c r="AT198" i="1"/>
  <c r="AT31" i="1"/>
  <c r="AT378" i="1"/>
  <c r="AT80" i="1"/>
  <c r="AT18" i="1"/>
  <c r="AT361" i="1"/>
  <c r="AT179" i="1"/>
  <c r="AT36" i="1"/>
  <c r="AT20" i="1"/>
  <c r="AT200" i="1"/>
  <c r="AT340" i="1"/>
  <c r="AT249" i="1"/>
  <c r="AT225" i="1"/>
  <c r="AT234" i="1"/>
  <c r="AT19" i="1"/>
  <c r="AT37" i="1"/>
  <c r="AT192" i="1"/>
  <c r="AT38" i="1"/>
  <c r="AT250" i="1"/>
  <c r="AT81" i="1"/>
  <c r="AT319" i="1"/>
  <c r="AT276" i="1"/>
  <c r="AT284" i="1"/>
  <c r="AT298" i="1"/>
  <c r="AT185" i="1"/>
  <c r="AT202" i="1"/>
  <c r="AT325" i="1"/>
  <c r="AT190" i="1"/>
  <c r="AT233" i="1"/>
  <c r="AT65" i="1"/>
  <c r="AT82" i="1"/>
  <c r="AT373" i="1"/>
  <c r="AT358" i="1"/>
  <c r="AT213" i="1"/>
  <c r="AT122" i="1"/>
  <c r="AT232" i="1"/>
  <c r="AT243" i="1"/>
  <c r="AT211" i="1"/>
  <c r="AT197" i="1"/>
  <c r="AT351" i="1"/>
  <c r="AT291" i="1"/>
  <c r="AT64" i="1"/>
  <c r="AT208" i="1"/>
  <c r="AT248" i="1"/>
  <c r="AT21" i="1"/>
  <c r="AT39" i="1"/>
  <c r="AT184" i="1"/>
  <c r="AT34" i="1"/>
  <c r="AT239" i="1"/>
  <c r="AT66" i="1"/>
  <c r="AT277" i="1"/>
  <c r="AT347" i="1"/>
  <c r="AT360" i="1"/>
  <c r="AT318" i="1"/>
  <c r="AT189" i="1"/>
  <c r="AT270" i="1"/>
  <c r="AT333" i="1"/>
  <c r="AT195" i="1"/>
  <c r="AT240" i="1"/>
  <c r="AT67" i="1"/>
  <c r="AT84" i="1"/>
  <c r="AT422" i="1"/>
  <c r="AT377" i="1"/>
  <c r="AT362" i="1"/>
  <c r="AT77" i="1"/>
  <c r="AT16" i="1"/>
  <c r="AT263" i="1"/>
  <c r="AT85" i="1"/>
  <c r="AT231" i="1"/>
  <c r="AT70" i="1"/>
  <c r="AT370" i="1"/>
  <c r="AT363" i="1"/>
  <c r="AT183" i="1"/>
  <c r="AT375" i="1"/>
  <c r="AT311" i="1"/>
  <c r="AT68" i="1"/>
  <c r="AT214" i="1"/>
  <c r="AT262" i="1"/>
  <c r="AT23" i="1"/>
  <c r="AT356" i="1"/>
  <c r="AT196" i="1"/>
  <c r="AT187" i="1"/>
  <c r="AT22" i="1"/>
  <c r="AT222" i="1"/>
  <c r="AT242" i="1"/>
  <c r="AT191" i="1"/>
  <c r="AT376" i="1"/>
  <c r="AT326" i="1"/>
  <c r="AT193" i="1"/>
  <c r="AT297" i="1"/>
  <c r="AT123" i="1"/>
  <c r="AT374" i="1"/>
  <c r="AT357" i="1"/>
  <c r="AT69" i="1"/>
  <c r="AT199" i="1"/>
  <c r="AT425" i="1"/>
  <c r="AT332" i="1"/>
  <c r="AT83" i="1"/>
  <c r="AT30" i="1"/>
  <c r="AT290" i="1"/>
  <c r="AT63" i="1"/>
  <c r="AT186" i="1"/>
  <c r="AT283" i="1"/>
  <c r="AT188" i="1"/>
  <c r="AT35" i="1"/>
  <c r="AT235" i="1"/>
  <c r="AT339" i="1"/>
  <c r="AT312" i="1"/>
  <c r="AT269" i="1"/>
  <c r="AT247" i="1"/>
  <c r="AT305" i="1"/>
  <c r="AT359" i="1"/>
  <c r="AT178" i="1"/>
  <c r="AT201" i="1"/>
  <c r="AT17" i="1"/>
  <c r="AT304" i="1"/>
  <c r="AW347" i="1"/>
  <c r="AG215" i="1"/>
  <c r="AG217" i="1" s="1"/>
  <c r="AG228" i="1" s="1"/>
  <c r="AY77" i="1"/>
  <c r="AW270" i="1"/>
  <c r="S27" i="3"/>
  <c r="X116" i="1"/>
  <c r="AA116" i="1"/>
  <c r="S204" i="1"/>
  <c r="AW77" i="1"/>
  <c r="AW376" i="1"/>
  <c r="AW31" i="1"/>
  <c r="AW23" i="1"/>
  <c r="AW359" i="1"/>
  <c r="AW360" i="1"/>
  <c r="AW64" i="1"/>
  <c r="AW123" i="1"/>
  <c r="AO107" i="1"/>
  <c r="AO110" i="1" s="1"/>
  <c r="AK180" i="1"/>
  <c r="AW67" i="1"/>
  <c r="AE215" i="1"/>
  <c r="AE217" i="1" s="1"/>
  <c r="AE228" i="1" s="1"/>
  <c r="AW192" i="1"/>
  <c r="AW225" i="1"/>
  <c r="AW82" i="1"/>
  <c r="AW38" i="1"/>
  <c r="AW198" i="1"/>
  <c r="AW339" i="1"/>
  <c r="AW290" i="1"/>
  <c r="AW20" i="1"/>
  <c r="AW211" i="1"/>
  <c r="AW231" i="1"/>
  <c r="AW199" i="1"/>
  <c r="AW243" i="1"/>
  <c r="AW263" i="1"/>
  <c r="AW312" i="1"/>
  <c r="AN403" i="1"/>
  <c r="AK360" i="1"/>
  <c r="AK362" i="1"/>
  <c r="AW362" i="1"/>
  <c r="AW363" i="1"/>
  <c r="AW305" i="1"/>
  <c r="AW201" i="1"/>
  <c r="AW183" i="1"/>
  <c r="AW233" i="1"/>
  <c r="AW214" i="1"/>
  <c r="AW68" i="1"/>
  <c r="AW80" i="1"/>
  <c r="AW65" i="1"/>
  <c r="AW239" i="1"/>
  <c r="AW178" i="1"/>
  <c r="AW36" i="1"/>
  <c r="AW21" i="1"/>
  <c r="AW249" i="1"/>
  <c r="AW193" i="1"/>
  <c r="AW340" i="1"/>
  <c r="AW304" i="1"/>
  <c r="AW195" i="1"/>
  <c r="AW291" i="1"/>
  <c r="AW184" i="1"/>
  <c r="AW318" i="1"/>
  <c r="AW200" i="1"/>
  <c r="AW16" i="1"/>
  <c r="AW39" i="1"/>
  <c r="AW248" i="1"/>
  <c r="AW83" i="1"/>
  <c r="AW84" i="1"/>
  <c r="AW69" i="1"/>
  <c r="AW250" i="1"/>
  <c r="AW222" i="1"/>
  <c r="AW122" i="1"/>
  <c r="AW17" i="1"/>
  <c r="AW235" i="1"/>
  <c r="AW202" i="1"/>
  <c r="AW185" i="1"/>
  <c r="AW276" i="1"/>
  <c r="AW186" i="1"/>
  <c r="AW311" i="1"/>
  <c r="AW277" i="1"/>
  <c r="AW356" i="1"/>
  <c r="AW325" i="1"/>
  <c r="AW298" i="1"/>
  <c r="AW191" i="1"/>
  <c r="AW247" i="1"/>
  <c r="AW35" i="1"/>
  <c r="AW234" i="1"/>
  <c r="AW177" i="1"/>
  <c r="G276" i="4" s="1"/>
  <c r="G338" i="4" s="1"/>
  <c r="AW63" i="1"/>
  <c r="AW232" i="1"/>
  <c r="AW213" i="1"/>
  <c r="AW34" i="1"/>
  <c r="AW19" i="1"/>
  <c r="AW242" i="1"/>
  <c r="AW189" i="1"/>
  <c r="AW332" i="1"/>
  <c r="AW190" i="1"/>
  <c r="AW319" i="1"/>
  <c r="AW361" i="1"/>
  <c r="AY370" i="1"/>
  <c r="AW30" i="1"/>
  <c r="AW370" i="1"/>
  <c r="AC215" i="1"/>
  <c r="AC216" i="1"/>
  <c r="AO203" i="1"/>
  <c r="AN364" i="1"/>
  <c r="AK347" i="1"/>
  <c r="AK363" i="1"/>
  <c r="AK359" i="1"/>
  <c r="AD204" i="1"/>
  <c r="AK361" i="1"/>
  <c r="AK358" i="1"/>
  <c r="AO194" i="1"/>
  <c r="AH204" i="1"/>
  <c r="AW297" i="1"/>
  <c r="AW333" i="1"/>
  <c r="AW425" i="1"/>
  <c r="AW22" i="1"/>
  <c r="AW37" i="1"/>
  <c r="AW208" i="1"/>
  <c r="AW66" i="1"/>
  <c r="AW81" i="1"/>
  <c r="AW269" i="1"/>
  <c r="AW326" i="1"/>
  <c r="AW179" i="1"/>
  <c r="AW18" i="1"/>
  <c r="AW262" i="1"/>
  <c r="AW85" i="1"/>
  <c r="AW351" i="1"/>
  <c r="AW284" i="1"/>
  <c r="AW240" i="1"/>
  <c r="AW224" i="1"/>
  <c r="AW373" i="1"/>
  <c r="AW422" i="1"/>
  <c r="AW283" i="1"/>
  <c r="AW378" i="1"/>
  <c r="AW187" i="1"/>
  <c r="AW70" i="1"/>
  <c r="AW374" i="1"/>
  <c r="AW377" i="1"/>
  <c r="AW357" i="1"/>
  <c r="AW358" i="1"/>
  <c r="AW188" i="1"/>
  <c r="AW196" i="1"/>
  <c r="AW197" i="1"/>
  <c r="AK187" i="1"/>
  <c r="AK201" i="1"/>
  <c r="AK186" i="1"/>
  <c r="AK197" i="1"/>
  <c r="AI364" i="1"/>
  <c r="AK202" i="1"/>
  <c r="AY276" i="1"/>
  <c r="AY291" i="1"/>
  <c r="AY311" i="1"/>
  <c r="AY319" i="1"/>
  <c r="AY339" i="1"/>
  <c r="AY359" i="1"/>
  <c r="AY283" i="1"/>
  <c r="AY378" i="1"/>
  <c r="AY362" i="1"/>
  <c r="AY31" i="1"/>
  <c r="AY186" i="1"/>
  <c r="AY190" i="1"/>
  <c r="AY195" i="1"/>
  <c r="AY199" i="1"/>
  <c r="AY269" i="1"/>
  <c r="AY290" i="1"/>
  <c r="AY298" i="1"/>
  <c r="AY318" i="1"/>
  <c r="AY326" i="1"/>
  <c r="AY425" i="1"/>
  <c r="AY183" i="1"/>
  <c r="AY187" i="1"/>
  <c r="AY191" i="1"/>
  <c r="AY196" i="1"/>
  <c r="AY200" i="1"/>
  <c r="AY179" i="1"/>
  <c r="AY233" i="1"/>
  <c r="AY240" i="1"/>
  <c r="AY247" i="1"/>
  <c r="AY16" i="1"/>
  <c r="AY20" i="1"/>
  <c r="AY37" i="1"/>
  <c r="AY63" i="1"/>
  <c r="AY67" i="1"/>
  <c r="AY83" i="1"/>
  <c r="AY225" i="1"/>
  <c r="AY208" i="1"/>
  <c r="AY214" i="1"/>
  <c r="AY224" i="1"/>
  <c r="AY234" i="1"/>
  <c r="AY248" i="1"/>
  <c r="AY262" i="1"/>
  <c r="AY17" i="1"/>
  <c r="AY21" i="1"/>
  <c r="AY34" i="1"/>
  <c r="AY38" i="1"/>
  <c r="AY66" i="1"/>
  <c r="AY70" i="1"/>
  <c r="AY80" i="1"/>
  <c r="AY84" i="1"/>
  <c r="AY284" i="1"/>
  <c r="AY305" i="1"/>
  <c r="AY325" i="1"/>
  <c r="AY363" i="1"/>
  <c r="AY374" i="1"/>
  <c r="AY347" i="1"/>
  <c r="AY188" i="1"/>
  <c r="AY197" i="1"/>
  <c r="AY304" i="1"/>
  <c r="AY340" i="1"/>
  <c r="AY185" i="1"/>
  <c r="AY193" i="1"/>
  <c r="AY202" i="1"/>
  <c r="AY235" i="1"/>
  <c r="AY249" i="1"/>
  <c r="AY18" i="1"/>
  <c r="AY35" i="1"/>
  <c r="AY65" i="1"/>
  <c r="AY81" i="1"/>
  <c r="AY178" i="1"/>
  <c r="AY222" i="1"/>
  <c r="AY239" i="1"/>
  <c r="AY250" i="1"/>
  <c r="AY19" i="1"/>
  <c r="AY64" i="1"/>
  <c r="AY122" i="1"/>
  <c r="AY177" i="1"/>
  <c r="AY377" i="1"/>
  <c r="AY357" i="1"/>
  <c r="AY270" i="1"/>
  <c r="AY356" i="1"/>
  <c r="AY373" i="1"/>
  <c r="AY351" i="1"/>
  <c r="AY297" i="1"/>
  <c r="AY333" i="1"/>
  <c r="AY375" i="1"/>
  <c r="AY422" i="1"/>
  <c r="AY358" i="1"/>
  <c r="AY184" i="1"/>
  <c r="AY192" i="1"/>
  <c r="AY201" i="1"/>
  <c r="AY312" i="1"/>
  <c r="AY332" i="1"/>
  <c r="AY123" i="1"/>
  <c r="AY189" i="1"/>
  <c r="AY198" i="1"/>
  <c r="AY231" i="1"/>
  <c r="AY242" i="1"/>
  <c r="AY263" i="1"/>
  <c r="AY22" i="1"/>
  <c r="AY39" i="1"/>
  <c r="AY69" i="1"/>
  <c r="AY85" i="1"/>
  <c r="AY213" i="1"/>
  <c r="AY211" i="1"/>
  <c r="AY232" i="1"/>
  <c r="AY243" i="1"/>
  <c r="AY23" i="1"/>
  <c r="AY36" i="1"/>
  <c r="AY68" i="1"/>
  <c r="AY82" i="1"/>
  <c r="AY361" i="1"/>
  <c r="AY277" i="1"/>
  <c r="AY376" i="1"/>
  <c r="AY360" i="1"/>
  <c r="R204" i="1"/>
  <c r="Y215" i="1"/>
  <c r="Y216" i="1"/>
  <c r="U215" i="1"/>
  <c r="U216" i="1"/>
  <c r="AK198" i="1"/>
  <c r="AF204" i="1"/>
  <c r="Z204" i="1"/>
  <c r="AB204" i="1"/>
  <c r="AG204" i="1"/>
  <c r="V204" i="1"/>
  <c r="AK191" i="1"/>
  <c r="AK190" i="1"/>
  <c r="AC204" i="1"/>
  <c r="U204" i="1"/>
  <c r="Y204" i="1"/>
  <c r="AE204" i="1"/>
  <c r="W204" i="1"/>
  <c r="AA204" i="1"/>
  <c r="AN194" i="1"/>
  <c r="AN203" i="1"/>
  <c r="CL184" i="1"/>
  <c r="CL192" i="1"/>
  <c r="CL201" i="1"/>
  <c r="AL194" i="1"/>
  <c r="AK183" i="1"/>
  <c r="CL183" i="1"/>
  <c r="CL191" i="1"/>
  <c r="CL200" i="1"/>
  <c r="AI194" i="1"/>
  <c r="CL186" i="1"/>
  <c r="CL199" i="1"/>
  <c r="CL189" i="1"/>
  <c r="CL198" i="1"/>
  <c r="AK356" i="1"/>
  <c r="AM364" i="1"/>
  <c r="AM203" i="1"/>
  <c r="AI203" i="1"/>
  <c r="AK199" i="1"/>
  <c r="AK189" i="1"/>
  <c r="AK188" i="1"/>
  <c r="AK192" i="1"/>
  <c r="X204" i="1"/>
  <c r="CL188" i="1"/>
  <c r="CL197" i="1"/>
  <c r="AL364" i="1"/>
  <c r="AK357" i="1"/>
  <c r="AL136" i="1"/>
  <c r="AK123" i="1"/>
  <c r="AK136" i="1" s="1"/>
  <c r="CL187" i="1"/>
  <c r="CL196" i="1"/>
  <c r="CL190" i="1"/>
  <c r="AK195" i="1"/>
  <c r="AL203" i="1"/>
  <c r="CL195" i="1"/>
  <c r="CL185" i="1"/>
  <c r="CL193" i="1"/>
  <c r="CL202" i="1"/>
  <c r="AK185" i="1"/>
  <c r="AK193" i="1"/>
  <c r="AK184" i="1"/>
  <c r="AM194" i="1"/>
  <c r="AK196" i="1"/>
  <c r="AK200" i="1"/>
  <c r="V216" i="1"/>
  <c r="V215" i="1"/>
  <c r="X227" i="1"/>
  <c r="BY218" i="1"/>
  <c r="BY207" i="1"/>
  <c r="AH216" i="1"/>
  <c r="AO216" i="1" s="1"/>
  <c r="AH215" i="1"/>
  <c r="AA227" i="1"/>
  <c r="CB218" i="1"/>
  <c r="S216" i="1"/>
  <c r="S215" i="1"/>
  <c r="Z216" i="1"/>
  <c r="Z215" i="1"/>
  <c r="AB216" i="1"/>
  <c r="AB215" i="1"/>
  <c r="AD216" i="1"/>
  <c r="AD215" i="1"/>
  <c r="AF216" i="1"/>
  <c r="AF215" i="1"/>
  <c r="CB207" i="1"/>
  <c r="AN227" i="1"/>
  <c r="AO227" i="1"/>
  <c r="D368" i="4" l="1"/>
  <c r="E141" i="1"/>
  <c r="E151" i="1"/>
  <c r="E154" i="1" s="1"/>
  <c r="E368" i="4"/>
  <c r="H338" i="4"/>
  <c r="AV251" i="1"/>
  <c r="AX180" i="1"/>
  <c r="AV203" i="1"/>
  <c r="AV71" i="1"/>
  <c r="AV194" i="1"/>
  <c r="AV236" i="1"/>
  <c r="AV136" i="1"/>
  <c r="AV364" i="1"/>
  <c r="AV24" i="1"/>
  <c r="F338" i="4"/>
  <c r="AV180" i="1"/>
  <c r="AU251" i="1"/>
  <c r="AX236" i="1"/>
  <c r="AX71" i="1"/>
  <c r="AX203" i="1"/>
  <c r="AU194" i="1"/>
  <c r="AX194" i="1"/>
  <c r="AU236" i="1"/>
  <c r="AU24" i="1"/>
  <c r="AX251" i="1"/>
  <c r="AX364" i="1"/>
  <c r="AU180" i="1"/>
  <c r="AX24" i="1"/>
  <c r="AU364" i="1"/>
  <c r="AU203" i="1"/>
  <c r="AU71" i="1"/>
  <c r="AX136" i="1"/>
  <c r="AU136" i="1"/>
  <c r="AS30" i="1"/>
  <c r="AT194" i="1"/>
  <c r="AT364" i="1"/>
  <c r="AT203" i="1"/>
  <c r="AT180" i="1"/>
  <c r="AT71" i="1"/>
  <c r="AT24" i="1"/>
  <c r="AT251" i="1"/>
  <c r="AT236" i="1"/>
  <c r="AT136" i="1"/>
  <c r="AS375" i="1"/>
  <c r="D338" i="4"/>
  <c r="AS347" i="1"/>
  <c r="AS332" i="1"/>
  <c r="AS64" i="1"/>
  <c r="AS31" i="1"/>
  <c r="AS198" i="1"/>
  <c r="AS67" i="1"/>
  <c r="AS20" i="1"/>
  <c r="AS23" i="1"/>
  <c r="AS270" i="1"/>
  <c r="AS35" i="1"/>
  <c r="AS325" i="1"/>
  <c r="AS34" i="1"/>
  <c r="AS77" i="1"/>
  <c r="AS360" i="1"/>
  <c r="AS249" i="1"/>
  <c r="AS304" i="1"/>
  <c r="AS214" i="1"/>
  <c r="AS319" i="1"/>
  <c r="AG253" i="1"/>
  <c r="AG254" i="1" s="1"/>
  <c r="AS186" i="1"/>
  <c r="AS84" i="1"/>
  <c r="AS122" i="1"/>
  <c r="AS123" i="1"/>
  <c r="AS312" i="1"/>
  <c r="AS370" i="1"/>
  <c r="AS359" i="1"/>
  <c r="AS376" i="1"/>
  <c r="AS311" i="1"/>
  <c r="AS192" i="1"/>
  <c r="AS189" i="1"/>
  <c r="AS202" i="1"/>
  <c r="AS201" i="1"/>
  <c r="AS68" i="1"/>
  <c r="AS184" i="1"/>
  <c r="AS19" i="1"/>
  <c r="AS178" i="1"/>
  <c r="AS363" i="1"/>
  <c r="AS298" i="1"/>
  <c r="AS339" i="1"/>
  <c r="AS211" i="1"/>
  <c r="AS39" i="1"/>
  <c r="AS234" i="1"/>
  <c r="AS225" i="1"/>
  <c r="AS69" i="1"/>
  <c r="AS185" i="1"/>
  <c r="AS362" i="1"/>
  <c r="AS263" i="1"/>
  <c r="AE253" i="1"/>
  <c r="AE254" i="1" s="1"/>
  <c r="AS82" i="1"/>
  <c r="AS243" i="1"/>
  <c r="AS248" i="1"/>
  <c r="AS233" i="1"/>
  <c r="AS318" i="1"/>
  <c r="AS290" i="1"/>
  <c r="G368" i="4"/>
  <c r="AS38" i="1"/>
  <c r="AS21" i="1"/>
  <c r="AS83" i="1"/>
  <c r="AS199" i="1"/>
  <c r="AS305" i="1"/>
  <c r="AS340" i="1"/>
  <c r="AS200" i="1"/>
  <c r="AS276" i="1"/>
  <c r="AS213" i="1"/>
  <c r="AS222" i="1"/>
  <c r="AS65" i="1"/>
  <c r="AS235" i="1"/>
  <c r="AS190" i="1"/>
  <c r="AS291" i="1"/>
  <c r="AW180" i="1"/>
  <c r="AW236" i="1"/>
  <c r="AW251" i="1"/>
  <c r="AS277" i="1"/>
  <c r="AS36" i="1"/>
  <c r="AS232" i="1"/>
  <c r="AS242" i="1"/>
  <c r="AS250" i="1"/>
  <c r="AS80" i="1"/>
  <c r="AS193" i="1"/>
  <c r="AS17" i="1"/>
  <c r="AS191" i="1"/>
  <c r="AS361" i="1"/>
  <c r="AC217" i="1"/>
  <c r="AC228" i="1" s="1"/>
  <c r="AC253" i="1" s="1"/>
  <c r="AC254" i="1" s="1"/>
  <c r="AO204" i="1"/>
  <c r="AS240" i="1"/>
  <c r="AS326" i="1"/>
  <c r="AS357" i="1"/>
  <c r="AS187" i="1"/>
  <c r="AS374" i="1"/>
  <c r="AS269" i="1"/>
  <c r="AS373" i="1"/>
  <c r="AS18" i="1"/>
  <c r="AS37" i="1"/>
  <c r="AS196" i="1"/>
  <c r="AS425" i="1"/>
  <c r="AS85" i="1"/>
  <c r="AS197" i="1"/>
  <c r="AS378" i="1"/>
  <c r="AS262" i="1"/>
  <c r="AS358" i="1"/>
  <c r="AS81" i="1"/>
  <c r="AS283" i="1"/>
  <c r="AS333" i="1"/>
  <c r="AS351" i="1"/>
  <c r="AS70" i="1"/>
  <c r="AS377" i="1"/>
  <c r="AS188" i="1"/>
  <c r="AS66" i="1"/>
  <c r="AS208" i="1"/>
  <c r="AS22" i="1"/>
  <c r="AS284" i="1"/>
  <c r="AS224" i="1"/>
  <c r="AS179" i="1"/>
  <c r="AS422" i="1"/>
  <c r="AS297" i="1"/>
  <c r="AW71" i="1"/>
  <c r="AW203" i="1"/>
  <c r="AW364" i="1"/>
  <c r="AW194" i="1"/>
  <c r="AW136" i="1"/>
  <c r="AW24" i="1"/>
  <c r="AY180" i="1"/>
  <c r="AS177" i="1"/>
  <c r="I276" i="4"/>
  <c r="AS231" i="1"/>
  <c r="AY236" i="1"/>
  <c r="AY364" i="1"/>
  <c r="AS356" i="1"/>
  <c r="AS239" i="1"/>
  <c r="AY71" i="1"/>
  <c r="AS63" i="1"/>
  <c r="AY136" i="1"/>
  <c r="AS16" i="1"/>
  <c r="AY24" i="1"/>
  <c r="AS247" i="1"/>
  <c r="AY251" i="1"/>
  <c r="AS183" i="1"/>
  <c r="AY194" i="1"/>
  <c r="AS195" i="1"/>
  <c r="AY203" i="1"/>
  <c r="Y217" i="1"/>
  <c r="Y228" i="1" s="1"/>
  <c r="Y253" i="1" s="1"/>
  <c r="Y254" i="1" s="1"/>
  <c r="U217" i="1"/>
  <c r="U228" i="1" s="1"/>
  <c r="U253" i="1" s="1"/>
  <c r="U254" i="1" s="1"/>
  <c r="AN204" i="1"/>
  <c r="AK203" i="1"/>
  <c r="AM204" i="1"/>
  <c r="AK364" i="1"/>
  <c r="AK194" i="1"/>
  <c r="AF217" i="1"/>
  <c r="AF228" i="1" s="1"/>
  <c r="AF253" i="1" s="1"/>
  <c r="AF254" i="1" s="1"/>
  <c r="AD217" i="1"/>
  <c r="AD228" i="1" s="1"/>
  <c r="AD253" i="1" s="1"/>
  <c r="AD254" i="1" s="1"/>
  <c r="AI204" i="1"/>
  <c r="AL204" i="1"/>
  <c r="AN216" i="1"/>
  <c r="AA215" i="1"/>
  <c r="AA216" i="1"/>
  <c r="AN215" i="1"/>
  <c r="AB217" i="1"/>
  <c r="AB228" i="1" s="1"/>
  <c r="AB253" i="1" s="1"/>
  <c r="AO215" i="1"/>
  <c r="AO217" i="1" s="1"/>
  <c r="AO228" i="1" s="1"/>
  <c r="AH217" i="1"/>
  <c r="AH228" i="1" s="1"/>
  <c r="AH253" i="1" s="1"/>
  <c r="X215" i="1"/>
  <c r="X216" i="1"/>
  <c r="Z217" i="1"/>
  <c r="Z228" i="1" s="1"/>
  <c r="Z253" i="1" s="1"/>
  <c r="S217" i="1"/>
  <c r="S228" i="1" s="1"/>
  <c r="S253" i="1" s="1"/>
  <c r="V217" i="1"/>
  <c r="V228" i="1" s="1"/>
  <c r="V253" i="1" s="1"/>
  <c r="AV204" i="1" l="1"/>
  <c r="AU204" i="1"/>
  <c r="AX204" i="1"/>
  <c r="AT204" i="1"/>
  <c r="AO253" i="1"/>
  <c r="AK204" i="1"/>
  <c r="AS136" i="1"/>
  <c r="AW204" i="1"/>
  <c r="AS180" i="1"/>
  <c r="AS203" i="1"/>
  <c r="AS71" i="1"/>
  <c r="AS364" i="1"/>
  <c r="AS194" i="1"/>
  <c r="AS251" i="1"/>
  <c r="AS24" i="1"/>
  <c r="I368" i="4"/>
  <c r="I338" i="4"/>
  <c r="C338" i="4" s="1"/>
  <c r="C276" i="4"/>
  <c r="AY204" i="1"/>
  <c r="AS236" i="1"/>
  <c r="AN217" i="1"/>
  <c r="AN228" i="1" s="1"/>
  <c r="AN253" i="1" s="1"/>
  <c r="X217" i="1"/>
  <c r="X228" i="1" s="1"/>
  <c r="X253" i="1" s="1"/>
  <c r="X254" i="1" s="1"/>
  <c r="AA217" i="1"/>
  <c r="AA228" i="1" s="1"/>
  <c r="AA253" i="1" s="1"/>
  <c r="AA254" i="1" s="1"/>
  <c r="V254" i="1"/>
  <c r="Z254" i="1"/>
  <c r="S254" i="1"/>
  <c r="AH254" i="1"/>
  <c r="AB254" i="1"/>
  <c r="AS204" i="1" l="1"/>
  <c r="C368" i="4"/>
  <c r="AO294" i="1"/>
  <c r="S182" i="7" l="1"/>
  <c r="S242" i="7"/>
  <c r="S64" i="7"/>
  <c r="S362" i="7"/>
  <c r="S302" i="7"/>
  <c r="S123" i="7"/>
  <c r="L123" i="7" l="1"/>
  <c r="L182" i="7"/>
  <c r="L362" i="7"/>
  <c r="L64" i="7"/>
  <c r="L242" i="7"/>
  <c r="L302" i="7"/>
  <c r="M302" i="7" l="1"/>
  <c r="M64" i="7"/>
  <c r="M362" i="7"/>
  <c r="M242" i="7"/>
  <c r="M182" i="7"/>
  <c r="M123" i="7"/>
  <c r="N123" i="7" l="1"/>
  <c r="N182" i="7"/>
  <c r="N64" i="7"/>
  <c r="N242" i="7"/>
  <c r="N362" i="7"/>
  <c r="N302" i="7"/>
  <c r="O242" i="7" l="1"/>
  <c r="O123" i="7"/>
  <c r="O302" i="7"/>
  <c r="O64" i="7"/>
  <c r="O362" i="7"/>
  <c r="O182" i="7"/>
  <c r="P123" i="7" l="1"/>
  <c r="P64" i="7"/>
  <c r="P242" i="7"/>
  <c r="P302" i="7"/>
  <c r="P182" i="7"/>
  <c r="P362" i="7"/>
  <c r="Q123" i="7" l="1"/>
  <c r="Q182" i="7"/>
  <c r="Q64" i="7"/>
  <c r="Q362" i="7"/>
  <c r="Q242" i="7"/>
  <c r="Q302" i="7"/>
  <c r="R242" i="7" l="1"/>
  <c r="R362" i="7"/>
  <c r="R182" i="7"/>
  <c r="R123" i="7"/>
  <c r="R64" i="7"/>
  <c r="R302" i="7"/>
  <c r="U302" i="7" l="1"/>
  <c r="U362" i="7"/>
  <c r="U242" i="7"/>
  <c r="U64" i="7"/>
  <c r="U123" i="7"/>
  <c r="U182" i="7"/>
  <c r="E58" i="4" l="1"/>
  <c r="D22" i="35" s="1"/>
  <c r="G58" i="4" l="1"/>
  <c r="F22" i="35" s="1"/>
  <c r="H58" i="4" l="1"/>
  <c r="G22" i="35" s="1"/>
  <c r="D58" i="4" l="1"/>
  <c r="C22" i="35" s="1"/>
  <c r="H22" i="35" s="1"/>
  <c r="F58" i="4" l="1"/>
  <c r="E22" i="35" s="1"/>
  <c r="C56" i="4"/>
  <c r="C58" i="4" l="1"/>
  <c r="C79" i="4" s="1"/>
  <c r="C73" i="4" l="1"/>
  <c r="C75" i="4"/>
  <c r="C74" i="4"/>
  <c r="C98" i="4" l="1"/>
  <c r="C101" i="4" s="1"/>
  <c r="C95" i="4"/>
  <c r="D17" i="3" l="1"/>
  <c r="J35" i="3" s="1"/>
  <c r="Q63" i="3" s="1"/>
  <c r="F35" i="3" l="1"/>
  <c r="G35" i="3"/>
  <c r="E35" i="3"/>
  <c r="BO235" i="1"/>
  <c r="BO76" i="1"/>
  <c r="BO211" i="1"/>
  <c r="BO277" i="1"/>
  <c r="BO36" i="1"/>
  <c r="BO191" i="1"/>
  <c r="BO201" i="1"/>
  <c r="BO224" i="1"/>
  <c r="BO189" i="1"/>
  <c r="BO372" i="1"/>
  <c r="BO276" i="1"/>
  <c r="BO291" i="1"/>
  <c r="BO215" i="1"/>
  <c r="BO122" i="1"/>
  <c r="BO369" i="1"/>
  <c r="BO340" i="1"/>
  <c r="BO198" i="1"/>
  <c r="BO378" i="1"/>
  <c r="BO22" i="1"/>
  <c r="BO376" i="1"/>
  <c r="BO69" i="1"/>
  <c r="BO186" i="1"/>
  <c r="BO193" i="1"/>
  <c r="BO243" i="1"/>
  <c r="BO32" i="1"/>
  <c r="BO312" i="1"/>
  <c r="BO362" i="1"/>
  <c r="BO223" i="1"/>
  <c r="BO28" i="1"/>
  <c r="BO333" i="1"/>
  <c r="BO37" i="1"/>
  <c r="BO368" i="1"/>
  <c r="BO197" i="1"/>
  <c r="BO290" i="1"/>
  <c r="BO85" i="1"/>
  <c r="BO298" i="1"/>
  <c r="BO348" i="1"/>
  <c r="BO225" i="1"/>
  <c r="BO232" i="1"/>
  <c r="BO64" i="1"/>
  <c r="BO185" i="1"/>
  <c r="BO209" i="1"/>
  <c r="BO332" i="1"/>
  <c r="BO325" i="1"/>
  <c r="BO213" i="1"/>
  <c r="BO373" i="1"/>
  <c r="BO241" i="1"/>
  <c r="BO18" i="1"/>
  <c r="BO311" i="1"/>
  <c r="BO262" i="1"/>
  <c r="BO192" i="1"/>
  <c r="BO374" i="1"/>
  <c r="BO75" i="1"/>
  <c r="BO68" i="1"/>
  <c r="BO30" i="1"/>
  <c r="BO283" i="1"/>
  <c r="BO359" i="1"/>
  <c r="BO216" i="1"/>
  <c r="BO184" i="1"/>
  <c r="BO82" i="1"/>
  <c r="BO20" i="1"/>
  <c r="BO221" i="1"/>
  <c r="BO371" i="1"/>
  <c r="BO319" i="1"/>
  <c r="BO361" i="1"/>
  <c r="BO123" i="1"/>
  <c r="BO196" i="1"/>
  <c r="BO304" i="1"/>
  <c r="BO190" i="1"/>
  <c r="BO360" i="1"/>
  <c r="BO17" i="1"/>
  <c r="BO79" i="1"/>
  <c r="BO210" i="1"/>
  <c r="BO31" i="1"/>
  <c r="BO426" i="1"/>
  <c r="BO65" i="1"/>
  <c r="BO263" i="1"/>
  <c r="BO379" i="1"/>
  <c r="BO400" i="1"/>
  <c r="BO297" i="1"/>
  <c r="BO234" i="1"/>
  <c r="BO83" i="1"/>
  <c r="BO240" i="1"/>
  <c r="BO199" i="1"/>
  <c r="BO86" i="1"/>
  <c r="BO370" i="1"/>
  <c r="BO403" i="1"/>
  <c r="BO222" i="1"/>
  <c r="BO248" i="1"/>
  <c r="BO363" i="1"/>
  <c r="BO202" i="1"/>
  <c r="BO80" i="1"/>
  <c r="BO179" i="1"/>
  <c r="BO326" i="1"/>
  <c r="BO23" i="1"/>
  <c r="BO318" i="1"/>
  <c r="BO270" i="1"/>
  <c r="BO377" i="1"/>
  <c r="BO219" i="1"/>
  <c r="BO38" i="1"/>
  <c r="BO33" i="1"/>
  <c r="BO187" i="1"/>
  <c r="BO357" i="1"/>
  <c r="BO226" i="1"/>
  <c r="BO339" i="1"/>
  <c r="BO351" i="1"/>
  <c r="BO242" i="1"/>
  <c r="BO34" i="1"/>
  <c r="BO269" i="1"/>
  <c r="BO29" i="1"/>
  <c r="BO214" i="1"/>
  <c r="BO358" i="1"/>
  <c r="BO220" i="1"/>
  <c r="BO70" i="1"/>
  <c r="BO188" i="1"/>
  <c r="BO78" i="1"/>
  <c r="BO77" i="1"/>
  <c r="BO249" i="1"/>
  <c r="BO208" i="1"/>
  <c r="BO250" i="1"/>
  <c r="BO84" i="1"/>
  <c r="BO35" i="1"/>
  <c r="BO81" i="1"/>
  <c r="BO305" i="1"/>
  <c r="BO200" i="1"/>
  <c r="BO66" i="1"/>
  <c r="BO233" i="1"/>
  <c r="BO138" i="1"/>
  <c r="BO152" i="1" s="1"/>
  <c r="BO218" i="1"/>
  <c r="BO39" i="1"/>
  <c r="BO284" i="1"/>
  <c r="BO212" i="1"/>
  <c r="BO178" i="1"/>
  <c r="BO67" i="1"/>
  <c r="BO40" i="1"/>
  <c r="BO375" i="1"/>
  <c r="BO19" i="1"/>
  <c r="BO21" i="1"/>
  <c r="BO27" i="1"/>
  <c r="BO425" i="1"/>
  <c r="BO347" i="1"/>
  <c r="BO195" i="1"/>
  <c r="BO74" i="1"/>
  <c r="BO207" i="1"/>
  <c r="BO367" i="1"/>
  <c r="BO247" i="1"/>
  <c r="BO183" i="1"/>
  <c r="BO16" i="1"/>
  <c r="BO231" i="1"/>
  <c r="BO239" i="1"/>
  <c r="BO356" i="1"/>
  <c r="BO422" i="1"/>
  <c r="BO63" i="1"/>
  <c r="BO177" i="1"/>
  <c r="I35" i="3"/>
  <c r="H35" i="3"/>
  <c r="Q62" i="3" l="1"/>
  <c r="I15" i="32"/>
  <c r="Q61" i="3"/>
  <c r="H15" i="32"/>
  <c r="Q58" i="3"/>
  <c r="E15" i="32"/>
  <c r="Q60" i="3"/>
  <c r="G15" i="32"/>
  <c r="Q59" i="3"/>
  <c r="F15" i="32"/>
  <c r="BK138" i="1"/>
  <c r="BK152" i="1" s="1"/>
  <c r="BL138" i="1"/>
  <c r="BL152" i="1" s="1"/>
  <c r="BO364" i="1"/>
  <c r="BO71" i="1"/>
  <c r="BO203" i="1"/>
  <c r="BO380" i="1"/>
  <c r="BO227" i="1"/>
  <c r="BO244" i="1"/>
  <c r="BO194" i="1"/>
  <c r="BO41" i="1"/>
  <c r="BN138" i="1"/>
  <c r="BN152" i="1" s="1"/>
  <c r="BO24" i="1"/>
  <c r="BO136" i="1"/>
  <c r="D35" i="3"/>
  <c r="BO251" i="1"/>
  <c r="BO87" i="1"/>
  <c r="BM138" i="1"/>
  <c r="BM152" i="1" s="1"/>
  <c r="BO180" i="1"/>
  <c r="BO217" i="1"/>
  <c r="BO236" i="1"/>
  <c r="BL378" i="1" l="1"/>
  <c r="BM374" i="1"/>
  <c r="BM77" i="1"/>
  <c r="BM23" i="1"/>
  <c r="BM74" i="1"/>
  <c r="BM213" i="1"/>
  <c r="BM34" i="1"/>
  <c r="G5" i="6" s="1"/>
  <c r="BM340" i="1"/>
  <c r="BM177" i="1"/>
  <c r="BM232" i="1"/>
  <c r="G25" i="6" s="1"/>
  <c r="BM312" i="1"/>
  <c r="BM202" i="1"/>
  <c r="BM69" i="1"/>
  <c r="BM356" i="1"/>
  <c r="BM231" i="1"/>
  <c r="BM339" i="1"/>
  <c r="BM361" i="1"/>
  <c r="BM425" i="1"/>
  <c r="BM86" i="1"/>
  <c r="BM270" i="1"/>
  <c r="BM367" i="1"/>
  <c r="BM422" i="1"/>
  <c r="BM183" i="1"/>
  <c r="BM218" i="1"/>
  <c r="BM32" i="1"/>
  <c r="BM64" i="1"/>
  <c r="BM243" i="1"/>
  <c r="BM226" i="1"/>
  <c r="BM19" i="1"/>
  <c r="BM63" i="1"/>
  <c r="BM16" i="1"/>
  <c r="BM35" i="1"/>
  <c r="BM370" i="1"/>
  <c r="BM241" i="1"/>
  <c r="BM178" i="1"/>
  <c r="BM85" i="1"/>
  <c r="BM348" i="1"/>
  <c r="BM209" i="1"/>
  <c r="BM377" i="1"/>
  <c r="BM363" i="1"/>
  <c r="BM192" i="1"/>
  <c r="BM184" i="1"/>
  <c r="BM239" i="1"/>
  <c r="BM373" i="1"/>
  <c r="G21" i="6" s="1"/>
  <c r="BM195" i="1"/>
  <c r="BM80" i="1"/>
  <c r="G6" i="6" s="1"/>
  <c r="BM83" i="1"/>
  <c r="BM207" i="1"/>
  <c r="BM347" i="1"/>
  <c r="BM247" i="1"/>
  <c r="BM233" i="1"/>
  <c r="G26" i="6" s="1"/>
  <c r="BM17" i="1"/>
  <c r="BM76" i="1"/>
  <c r="BM197" i="1"/>
  <c r="BM36" i="1"/>
  <c r="BM242" i="1"/>
  <c r="BM297" i="1"/>
  <c r="BM122" i="1"/>
  <c r="BM219" i="1"/>
  <c r="BM214" i="1"/>
  <c r="BM188" i="1"/>
  <c r="BM304" i="1"/>
  <c r="BM400" i="1"/>
  <c r="BM68" i="1"/>
  <c r="BM269" i="1"/>
  <c r="BM20" i="1"/>
  <c r="BM212" i="1"/>
  <c r="BM82" i="1"/>
  <c r="BM326" i="1"/>
  <c r="BM283" i="1"/>
  <c r="BM362" i="1"/>
  <c r="BM66" i="1"/>
  <c r="BM318" i="1"/>
  <c r="BM28" i="1"/>
  <c r="BM81" i="1"/>
  <c r="BM208" i="1"/>
  <c r="BM224" i="1"/>
  <c r="G23" i="6" s="1"/>
  <c r="BM189" i="1"/>
  <c r="BM276" i="1"/>
  <c r="BN221" i="1"/>
  <c r="BM291" i="1"/>
  <c r="BM360" i="1"/>
  <c r="BM359" i="1"/>
  <c r="BM40" i="1"/>
  <c r="BM225" i="1"/>
  <c r="G24" i="6" s="1"/>
  <c r="BN34" i="1"/>
  <c r="H5" i="6" s="1"/>
  <c r="BN374" i="1"/>
  <c r="BM368" i="1"/>
  <c r="BM39" i="1"/>
  <c r="BM319" i="1"/>
  <c r="BM79" i="1"/>
  <c r="BM198" i="1"/>
  <c r="BM235" i="1"/>
  <c r="BM263" i="1"/>
  <c r="BM358" i="1"/>
  <c r="BM30" i="1"/>
  <c r="BM311" i="1"/>
  <c r="BM190" i="1"/>
  <c r="BM372" i="1"/>
  <c r="BM67" i="1"/>
  <c r="BM221" i="1"/>
  <c r="BM249" i="1"/>
  <c r="BM200" i="1"/>
  <c r="BM378" i="1"/>
  <c r="BM223" i="1"/>
  <c r="BM65" i="1"/>
  <c r="BM179" i="1"/>
  <c r="BM75" i="1"/>
  <c r="BM351" i="1"/>
  <c r="BM375" i="1"/>
  <c r="BM185" i="1"/>
  <c r="BM262" i="1"/>
  <c r="BM250" i="1"/>
  <c r="BM403" i="1"/>
  <c r="BM123" i="1"/>
  <c r="BM298" i="1"/>
  <c r="BM187" i="1"/>
  <c r="BM186" i="1"/>
  <c r="BM37" i="1"/>
  <c r="BM290" i="1"/>
  <c r="BM240" i="1"/>
  <c r="BM371" i="1"/>
  <c r="BM369" i="1"/>
  <c r="BM220" i="1"/>
  <c r="BM211" i="1"/>
  <c r="BM379" i="1"/>
  <c r="BM376" i="1"/>
  <c r="BM199" i="1"/>
  <c r="BM201" i="1"/>
  <c r="BM70" i="1"/>
  <c r="BM29" i="1"/>
  <c r="BM196" i="1"/>
  <c r="BM215" i="1"/>
  <c r="BM284" i="1"/>
  <c r="BM210" i="1"/>
  <c r="BM333" i="1"/>
  <c r="BM305" i="1"/>
  <c r="BM248" i="1"/>
  <c r="BM222" i="1"/>
  <c r="BM31" i="1"/>
  <c r="BN297" i="1"/>
  <c r="BN31" i="1"/>
  <c r="BN347" i="1"/>
  <c r="BN212" i="1"/>
  <c r="BN20" i="1"/>
  <c r="BN32" i="1"/>
  <c r="BN36" i="1"/>
  <c r="BN63" i="1"/>
  <c r="BN242" i="1"/>
  <c r="BN38" i="1"/>
  <c r="BN422" i="1"/>
  <c r="BN378" i="1"/>
  <c r="BJ74" i="1"/>
  <c r="BN356" i="1"/>
  <c r="BN27" i="1"/>
  <c r="BN197" i="1"/>
  <c r="BM277" i="1"/>
  <c r="BM357" i="1"/>
  <c r="BM33" i="1"/>
  <c r="BM426" i="1"/>
  <c r="BM18" i="1"/>
  <c r="BM38" i="1"/>
  <c r="BM325" i="1"/>
  <c r="BM27" i="1"/>
  <c r="BM191" i="1"/>
  <c r="BN291" i="1"/>
  <c r="BN207" i="1"/>
  <c r="BN247" i="1"/>
  <c r="BN222" i="1"/>
  <c r="BN21" i="1"/>
  <c r="BN86" i="1"/>
  <c r="BN177" i="1"/>
  <c r="BN16" i="1"/>
  <c r="BN232" i="1"/>
  <c r="H25" i="6" s="1"/>
  <c r="BN361" i="1"/>
  <c r="BN225" i="1"/>
  <c r="H24" i="6" s="1"/>
  <c r="BN373" i="1"/>
  <c r="H21" i="6" s="1"/>
  <c r="BN218" i="1"/>
  <c r="BN233" i="1"/>
  <c r="H26" i="6" s="1"/>
  <c r="BN372" i="1"/>
  <c r="BN122" i="1"/>
  <c r="BN231" i="1"/>
  <c r="BN35" i="1"/>
  <c r="BN200" i="1"/>
  <c r="BN76" i="1"/>
  <c r="BN359" i="1"/>
  <c r="BN83" i="1"/>
  <c r="BM332" i="1"/>
  <c r="BM234" i="1"/>
  <c r="BM22" i="1"/>
  <c r="BM84" i="1"/>
  <c r="BM78" i="1"/>
  <c r="BM21" i="1"/>
  <c r="BM216" i="1"/>
  <c r="BM193" i="1"/>
  <c r="BJ263" i="1"/>
  <c r="BN239" i="1"/>
  <c r="BN74" i="1"/>
  <c r="BN360" i="1"/>
  <c r="BN376" i="1"/>
  <c r="BN325" i="1"/>
  <c r="BN371" i="1"/>
  <c r="BN191" i="1"/>
  <c r="BN214" i="1"/>
  <c r="BN400" i="1"/>
  <c r="BN375" i="1"/>
  <c r="BN215" i="1"/>
  <c r="BN250" i="1"/>
  <c r="BN23" i="1"/>
  <c r="BN226" i="1"/>
  <c r="BN340" i="1"/>
  <c r="BN379" i="1"/>
  <c r="BN79" i="1"/>
  <c r="BN370" i="1"/>
  <c r="BN403" i="1"/>
  <c r="BJ17" i="1"/>
  <c r="BN425" i="1"/>
  <c r="BN195" i="1"/>
  <c r="BN37" i="1"/>
  <c r="BN75" i="1"/>
  <c r="BN269" i="1"/>
  <c r="BN193" i="1"/>
  <c r="BN240" i="1"/>
  <c r="BN183" i="1"/>
  <c r="BN198" i="1"/>
  <c r="BN67" i="1"/>
  <c r="BN220" i="1"/>
  <c r="BN188" i="1"/>
  <c r="BN199" i="1"/>
  <c r="BN68" i="1"/>
  <c r="BN189" i="1"/>
  <c r="BJ375" i="1"/>
  <c r="BJ297" i="1"/>
  <c r="BJ241" i="1"/>
  <c r="BJ222" i="1"/>
  <c r="BJ39" i="1"/>
  <c r="BJ213" i="1"/>
  <c r="BN22" i="1"/>
  <c r="BN368" i="1"/>
  <c r="BN318" i="1"/>
  <c r="BN64" i="1"/>
  <c r="BJ247" i="1"/>
  <c r="BJ332" i="1"/>
  <c r="BN333" i="1"/>
  <c r="BN326" i="1"/>
  <c r="BN290" i="1"/>
  <c r="BN39" i="1"/>
  <c r="BN367" i="1"/>
  <c r="BN66" i="1"/>
  <c r="BJ185" i="1"/>
  <c r="BJ305" i="1"/>
  <c r="BN357" i="1"/>
  <c r="BN208" i="1"/>
  <c r="BN235" i="1"/>
  <c r="BJ347" i="1"/>
  <c r="BJ37" i="1"/>
  <c r="BJ196" i="1"/>
  <c r="BJ378" i="1"/>
  <c r="BN363" i="1"/>
  <c r="BN85" i="1"/>
  <c r="BN312" i="1"/>
  <c r="BN69" i="1"/>
  <c r="BN77" i="1"/>
  <c r="BJ81" i="1"/>
  <c r="BJ199" i="1"/>
  <c r="BJ31" i="1"/>
  <c r="BJ30" i="1"/>
  <c r="BJ201" i="1"/>
  <c r="BJ35" i="1"/>
  <c r="BJ269" i="1"/>
  <c r="BJ250" i="1"/>
  <c r="BJ210" i="1"/>
  <c r="BJ318" i="1"/>
  <c r="BN311" i="1"/>
  <c r="BN211" i="1"/>
  <c r="BN40" i="1"/>
  <c r="BN319" i="1"/>
  <c r="BN213" i="1"/>
  <c r="BN339" i="1"/>
  <c r="BN179" i="1"/>
  <c r="BJ231" i="1"/>
  <c r="BJ195" i="1"/>
  <c r="BJ325" i="1"/>
  <c r="BJ83" i="1"/>
  <c r="BJ379" i="1"/>
  <c r="BJ361" i="1"/>
  <c r="BN187" i="1"/>
  <c r="BN78" i="1"/>
  <c r="BN219" i="1"/>
  <c r="BN305" i="1"/>
  <c r="BN348" i="1"/>
  <c r="BN224" i="1"/>
  <c r="H23" i="6" s="1"/>
  <c r="BN185" i="1"/>
  <c r="BN190" i="1"/>
  <c r="BN358" i="1"/>
  <c r="BN123" i="1"/>
  <c r="BN81" i="1"/>
  <c r="BN304" i="1"/>
  <c r="BN243" i="1"/>
  <c r="BN178" i="1"/>
  <c r="BN210" i="1"/>
  <c r="BN351" i="1"/>
  <c r="BN201" i="1"/>
  <c r="BN80" i="1"/>
  <c r="H6" i="6" s="1"/>
  <c r="BN377" i="1"/>
  <c r="BN19" i="1"/>
  <c r="BN426" i="1"/>
  <c r="BJ319" i="1"/>
  <c r="BJ183" i="1"/>
  <c r="BJ219" i="1"/>
  <c r="BJ75" i="1"/>
  <c r="BJ22" i="1"/>
  <c r="BJ186" i="1"/>
  <c r="BJ188" i="1"/>
  <c r="BJ178" i="1"/>
  <c r="BJ249" i="1"/>
  <c r="BJ376" i="1"/>
  <c r="BJ367" i="1"/>
  <c r="BJ359" i="1"/>
  <c r="BJ351" i="1"/>
  <c r="BJ240" i="1"/>
  <c r="BJ221" i="1"/>
  <c r="BJ40" i="1"/>
  <c r="BJ184" i="1"/>
  <c r="BJ248" i="1"/>
  <c r="BJ224" i="1"/>
  <c r="D23" i="6" s="1"/>
  <c r="BJ243" i="1"/>
  <c r="BJ198" i="1"/>
  <c r="BJ326" i="1"/>
  <c r="BJ348" i="1"/>
  <c r="BJ187" i="1"/>
  <c r="BJ312" i="1"/>
  <c r="BJ277" i="1"/>
  <c r="BJ29" i="1"/>
  <c r="BJ356" i="1"/>
  <c r="BJ372" i="1"/>
  <c r="BJ333" i="1"/>
  <c r="BJ235" i="1"/>
  <c r="BJ214" i="1"/>
  <c r="BJ18" i="1"/>
  <c r="BJ78" i="1"/>
  <c r="BJ357" i="1"/>
  <c r="BJ339" i="1"/>
  <c r="BJ216" i="1"/>
  <c r="BJ211" i="1"/>
  <c r="BJ276" i="1"/>
  <c r="BJ226" i="1"/>
  <c r="BJ232" i="1"/>
  <c r="D25" i="6" s="1"/>
  <c r="BJ233" i="1"/>
  <c r="D26" i="6" s="1"/>
  <c r="BJ179" i="1"/>
  <c r="BJ19" i="1"/>
  <c r="BJ191" i="1"/>
  <c r="BJ209" i="1"/>
  <c r="BJ193" i="1"/>
  <c r="BJ77" i="1"/>
  <c r="BJ220" i="1"/>
  <c r="BN223" i="1"/>
  <c r="BN29" i="1"/>
  <c r="BN192" i="1"/>
  <c r="BN65" i="1"/>
  <c r="BN277" i="1"/>
  <c r="BN248" i="1"/>
  <c r="BN33" i="1"/>
  <c r="BN202" i="1"/>
  <c r="BN82" i="1"/>
  <c r="BN184" i="1"/>
  <c r="BN332" i="1"/>
  <c r="BN249" i="1"/>
  <c r="BN369" i="1"/>
  <c r="BN298" i="1"/>
  <c r="BN30" i="1"/>
  <c r="BN84" i="1"/>
  <c r="BN270" i="1"/>
  <c r="BN28" i="1"/>
  <c r="BN234" i="1"/>
  <c r="BN241" i="1"/>
  <c r="BN362" i="1"/>
  <c r="BN284" i="1"/>
  <c r="BN262" i="1"/>
  <c r="BN70" i="1"/>
  <c r="BN263" i="1"/>
  <c r="BN17" i="1"/>
  <c r="BN196" i="1"/>
  <c r="BN186" i="1"/>
  <c r="BN276" i="1"/>
  <c r="BN209" i="1"/>
  <c r="BJ207" i="1"/>
  <c r="BJ422" i="1"/>
  <c r="BJ80" i="1"/>
  <c r="D6" i="6" s="1"/>
  <c r="BJ208" i="1"/>
  <c r="BJ225" i="1"/>
  <c r="D24" i="6" s="1"/>
  <c r="BJ190" i="1"/>
  <c r="BJ197" i="1"/>
  <c r="BJ371" i="1"/>
  <c r="BJ122" i="1"/>
  <c r="BJ403" i="1"/>
  <c r="BJ65" i="1"/>
  <c r="BJ69" i="1"/>
  <c r="BJ64" i="1"/>
  <c r="BJ192" i="1"/>
  <c r="BJ234" i="1"/>
  <c r="BJ215" i="1"/>
  <c r="BJ426" i="1"/>
  <c r="BJ82" i="1"/>
  <c r="BJ291" i="1"/>
  <c r="BJ370" i="1"/>
  <c r="BJ358" i="1"/>
  <c r="BJ177" i="1"/>
  <c r="BJ16" i="1"/>
  <c r="BJ368" i="1"/>
  <c r="BJ373" i="1"/>
  <c r="D21" i="6" s="1"/>
  <c r="BJ84" i="1"/>
  <c r="BJ79" i="1"/>
  <c r="BJ28" i="1"/>
  <c r="BJ63" i="1"/>
  <c r="BJ284" i="1"/>
  <c r="BJ33" i="1"/>
  <c r="BJ36" i="1"/>
  <c r="BJ76" i="1"/>
  <c r="BJ425" i="1"/>
  <c r="BJ369" i="1"/>
  <c r="BJ66" i="1"/>
  <c r="BJ38" i="1"/>
  <c r="BJ223" i="1"/>
  <c r="BJ290" i="1"/>
  <c r="BJ27" i="1"/>
  <c r="BJ70" i="1"/>
  <c r="BJ304" i="1"/>
  <c r="BJ242" i="1"/>
  <c r="BJ239" i="1"/>
  <c r="BJ202" i="1"/>
  <c r="BJ200" i="1"/>
  <c r="BJ32" i="1"/>
  <c r="BJ85" i="1"/>
  <c r="BJ23" i="1"/>
  <c r="BJ262" i="1"/>
  <c r="BJ189" i="1"/>
  <c r="BJ363" i="1"/>
  <c r="BJ340" i="1"/>
  <c r="BJ377" i="1"/>
  <c r="BJ311" i="1"/>
  <c r="BJ67" i="1"/>
  <c r="BJ374" i="1"/>
  <c r="BJ86" i="1"/>
  <c r="BJ212" i="1"/>
  <c r="BJ218" i="1"/>
  <c r="BJ360" i="1"/>
  <c r="BJ21" i="1"/>
  <c r="BJ123" i="1"/>
  <c r="BJ400" i="1"/>
  <c r="BJ362" i="1"/>
  <c r="BJ270" i="1"/>
  <c r="BJ298" i="1"/>
  <c r="BJ283" i="1"/>
  <c r="BJ68" i="1"/>
  <c r="BJ20" i="1"/>
  <c r="BK202" i="1"/>
  <c r="BK277" i="1"/>
  <c r="BK305" i="1"/>
  <c r="BK17" i="1"/>
  <c r="BK83" i="1"/>
  <c r="BK216" i="1"/>
  <c r="BK35" i="1"/>
  <c r="BK223" i="1"/>
  <c r="BK225" i="1"/>
  <c r="E24" i="6" s="1"/>
  <c r="BK193" i="1"/>
  <c r="BK178" i="1"/>
  <c r="BK304" i="1"/>
  <c r="BK242" i="1"/>
  <c r="BK123" i="1"/>
  <c r="BK19" i="1"/>
  <c r="BK232" i="1"/>
  <c r="E25" i="6" s="1"/>
  <c r="BK197" i="1"/>
  <c r="BK318" i="1"/>
  <c r="BK370" i="1"/>
  <c r="BK369" i="1"/>
  <c r="BK68" i="1"/>
  <c r="BK67" i="1"/>
  <c r="BK339" i="1"/>
  <c r="BK359" i="1"/>
  <c r="BK425" i="1"/>
  <c r="BN283" i="1"/>
  <c r="BN216" i="1"/>
  <c r="BK36" i="1"/>
  <c r="BK372" i="1"/>
  <c r="BK360" i="1"/>
  <c r="BK32" i="1"/>
  <c r="BK70" i="1"/>
  <c r="BK291" i="1"/>
  <c r="BK37" i="1"/>
  <c r="BN18" i="1"/>
  <c r="BK192" i="1"/>
  <c r="BK122" i="1"/>
  <c r="BK312" i="1"/>
  <c r="BK69" i="1"/>
  <c r="BK340" i="1"/>
  <c r="BK233" i="1"/>
  <c r="E26" i="6" s="1"/>
  <c r="BK63" i="1"/>
  <c r="BK18" i="1"/>
  <c r="BK214" i="1"/>
  <c r="BK31" i="1"/>
  <c r="BK77" i="1"/>
  <c r="BK311" i="1"/>
  <c r="BK75" i="1"/>
  <c r="BK210" i="1"/>
  <c r="BK298" i="1"/>
  <c r="BK186" i="1"/>
  <c r="BK82" i="1"/>
  <c r="BK362" i="1"/>
  <c r="BK319" i="1"/>
  <c r="BK190" i="1"/>
  <c r="BK34" i="1"/>
  <c r="E5" i="6" s="1"/>
  <c r="BK363" i="1"/>
  <c r="BK375" i="1"/>
  <c r="BK86" i="1"/>
  <c r="BK371" i="1"/>
  <c r="BK78" i="1"/>
  <c r="BK29" i="1"/>
  <c r="BK30" i="1"/>
  <c r="BK221" i="1"/>
  <c r="BK179" i="1"/>
  <c r="BK374" i="1"/>
  <c r="BK201" i="1"/>
  <c r="BK199" i="1"/>
  <c r="BK361" i="1"/>
  <c r="BK347" i="1"/>
  <c r="BK40" i="1"/>
  <c r="BK378" i="1"/>
  <c r="BK220" i="1"/>
  <c r="BK357" i="1"/>
  <c r="BK20" i="1"/>
  <c r="BK22" i="1"/>
  <c r="BK212" i="1"/>
  <c r="BK332" i="1"/>
  <c r="BK235" i="1"/>
  <c r="BK39" i="1"/>
  <c r="BK270" i="1"/>
  <c r="BK226" i="1"/>
  <c r="BK208" i="1"/>
  <c r="BK207" i="1"/>
  <c r="BK262" i="1"/>
  <c r="BK33" i="1"/>
  <c r="BK241" i="1"/>
  <c r="BK218" i="1"/>
  <c r="BK283" i="1"/>
  <c r="BK403" i="1"/>
  <c r="BK422" i="1"/>
  <c r="BK276" i="1"/>
  <c r="BK249" i="1"/>
  <c r="BK74" i="1"/>
  <c r="BK243" i="1"/>
  <c r="BK400" i="1"/>
  <c r="BK76" i="1"/>
  <c r="BK64" i="1"/>
  <c r="BK224" i="1"/>
  <c r="E23" i="6" s="1"/>
  <c r="BK222" i="1"/>
  <c r="BK16" i="1"/>
  <c r="BK234" i="1"/>
  <c r="BK209" i="1"/>
  <c r="BK326" i="1"/>
  <c r="BK219" i="1"/>
  <c r="BK81" i="1"/>
  <c r="BK247" i="1"/>
  <c r="BK85" i="1"/>
  <c r="BK367" i="1"/>
  <c r="BK377" i="1"/>
  <c r="BK189" i="1"/>
  <c r="BK191" i="1"/>
  <c r="BK376" i="1"/>
  <c r="BK248" i="1"/>
  <c r="BK348" i="1"/>
  <c r="BK269" i="1"/>
  <c r="BK231" i="1"/>
  <c r="BK333" i="1"/>
  <c r="BK195" i="1"/>
  <c r="BK250" i="1"/>
  <c r="BK213" i="1"/>
  <c r="BK368" i="1"/>
  <c r="BK28" i="1"/>
  <c r="BK187" i="1"/>
  <c r="BK177" i="1"/>
  <c r="BK240" i="1"/>
  <c r="BK290" i="1"/>
  <c r="BK284" i="1"/>
  <c r="BK373" i="1"/>
  <c r="E21" i="6" s="1"/>
  <c r="BK66" i="1"/>
  <c r="BK23" i="1"/>
  <c r="BK198" i="1"/>
  <c r="BK65" i="1"/>
  <c r="BK196" i="1"/>
  <c r="BK215" i="1"/>
  <c r="BK211" i="1"/>
  <c r="BK38" i="1"/>
  <c r="BK183" i="1"/>
  <c r="BK426" i="1"/>
  <c r="BK297" i="1"/>
  <c r="BK325" i="1"/>
  <c r="BK263" i="1"/>
  <c r="BK79" i="1"/>
  <c r="BL74" i="1"/>
  <c r="BK21" i="1"/>
  <c r="BK379" i="1"/>
  <c r="BK188" i="1"/>
  <c r="BK351" i="1"/>
  <c r="BK356" i="1"/>
  <c r="BK84" i="1"/>
  <c r="BL202" i="1"/>
  <c r="BK200" i="1"/>
  <c r="BK239" i="1"/>
  <c r="BL81" i="1"/>
  <c r="BL284" i="1"/>
  <c r="BL234" i="1"/>
  <c r="BL22" i="1"/>
  <c r="BL216" i="1"/>
  <c r="BL325" i="1"/>
  <c r="BL198" i="1"/>
  <c r="BL84" i="1"/>
  <c r="BL37" i="1"/>
  <c r="BL332" i="1"/>
  <c r="BL17" i="1"/>
  <c r="BL32" i="1"/>
  <c r="BL18" i="1"/>
  <c r="BK80" i="1"/>
  <c r="E6" i="6" s="1"/>
  <c r="BJ34" i="1"/>
  <c r="D5" i="6" s="1"/>
  <c r="BL190" i="1"/>
  <c r="BK185" i="1"/>
  <c r="BK184" i="1"/>
  <c r="BL358" i="1"/>
  <c r="BK358" i="1"/>
  <c r="BL179" i="1"/>
  <c r="BL64" i="1"/>
  <c r="BL78" i="1"/>
  <c r="BL290" i="1"/>
  <c r="BL243" i="1"/>
  <c r="BL375" i="1"/>
  <c r="BL65" i="1"/>
  <c r="BL212" i="1"/>
  <c r="BL425" i="1"/>
  <c r="BL34" i="1"/>
  <c r="F5" i="6" s="1"/>
  <c r="BL304" i="1"/>
  <c r="BL122" i="1"/>
  <c r="BL305" i="1"/>
  <c r="BL86" i="1"/>
  <c r="BL183" i="1"/>
  <c r="BL189" i="1"/>
  <c r="BL277" i="1"/>
  <c r="BL269" i="1"/>
  <c r="BL250" i="1"/>
  <c r="BL348" i="1"/>
  <c r="BL240" i="1"/>
  <c r="BL311" i="1"/>
  <c r="BL221" i="1"/>
  <c r="BL67" i="1"/>
  <c r="BL35" i="1"/>
  <c r="BL213" i="1"/>
  <c r="BL197" i="1"/>
  <c r="BL377" i="1"/>
  <c r="BL40" i="1"/>
  <c r="BL247" i="1"/>
  <c r="BL263" i="1"/>
  <c r="BL27" i="1"/>
  <c r="BL21" i="1"/>
  <c r="BL318" i="1"/>
  <c r="BL371" i="1"/>
  <c r="BL185" i="1"/>
  <c r="BL340" i="1"/>
  <c r="BL85" i="1"/>
  <c r="BL235" i="1"/>
  <c r="BL30" i="1"/>
  <c r="BL191" i="1"/>
  <c r="BL224" i="1"/>
  <c r="F23" i="6" s="1"/>
  <c r="BL239" i="1"/>
  <c r="BL209" i="1"/>
  <c r="BL379" i="1"/>
  <c r="BL215" i="1"/>
  <c r="BL276" i="1"/>
  <c r="BL207" i="1"/>
  <c r="BL23" i="1"/>
  <c r="BL33" i="1"/>
  <c r="BL69" i="1"/>
  <c r="BL31" i="1"/>
  <c r="BL369" i="1"/>
  <c r="BL220" i="1"/>
  <c r="BL186" i="1"/>
  <c r="BL70" i="1"/>
  <c r="BL362" i="1"/>
  <c r="BL193" i="1"/>
  <c r="BL360" i="1"/>
  <c r="BL357" i="1"/>
  <c r="BL36" i="1"/>
  <c r="BL347" i="1"/>
  <c r="BL211" i="1"/>
  <c r="BL188" i="1"/>
  <c r="BL319" i="1"/>
  <c r="BL242" i="1"/>
  <c r="BL225" i="1"/>
  <c r="F24" i="6" s="1"/>
  <c r="BL196" i="1"/>
  <c r="BL372" i="1"/>
  <c r="BL28" i="1"/>
  <c r="BL214" i="1"/>
  <c r="BL219" i="1"/>
  <c r="BL376" i="1"/>
  <c r="BL192" i="1"/>
  <c r="BL426" i="1"/>
  <c r="BL231" i="1"/>
  <c r="BL63" i="1"/>
  <c r="BL82" i="1"/>
  <c r="BL178" i="1"/>
  <c r="BL20" i="1"/>
  <c r="BL223" i="1"/>
  <c r="BL291" i="1"/>
  <c r="BL218" i="1"/>
  <c r="BL123" i="1"/>
  <c r="BL39" i="1"/>
  <c r="BL403" i="1"/>
  <c r="BL80" i="1"/>
  <c r="F6" i="6" s="1"/>
  <c r="BL359" i="1"/>
  <c r="BL270" i="1"/>
  <c r="BL201" i="1"/>
  <c r="BL373" i="1"/>
  <c r="F21" i="6" s="1"/>
  <c r="BL208" i="1"/>
  <c r="BL16" i="1"/>
  <c r="BL76" i="1"/>
  <c r="BL75" i="1"/>
  <c r="BL38" i="1"/>
  <c r="BL19" i="1"/>
  <c r="BL241" i="1"/>
  <c r="BL339" i="1"/>
  <c r="BL77" i="1"/>
  <c r="BL370" i="1"/>
  <c r="BL195" i="1"/>
  <c r="BL356" i="1"/>
  <c r="BL68" i="1"/>
  <c r="BL29" i="1"/>
  <c r="BL312" i="1"/>
  <c r="BL233" i="1"/>
  <c r="F26" i="6" s="1"/>
  <c r="BL226" i="1"/>
  <c r="BL66" i="1"/>
  <c r="BL367" i="1"/>
  <c r="BL177" i="1"/>
  <c r="BL297" i="1"/>
  <c r="BL283" i="1"/>
  <c r="BL210" i="1"/>
  <c r="BL262" i="1"/>
  <c r="BL187" i="1"/>
  <c r="BL351" i="1"/>
  <c r="BL361" i="1"/>
  <c r="BL298" i="1"/>
  <c r="BL422" i="1"/>
  <c r="BL222" i="1"/>
  <c r="BL400" i="1"/>
  <c r="BL333" i="1"/>
  <c r="BL79" i="1"/>
  <c r="BL232" i="1"/>
  <c r="F25" i="6" s="1"/>
  <c r="BL368" i="1"/>
  <c r="BL326" i="1"/>
  <c r="BL199" i="1"/>
  <c r="BL83" i="1"/>
  <c r="BL374" i="1"/>
  <c r="BL200" i="1"/>
  <c r="BL248" i="1"/>
  <c r="BL363" i="1"/>
  <c r="BL184" i="1"/>
  <c r="J15" i="32"/>
  <c r="BL249" i="1"/>
  <c r="BK27" i="1"/>
  <c r="BO228" i="1"/>
  <c r="BO204" i="1"/>
  <c r="BJ138" i="1"/>
  <c r="H10" i="6" l="1"/>
  <c r="H9" i="6"/>
  <c r="F22" i="6"/>
  <c r="F27" i="6" s="1"/>
  <c r="F29" i="6" s="1"/>
  <c r="F9" i="6"/>
  <c r="H22" i="6"/>
  <c r="H27" i="6" s="1"/>
  <c r="H29" i="6" s="1"/>
  <c r="E22" i="6"/>
  <c r="E27" i="6" s="1"/>
  <c r="E29" i="6" s="1"/>
  <c r="D22" i="6"/>
  <c r="G22" i="6"/>
  <c r="G27" i="6" s="1"/>
  <c r="G29" i="6" s="1"/>
  <c r="D9" i="6"/>
  <c r="D10" i="6"/>
  <c r="E10" i="6"/>
  <c r="G10" i="6"/>
  <c r="G9" i="6"/>
  <c r="F10" i="6"/>
  <c r="E9" i="6"/>
  <c r="BM180" i="1"/>
  <c r="G7" i="6"/>
  <c r="BM236" i="1"/>
  <c r="BM244" i="1"/>
  <c r="H7" i="6"/>
  <c r="BM24" i="1"/>
  <c r="BM227" i="1"/>
  <c r="BM71" i="1"/>
  <c r="BM364" i="1"/>
  <c r="BM41" i="1"/>
  <c r="BM380" i="1"/>
  <c r="BM251" i="1"/>
  <c r="BM136" i="1"/>
  <c r="BM203" i="1"/>
  <c r="BM217" i="1"/>
  <c r="BM87" i="1"/>
  <c r="BM194" i="1"/>
  <c r="BN180" i="1"/>
  <c r="BI378" i="1"/>
  <c r="BN236" i="1"/>
  <c r="BN364" i="1"/>
  <c r="BJ236" i="1"/>
  <c r="BN244" i="1"/>
  <c r="BN71" i="1"/>
  <c r="BJ251" i="1"/>
  <c r="BI192" i="1"/>
  <c r="BN217" i="1"/>
  <c r="BI318" i="1"/>
  <c r="BN203" i="1"/>
  <c r="BI22" i="1"/>
  <c r="BI197" i="1"/>
  <c r="BN87" i="1"/>
  <c r="BI17" i="1"/>
  <c r="BN24" i="1"/>
  <c r="BI242" i="1"/>
  <c r="BJ180" i="1"/>
  <c r="BN380" i="1"/>
  <c r="BN227" i="1"/>
  <c r="BN41" i="1"/>
  <c r="BN251" i="1"/>
  <c r="BI247" i="1"/>
  <c r="BN136" i="1"/>
  <c r="BJ24" i="1"/>
  <c r="BN194" i="1"/>
  <c r="BJ194" i="1"/>
  <c r="BI370" i="1"/>
  <c r="BI186" i="1"/>
  <c r="BI19" i="1"/>
  <c r="BI359" i="1"/>
  <c r="BI235" i="1"/>
  <c r="BI21" i="1"/>
  <c r="BI195" i="1"/>
  <c r="BJ41" i="1"/>
  <c r="BI262" i="1"/>
  <c r="BI66" i="1"/>
  <c r="BI222" i="1"/>
  <c r="BI29" i="1"/>
  <c r="BI357" i="1"/>
  <c r="BI207" i="1"/>
  <c r="BI277" i="1"/>
  <c r="BI234" i="1"/>
  <c r="BJ227" i="1"/>
  <c r="BI36" i="1"/>
  <c r="BI305" i="1"/>
  <c r="BI202" i="1"/>
  <c r="BJ364" i="1"/>
  <c r="BJ244" i="1"/>
  <c r="BJ71" i="1"/>
  <c r="BJ87" i="1"/>
  <c r="BJ217" i="1"/>
  <c r="BJ203" i="1"/>
  <c r="BI403" i="1"/>
  <c r="BI425" i="1"/>
  <c r="BJ136" i="1"/>
  <c r="BJ380" i="1"/>
  <c r="BI63" i="1"/>
  <c r="BI27" i="1"/>
  <c r="BI38" i="1"/>
  <c r="BI369" i="1"/>
  <c r="BI70" i="1"/>
  <c r="BI218" i="1"/>
  <c r="BI219" i="1"/>
  <c r="BI69" i="1"/>
  <c r="BI375" i="1"/>
  <c r="BI18" i="1"/>
  <c r="BI76" i="1"/>
  <c r="BI189" i="1"/>
  <c r="BI284" i="1"/>
  <c r="BI291" i="1"/>
  <c r="BI312" i="1"/>
  <c r="BI216" i="1"/>
  <c r="BI325" i="1"/>
  <c r="BI28" i="1"/>
  <c r="BI311" i="1"/>
  <c r="BI361" i="1"/>
  <c r="BI20" i="1"/>
  <c r="BI214" i="1"/>
  <c r="BI367" i="1"/>
  <c r="BI68" i="1"/>
  <c r="BI178" i="1"/>
  <c r="BI32" i="1"/>
  <c r="BK180" i="1"/>
  <c r="BI83" i="1"/>
  <c r="BI223" i="1"/>
  <c r="BI304" i="1"/>
  <c r="BI360" i="1"/>
  <c r="BI340" i="1"/>
  <c r="BI179" i="1"/>
  <c r="BI362" i="1"/>
  <c r="BI67" i="1"/>
  <c r="BI298" i="1"/>
  <c r="BI193" i="1"/>
  <c r="BK236" i="1"/>
  <c r="BI319" i="1"/>
  <c r="BI339" i="1"/>
  <c r="BI122" i="1"/>
  <c r="BI37" i="1"/>
  <c r="BI75" i="1"/>
  <c r="BI82" i="1"/>
  <c r="BI123" i="1"/>
  <c r="BI372" i="1"/>
  <c r="BI31" i="1"/>
  <c r="E7" i="6"/>
  <c r="BI77" i="1"/>
  <c r="BI210" i="1"/>
  <c r="BI201" i="1"/>
  <c r="BI85" i="1"/>
  <c r="BI64" i="1"/>
  <c r="BI198" i="1"/>
  <c r="BK244" i="1"/>
  <c r="BI184" i="1"/>
  <c r="BI200" i="1"/>
  <c r="BI241" i="1"/>
  <c r="BI211" i="1"/>
  <c r="BI363" i="1"/>
  <c r="BI351" i="1"/>
  <c r="BI297" i="1"/>
  <c r="BI86" i="1"/>
  <c r="BI243" i="1"/>
  <c r="BI190" i="1"/>
  <c r="BI39" i="1"/>
  <c r="BI240" i="1"/>
  <c r="BI332" i="1"/>
  <c r="BI225" i="1"/>
  <c r="BI226" i="1"/>
  <c r="BI79" i="1"/>
  <c r="BI333" i="1"/>
  <c r="BI16" i="1"/>
  <c r="BI400" i="1"/>
  <c r="BI371" i="1"/>
  <c r="BI348" i="1"/>
  <c r="BI188" i="1"/>
  <c r="BI196" i="1"/>
  <c r="BI78" i="1"/>
  <c r="BI221" i="1"/>
  <c r="BI426" i="1"/>
  <c r="BI215" i="1"/>
  <c r="BK24" i="1"/>
  <c r="BI326" i="1"/>
  <c r="BI208" i="1"/>
  <c r="BI220" i="1"/>
  <c r="BI23" i="1"/>
  <c r="BI191" i="1"/>
  <c r="BI74" i="1"/>
  <c r="BI347" i="1"/>
  <c r="BI368" i="1"/>
  <c r="BI33" i="1"/>
  <c r="BI35" i="1"/>
  <c r="BI376" i="1"/>
  <c r="BI212" i="1"/>
  <c r="BI290" i="1"/>
  <c r="BI231" i="1"/>
  <c r="BI270" i="1"/>
  <c r="BI40" i="1"/>
  <c r="BI356" i="1"/>
  <c r="BI239" i="1"/>
  <c r="BI183" i="1"/>
  <c r="BI269" i="1"/>
  <c r="BK136" i="1"/>
  <c r="BK251" i="1"/>
  <c r="BI209" i="1"/>
  <c r="BI276" i="1"/>
  <c r="BK364" i="1"/>
  <c r="BI187" i="1"/>
  <c r="BI250" i="1"/>
  <c r="BI377" i="1"/>
  <c r="BI283" i="1"/>
  <c r="BI358" i="1"/>
  <c r="BI422" i="1"/>
  <c r="BI263" i="1"/>
  <c r="BI65" i="1"/>
  <c r="BI248" i="1"/>
  <c r="BI213" i="1"/>
  <c r="BK227" i="1"/>
  <c r="BK71" i="1"/>
  <c r="BK217" i="1"/>
  <c r="BK203" i="1"/>
  <c r="BK380" i="1"/>
  <c r="BI84" i="1"/>
  <c r="BI373" i="1"/>
  <c r="BI379" i="1"/>
  <c r="BI374" i="1"/>
  <c r="C5" i="6"/>
  <c r="BI81" i="1"/>
  <c r="BI80" i="1"/>
  <c r="BK194" i="1"/>
  <c r="C23" i="6"/>
  <c r="J23" i="6" s="1"/>
  <c r="BI224" i="1"/>
  <c r="BL24" i="1"/>
  <c r="BL180" i="1"/>
  <c r="BK87" i="1"/>
  <c r="C6" i="6"/>
  <c r="J6" i="6" s="1"/>
  <c r="BL251" i="1"/>
  <c r="BI232" i="1"/>
  <c r="BI177" i="1"/>
  <c r="BL71" i="1"/>
  <c r="BL203" i="1"/>
  <c r="C25" i="6"/>
  <c r="J25" i="6" s="1"/>
  <c r="BI233" i="1"/>
  <c r="BI199" i="1"/>
  <c r="BI249" i="1"/>
  <c r="C26" i="6"/>
  <c r="J26" i="6" s="1"/>
  <c r="BL87" i="1"/>
  <c r="BL217" i="1"/>
  <c r="BL364" i="1"/>
  <c r="BL380" i="1"/>
  <c r="BL41" i="1"/>
  <c r="BL194" i="1"/>
  <c r="F7" i="6"/>
  <c r="C24" i="6"/>
  <c r="J24" i="6" s="1"/>
  <c r="BI185" i="1"/>
  <c r="BK41" i="1"/>
  <c r="BI30" i="1"/>
  <c r="BI34" i="1"/>
  <c r="BL136" i="1"/>
  <c r="BL227" i="1"/>
  <c r="BL236" i="1"/>
  <c r="BL244" i="1"/>
  <c r="BO253" i="1"/>
  <c r="C21" i="6"/>
  <c r="BJ152" i="1"/>
  <c r="BI138" i="1"/>
  <c r="BI152" i="1" s="1"/>
  <c r="D11" i="6" l="1"/>
  <c r="H11" i="6"/>
  <c r="H13" i="6" s="1"/>
  <c r="H15" i="6" s="1"/>
  <c r="C9" i="6"/>
  <c r="J9" i="6" s="1"/>
  <c r="C22" i="6"/>
  <c r="J22" i="6" s="1"/>
  <c r="F11" i="6"/>
  <c r="F13" i="6" s="1"/>
  <c r="F15" i="6" s="1"/>
  <c r="G11" i="6"/>
  <c r="G13" i="6" s="1"/>
  <c r="E11" i="6"/>
  <c r="E13" i="6" s="1"/>
  <c r="C10" i="6"/>
  <c r="J10" i="6" s="1"/>
  <c r="D27" i="6"/>
  <c r="D29" i="6" s="1"/>
  <c r="BM204" i="1"/>
  <c r="BM228" i="1"/>
  <c r="BN228" i="1"/>
  <c r="BN204" i="1"/>
  <c r="BJ204" i="1"/>
  <c r="BJ228" i="1"/>
  <c r="BL204" i="1"/>
  <c r="BI217" i="1"/>
  <c r="BI244" i="1"/>
  <c r="BI24" i="1"/>
  <c r="BI136" i="1"/>
  <c r="BK228" i="1"/>
  <c r="BI364" i="1"/>
  <c r="BI71" i="1"/>
  <c r="BK204" i="1"/>
  <c r="BI194" i="1"/>
  <c r="D7" i="6"/>
  <c r="BI380" i="1"/>
  <c r="BI87" i="1"/>
  <c r="BI180" i="1"/>
  <c r="BI251" i="1"/>
  <c r="BI236" i="1"/>
  <c r="BI203" i="1"/>
  <c r="BL228" i="1"/>
  <c r="BI227" i="1"/>
  <c r="BI41" i="1"/>
  <c r="F118" i="4"/>
  <c r="J21" i="6"/>
  <c r="J5" i="6"/>
  <c r="C7" i="6"/>
  <c r="E16" i="6" l="1"/>
  <c r="E15" i="6"/>
  <c r="G16" i="6"/>
  <c r="G15" i="6"/>
  <c r="D13" i="6"/>
  <c r="D15" i="6" s="1"/>
  <c r="H16" i="6"/>
  <c r="C11" i="6"/>
  <c r="C13" i="6" s="1"/>
  <c r="C15" i="6" s="1"/>
  <c r="C27" i="6"/>
  <c r="C29" i="6" s="1"/>
  <c r="BM253" i="1"/>
  <c r="BJ253" i="1"/>
  <c r="BN253" i="1"/>
  <c r="BL253" i="1"/>
  <c r="F16" i="6"/>
  <c r="F18" i="6" s="1"/>
  <c r="F31" i="6" s="1"/>
  <c r="F35" i="6" s="1"/>
  <c r="BI228" i="1"/>
  <c r="BI204" i="1"/>
  <c r="BK253" i="1"/>
  <c r="F134" i="4"/>
  <c r="G18" i="6" l="1"/>
  <c r="G31" i="6" s="1"/>
  <c r="G35" i="6" s="1"/>
  <c r="D16" i="6"/>
  <c r="H18" i="6"/>
  <c r="H31" i="6" s="1"/>
  <c r="H35" i="6" s="1"/>
  <c r="E18" i="6"/>
  <c r="E31" i="6" s="1"/>
  <c r="E35" i="6" s="1"/>
  <c r="BI253" i="1"/>
  <c r="D18" i="6" l="1"/>
  <c r="D31" i="6" s="1"/>
  <c r="D35" i="6" s="1"/>
  <c r="C16" i="6"/>
  <c r="C18" i="6" s="1"/>
  <c r="C31" i="6" s="1"/>
  <c r="C35" i="6" s="1"/>
  <c r="F169" i="4"/>
  <c r="AO10" i="1" l="1"/>
  <c r="BK10" i="1"/>
  <c r="BO10" i="1"/>
  <c r="BM10" i="1"/>
  <c r="BU260" i="1" l="1"/>
  <c r="BT260" i="1"/>
  <c r="BZ260" i="1"/>
  <c r="BW260" i="1"/>
  <c r="CE260" i="1"/>
  <c r="BV260" i="1"/>
  <c r="CC260" i="1"/>
  <c r="CD260" i="1"/>
  <c r="CI281" i="1"/>
  <c r="CF260" i="1"/>
  <c r="CA260" i="1"/>
  <c r="CB260" i="1"/>
  <c r="CG260" i="1"/>
  <c r="BX260" i="1"/>
  <c r="CH281" i="1"/>
  <c r="BY260" i="1"/>
  <c r="CH260" i="1"/>
  <c r="BL10" i="1"/>
  <c r="AN10" i="1"/>
  <c r="BN10" i="1"/>
  <c r="BO109" i="1"/>
  <c r="BO137" i="1" s="1"/>
  <c r="BL109" i="1"/>
  <c r="BK109" i="1"/>
  <c r="BK137" i="1" s="1"/>
  <c r="BM109" i="1"/>
  <c r="BM137" i="1" s="1"/>
  <c r="BJ109" i="1"/>
  <c r="BN109" i="1"/>
  <c r="BJ10" i="1"/>
  <c r="AO137" i="1"/>
  <c r="BW288" i="1" l="1"/>
  <c r="BT295" i="1"/>
  <c r="BU309" i="1"/>
  <c r="BT316" i="1"/>
  <c r="BU337" i="1"/>
  <c r="BT288" i="1"/>
  <c r="BU281" i="1"/>
  <c r="BT281" i="1"/>
  <c r="BU295" i="1"/>
  <c r="BT302" i="1"/>
  <c r="BT330" i="1"/>
  <c r="BU274" i="1"/>
  <c r="BU323" i="1"/>
  <c r="BU267" i="1"/>
  <c r="BT267" i="1"/>
  <c r="BT309" i="1"/>
  <c r="BT337" i="1"/>
  <c r="BU316" i="1"/>
  <c r="BX281" i="1"/>
  <c r="BT274" i="1"/>
  <c r="BT323" i="1"/>
  <c r="BU288" i="1"/>
  <c r="BU302" i="1"/>
  <c r="BU330" i="1"/>
  <c r="BY316" i="1"/>
  <c r="BY295" i="1"/>
  <c r="BY267" i="1"/>
  <c r="BW295" i="1"/>
  <c r="BY288" i="1"/>
  <c r="BY302" i="1"/>
  <c r="BY330" i="1"/>
  <c r="BZ302" i="1"/>
  <c r="BY274" i="1"/>
  <c r="BY323" i="1"/>
  <c r="CF337" i="1"/>
  <c r="BY281" i="1"/>
  <c r="BY309" i="1"/>
  <c r="BY337" i="1"/>
  <c r="BV281" i="1"/>
  <c r="BZ295" i="1"/>
  <c r="CF302" i="1"/>
  <c r="CH337" i="1"/>
  <c r="CA274" i="1"/>
  <c r="BV288" i="1"/>
  <c r="BV330" i="1"/>
  <c r="BZ281" i="1"/>
  <c r="BZ337" i="1"/>
  <c r="CF281" i="1"/>
  <c r="BW316" i="1"/>
  <c r="CH309" i="1"/>
  <c r="BV337" i="1"/>
  <c r="CF267" i="1"/>
  <c r="CF309" i="1"/>
  <c r="BV295" i="1"/>
  <c r="BV302" i="1"/>
  <c r="BZ309" i="1"/>
  <c r="AO281" i="1"/>
  <c r="CF330" i="1"/>
  <c r="CD316" i="1"/>
  <c r="BV309" i="1"/>
  <c r="BZ288" i="1"/>
  <c r="BZ330" i="1"/>
  <c r="CE302" i="1"/>
  <c r="CF274" i="1"/>
  <c r="CF323" i="1"/>
  <c r="CH330" i="1"/>
  <c r="CC309" i="1"/>
  <c r="BV316" i="1"/>
  <c r="BZ316" i="1"/>
  <c r="CE267" i="1"/>
  <c r="CE309" i="1"/>
  <c r="CF316" i="1"/>
  <c r="CF295" i="1"/>
  <c r="CF288" i="1"/>
  <c r="CH302" i="1"/>
  <c r="CC316" i="1"/>
  <c r="BV274" i="1"/>
  <c r="BV323" i="1"/>
  <c r="BV267" i="1"/>
  <c r="BZ274" i="1"/>
  <c r="BZ323" i="1"/>
  <c r="BZ267" i="1"/>
  <c r="CG281" i="1"/>
  <c r="CB267" i="1"/>
  <c r="CC295" i="1"/>
  <c r="CE330" i="1"/>
  <c r="CB309" i="1"/>
  <c r="CC281" i="1"/>
  <c r="CC337" i="1"/>
  <c r="CE281" i="1"/>
  <c r="CE337" i="1"/>
  <c r="BW274" i="1"/>
  <c r="BW323" i="1"/>
  <c r="BW267" i="1"/>
  <c r="BW281" i="1"/>
  <c r="BW309" i="1"/>
  <c r="BW337" i="1"/>
  <c r="BW302" i="1"/>
  <c r="BW330" i="1"/>
  <c r="CA323" i="1"/>
  <c r="CG316" i="1"/>
  <c r="CG337" i="1"/>
  <c r="BX337" i="1"/>
  <c r="CC274" i="1"/>
  <c r="CC323" i="1"/>
  <c r="CC267" i="1"/>
  <c r="CE274" i="1"/>
  <c r="CE323" i="1"/>
  <c r="AO302" i="1"/>
  <c r="BX302" i="1"/>
  <c r="CB302" i="1"/>
  <c r="CC288" i="1"/>
  <c r="CC302" i="1"/>
  <c r="CE316" i="1"/>
  <c r="CE295" i="1"/>
  <c r="CE288" i="1"/>
  <c r="CA295" i="1"/>
  <c r="CG309" i="1"/>
  <c r="BX267" i="1"/>
  <c r="BX309" i="1"/>
  <c r="CA267" i="1"/>
  <c r="CA281" i="1"/>
  <c r="CA309" i="1"/>
  <c r="CA337" i="1"/>
  <c r="CB330" i="1"/>
  <c r="CA316" i="1"/>
  <c r="CA288" i="1"/>
  <c r="AN260" i="1"/>
  <c r="CG295" i="1"/>
  <c r="BX330" i="1"/>
  <c r="CA302" i="1"/>
  <c r="CA330" i="1"/>
  <c r="CB281" i="1"/>
  <c r="CB337" i="1"/>
  <c r="CI323" i="1"/>
  <c r="BM260" i="1"/>
  <c r="CG288" i="1"/>
  <c r="CG302" i="1"/>
  <c r="CG330" i="1"/>
  <c r="BX316" i="1"/>
  <c r="CB316" i="1"/>
  <c r="CB295" i="1"/>
  <c r="CB288" i="1"/>
  <c r="CG274" i="1"/>
  <c r="CG323" i="1"/>
  <c r="CG267" i="1"/>
  <c r="CB274" i="1"/>
  <c r="CB323" i="1"/>
  <c r="AO267" i="1"/>
  <c r="AO274" i="1"/>
  <c r="AO309" i="1"/>
  <c r="BN260" i="1"/>
  <c r="BK260" i="1"/>
  <c r="CD274" i="1"/>
  <c r="CD323" i="1"/>
  <c r="CD267" i="1"/>
  <c r="CH274" i="1"/>
  <c r="BJ260" i="1"/>
  <c r="BL260" i="1"/>
  <c r="AM260" i="1"/>
  <c r="CD295" i="1"/>
  <c r="CD288" i="1"/>
  <c r="CD302" i="1"/>
  <c r="CD330" i="1"/>
  <c r="CH295" i="1"/>
  <c r="CH323" i="1"/>
  <c r="CH267" i="1"/>
  <c r="CH316" i="1"/>
  <c r="BO260" i="1"/>
  <c r="CD281" i="1"/>
  <c r="CD309" i="1"/>
  <c r="CD337" i="1"/>
  <c r="CH288" i="1"/>
  <c r="AL260" i="1"/>
  <c r="AT260" i="1"/>
  <c r="BS309" i="1"/>
  <c r="AW260" i="1"/>
  <c r="AU260" i="1"/>
  <c r="AY260" i="1"/>
  <c r="AX260" i="1"/>
  <c r="BS260" i="1"/>
  <c r="AV260" i="1"/>
  <c r="BS302" i="1"/>
  <c r="BS281" i="1"/>
  <c r="BS288" i="1"/>
  <c r="BS316" i="1"/>
  <c r="BS274" i="1"/>
  <c r="BN137" i="1"/>
  <c r="AO337" i="1"/>
  <c r="BS337" i="1"/>
  <c r="CC330" i="1"/>
  <c r="BJ137" i="1"/>
  <c r="BI10" i="1"/>
  <c r="BL137" i="1"/>
  <c r="BI109" i="1"/>
  <c r="AN137" i="1"/>
  <c r="AW295" i="1" l="1"/>
  <c r="BN337" i="1"/>
  <c r="BJ337" i="1"/>
  <c r="CI267" i="1"/>
  <c r="BL316" i="1"/>
  <c r="AO323" i="1"/>
  <c r="CI309" i="1"/>
  <c r="AY337" i="1"/>
  <c r="AN337" i="1"/>
  <c r="AX337" i="1"/>
  <c r="BN281" i="1"/>
  <c r="AT337" i="1"/>
  <c r="AM267" i="1"/>
  <c r="BO337" i="1"/>
  <c r="AW337" i="1"/>
  <c r="AM323" i="1"/>
  <c r="AU337" i="1"/>
  <c r="BM281" i="1"/>
  <c r="BM337" i="1"/>
  <c r="BK337" i="1"/>
  <c r="AM281" i="1"/>
  <c r="BN288" i="1"/>
  <c r="AV337" i="1"/>
  <c r="AL337" i="1"/>
  <c r="BL337" i="1"/>
  <c r="AL323" i="1"/>
  <c r="BI260" i="1"/>
  <c r="BM309" i="1"/>
  <c r="AN281" i="1"/>
  <c r="BK309" i="1"/>
  <c r="CI302" i="1"/>
  <c r="BO281" i="1"/>
  <c r="AU267" i="1"/>
  <c r="BN316" i="1"/>
  <c r="BK288" i="1"/>
  <c r="BJ316" i="1"/>
  <c r="AN316" i="1"/>
  <c r="BM316" i="1"/>
  <c r="BK316" i="1"/>
  <c r="BO316" i="1"/>
  <c r="BJ330" i="1"/>
  <c r="BL288" i="1"/>
  <c r="CI274" i="1"/>
  <c r="AM330" i="1"/>
  <c r="BO309" i="1"/>
  <c r="BJ288" i="1"/>
  <c r="AN267" i="1"/>
  <c r="BN330" i="1"/>
  <c r="BJ281" i="1"/>
  <c r="BN309" i="1"/>
  <c r="BM302" i="1"/>
  <c r="AN330" i="1"/>
  <c r="BL281" i="1"/>
  <c r="AM302" i="1"/>
  <c r="AN288" i="1"/>
  <c r="AM309" i="1"/>
  <c r="AI337" i="1"/>
  <c r="AM337" i="1"/>
  <c r="BL309" i="1"/>
  <c r="AN295" i="1"/>
  <c r="BM288" i="1"/>
  <c r="AN309" i="1"/>
  <c r="AM316" i="1"/>
  <c r="BX288" i="1"/>
  <c r="BJ309" i="1"/>
  <c r="BM267" i="1"/>
  <c r="BN323" i="1"/>
  <c r="AM295" i="1"/>
  <c r="BL323" i="1"/>
  <c r="BJ323" i="1"/>
  <c r="BJ274" i="1"/>
  <c r="BN302" i="1"/>
  <c r="BL330" i="1"/>
  <c r="BO288" i="1"/>
  <c r="BK281" i="1"/>
  <c r="AM274" i="1"/>
  <c r="BO323" i="1"/>
  <c r="BO330" i="1"/>
  <c r="AM288" i="1"/>
  <c r="BX295" i="1"/>
  <c r="BK274" i="1"/>
  <c r="BX274" i="1"/>
  <c r="BN274" i="1"/>
  <c r="BM274" i="1"/>
  <c r="BK302" i="1"/>
  <c r="BK330" i="1"/>
  <c r="BJ267" i="1"/>
  <c r="AN274" i="1"/>
  <c r="BL295" i="1"/>
  <c r="BO302" i="1"/>
  <c r="BO274" i="1"/>
  <c r="BL274" i="1"/>
  <c r="BM330" i="1"/>
  <c r="BO295" i="1"/>
  <c r="BM295" i="1"/>
  <c r="BK267" i="1"/>
  <c r="AN302" i="1"/>
  <c r="BO267" i="1"/>
  <c r="BK323" i="1"/>
  <c r="BJ295" i="1"/>
  <c r="BN267" i="1"/>
  <c r="BN295" i="1"/>
  <c r="AN323" i="1"/>
  <c r="BL267" i="1"/>
  <c r="BL302" i="1"/>
  <c r="BM323" i="1"/>
  <c r="BK295" i="1"/>
  <c r="BJ302" i="1"/>
  <c r="AV274" i="1"/>
  <c r="AT295" i="1"/>
  <c r="AV309" i="1"/>
  <c r="AV302" i="1"/>
  <c r="AU274" i="1"/>
  <c r="AT274" i="1"/>
  <c r="AU309" i="1"/>
  <c r="AT281" i="1"/>
  <c r="AI267" i="1"/>
  <c r="CL281" i="1"/>
  <c r="AT309" i="1"/>
  <c r="BS295" i="1"/>
  <c r="AW281" i="1"/>
  <c r="AY295" i="1"/>
  <c r="AV267" i="1"/>
  <c r="AW309" i="1"/>
  <c r="AL309" i="1"/>
  <c r="AW316" i="1"/>
  <c r="AY288" i="1"/>
  <c r="AU295" i="1"/>
  <c r="AX295" i="1"/>
  <c r="AY309" i="1"/>
  <c r="AV295" i="1"/>
  <c r="AW288" i="1"/>
  <c r="AT267" i="1"/>
  <c r="AI281" i="1"/>
  <c r="AW267" i="1"/>
  <c r="AL295" i="1"/>
  <c r="AI309" i="1"/>
  <c r="AX309" i="1"/>
  <c r="AI295" i="1"/>
  <c r="AX281" i="1"/>
  <c r="AU302" i="1"/>
  <c r="AS260" i="1"/>
  <c r="AT330" i="1"/>
  <c r="AL302" i="1"/>
  <c r="AW274" i="1"/>
  <c r="AI302" i="1"/>
  <c r="BS330" i="1"/>
  <c r="AV330" i="1"/>
  <c r="AU323" i="1"/>
  <c r="AY323" i="1"/>
  <c r="AU330" i="1"/>
  <c r="AL274" i="1"/>
  <c r="AW323" i="1"/>
  <c r="AY274" i="1"/>
  <c r="AL330" i="1"/>
  <c r="AI323" i="1"/>
  <c r="AV323" i="1"/>
  <c r="AT323" i="1"/>
  <c r="AX302" i="1"/>
  <c r="AI274" i="1"/>
  <c r="AY330" i="1"/>
  <c r="AX330" i="1"/>
  <c r="BS323" i="1"/>
  <c r="AW330" i="1"/>
  <c r="AX323" i="1"/>
  <c r="AT302" i="1"/>
  <c r="AX274" i="1"/>
  <c r="AY302" i="1"/>
  <c r="AW302" i="1"/>
  <c r="AL267" i="1"/>
  <c r="AU288" i="1"/>
  <c r="AV288" i="1"/>
  <c r="AY267" i="1"/>
  <c r="AX288" i="1"/>
  <c r="AX267" i="1"/>
  <c r="AT288" i="1"/>
  <c r="BS267" i="1"/>
  <c r="AL288" i="1"/>
  <c r="AU281" i="1"/>
  <c r="AY281" i="1"/>
  <c r="AX316" i="1"/>
  <c r="AU316" i="1"/>
  <c r="AV281" i="1"/>
  <c r="AL316" i="1"/>
  <c r="AL281" i="1"/>
  <c r="AV316" i="1"/>
  <c r="AY316" i="1"/>
  <c r="AT316" i="1"/>
  <c r="BI137" i="1"/>
  <c r="AK323" i="1" l="1"/>
  <c r="AK302" i="1"/>
  <c r="CL309" i="1"/>
  <c r="BI337" i="1"/>
  <c r="AS337" i="1"/>
  <c r="BI274" i="1"/>
  <c r="AK337" i="1"/>
  <c r="AK281" i="1"/>
  <c r="BI316" i="1"/>
  <c r="CL302" i="1"/>
  <c r="BI309" i="1"/>
  <c r="BI288" i="1"/>
  <c r="BI281" i="1"/>
  <c r="AK267" i="1"/>
  <c r="AK274" i="1"/>
  <c r="AK309" i="1"/>
  <c r="BI323" i="1"/>
  <c r="BI267" i="1"/>
  <c r="BI295" i="1"/>
  <c r="BI330" i="1"/>
  <c r="AK295" i="1"/>
  <c r="BI302" i="1"/>
  <c r="CL274" i="1"/>
  <c r="CL267" i="1"/>
  <c r="AS309" i="1"/>
  <c r="CL295" i="1"/>
  <c r="AS274" i="1"/>
  <c r="AS295" i="1"/>
  <c r="AS330" i="1"/>
  <c r="AS288" i="1"/>
  <c r="AS281" i="1"/>
  <c r="AS302" i="1"/>
  <c r="AS323" i="1"/>
  <c r="AS267" i="1"/>
  <c r="AS316" i="1"/>
  <c r="CI337" i="1" l="1"/>
  <c r="BX323" i="1"/>
  <c r="E68" i="23"/>
  <c r="G68" i="23" s="1"/>
  <c r="CL323" i="1" l="1"/>
  <c r="CL337" i="1"/>
  <c r="BF138" i="1" l="1"/>
  <c r="BF152" i="1" s="1"/>
  <c r="BC138" i="1"/>
  <c r="BC152" i="1" s="1"/>
  <c r="BE138" i="1"/>
  <c r="BE152" i="1" s="1"/>
  <c r="BD138" i="1"/>
  <c r="BD152" i="1" s="1"/>
  <c r="AM138" i="1"/>
  <c r="AM152" i="1" s="1"/>
  <c r="BG138" i="1"/>
  <c r="BG152" i="1" s="1"/>
  <c r="BB138" i="1" l="1"/>
  <c r="BB152" i="1" l="1"/>
  <c r="BA138" i="1"/>
  <c r="BA152" i="1" s="1"/>
  <c r="AW138" i="1"/>
  <c r="AW152" i="1" s="1"/>
  <c r="AY138" i="1"/>
  <c r="AY152" i="1" s="1"/>
  <c r="AV138" i="1"/>
  <c r="AV152" i="1" s="1"/>
  <c r="AU138" i="1"/>
  <c r="AU152" i="1" s="1"/>
  <c r="AX138" i="1"/>
  <c r="AX152" i="1" s="1"/>
  <c r="I138" i="1" l="1"/>
  <c r="I152" i="1" s="1"/>
  <c r="AT138" i="1"/>
  <c r="AK138" i="1"/>
  <c r="AK152" i="1" s="1"/>
  <c r="AL138" i="1"/>
  <c r="AL152" i="1" s="1"/>
  <c r="BU219" i="1" l="1"/>
  <c r="BU220" i="1"/>
  <c r="BU209" i="1"/>
  <c r="AS138" i="1"/>
  <c r="AS152" i="1" s="1"/>
  <c r="AT152" i="1"/>
  <c r="BU226" i="1" l="1"/>
  <c r="BU207" i="1" l="1"/>
  <c r="AW403" i="1"/>
  <c r="BU218" i="1"/>
  <c r="AY403" i="1" l="1"/>
  <c r="AV403" i="1"/>
  <c r="AT403" i="1"/>
  <c r="AM403" i="1"/>
  <c r="AX403" i="1"/>
  <c r="AU403" i="1"/>
  <c r="AL403" i="1"/>
  <c r="AI403" i="1"/>
  <c r="AS403" i="1" l="1"/>
  <c r="AK403" i="1"/>
  <c r="AO128" i="1" l="1"/>
  <c r="BM128" i="1" l="1"/>
  <c r="BO128" i="1"/>
  <c r="BL128" i="1"/>
  <c r="BJ128" i="1"/>
  <c r="BK128" i="1"/>
  <c r="BN128" i="1"/>
  <c r="AN128" i="1"/>
  <c r="AW128" i="1"/>
  <c r="AM128" i="1"/>
  <c r="AV128" i="1"/>
  <c r="AL128" i="1"/>
  <c r="AI128" i="1"/>
  <c r="AU128" i="1"/>
  <c r="AT128" i="1"/>
  <c r="AX128" i="1"/>
  <c r="AY128" i="1"/>
  <c r="M138" i="1" l="1"/>
  <c r="M152" i="1" s="1"/>
  <c r="K138" i="1"/>
  <c r="K152" i="1" s="1"/>
  <c r="L138" i="1"/>
  <c r="L152" i="1" s="1"/>
  <c r="J138" i="1"/>
  <c r="J152" i="1" s="1"/>
  <c r="H138" i="1"/>
  <c r="H152" i="1" s="1"/>
  <c r="AK128" i="1"/>
  <c r="BI128" i="1"/>
  <c r="AS128" i="1"/>
  <c r="F154" i="4" l="1"/>
  <c r="F231" i="4"/>
  <c r="F232" i="4"/>
  <c r="F230" i="4" l="1"/>
  <c r="F236" i="4" s="1"/>
  <c r="F248" i="4" l="1"/>
  <c r="F247" i="4"/>
  <c r="F253" i="4" s="1"/>
  <c r="F195" i="4" l="1"/>
  <c r="F210" i="4"/>
  <c r="F216" i="4" s="1"/>
  <c r="F194" i="4"/>
  <c r="F250" i="4"/>
  <c r="F193" i="4"/>
  <c r="F199" i="4" s="1"/>
  <c r="F119" i="4"/>
  <c r="F249" i="4"/>
  <c r="F135" i="4" l="1"/>
  <c r="F212" i="4"/>
  <c r="F211" i="4" l="1"/>
  <c r="F138" i="4"/>
  <c r="F213" i="4" l="1"/>
  <c r="F173" i="4" l="1"/>
  <c r="F122" i="4"/>
  <c r="F170" i="4"/>
  <c r="F136" i="4"/>
  <c r="F137" i="4"/>
  <c r="F157" i="4"/>
  <c r="AV401" i="7"/>
  <c r="AV403" i="7" s="1"/>
  <c r="AV405" i="7" s="1"/>
  <c r="AW399" i="7"/>
  <c r="AW401" i="7" s="1"/>
  <c r="AX401" i="7" s="1"/>
  <c r="AY399" i="7" l="1"/>
  <c r="AW403" i="7"/>
  <c r="AX403" i="7" s="1"/>
  <c r="E429" i="1" l="1"/>
  <c r="AY401" i="7"/>
  <c r="BA401" i="7" s="1"/>
  <c r="AW405" i="7"/>
  <c r="AX405" i="7" s="1"/>
  <c r="E431" i="1" l="1"/>
  <c r="E433" i="1" s="1"/>
  <c r="E445" i="1"/>
  <c r="AW428" i="1"/>
  <c r="BO428" i="1"/>
  <c r="AU428" i="1"/>
  <c r="BM428" i="1"/>
  <c r="AL428" i="1"/>
  <c r="AX428" i="1"/>
  <c r="BN428" i="1"/>
  <c r="BJ428" i="1"/>
  <c r="AO428" i="1"/>
  <c r="AY428" i="1"/>
  <c r="BK428" i="1"/>
  <c r="AT428" i="1"/>
  <c r="AN428" i="1"/>
  <c r="BL428" i="1"/>
  <c r="AM428" i="1"/>
  <c r="AV428" i="1"/>
  <c r="AY403" i="7"/>
  <c r="E444" i="1" l="1"/>
  <c r="E443" i="1"/>
  <c r="E442" i="1"/>
  <c r="AY405" i="7"/>
  <c r="AK428" i="1"/>
  <c r="E435" i="1"/>
  <c r="AS428" i="1"/>
  <c r="BI428" i="1"/>
  <c r="E438" i="1" l="1"/>
  <c r="E133" i="1"/>
  <c r="E410" i="1"/>
  <c r="E436" i="1" l="1"/>
  <c r="F155" i="4" l="1"/>
  <c r="F196" i="4" l="1"/>
  <c r="F172" i="4"/>
  <c r="F171" i="4"/>
  <c r="F120" i="4"/>
  <c r="F121" i="4"/>
  <c r="F156" i="4"/>
  <c r="F233" i="4"/>
  <c r="N138" i="1"/>
  <c r="N152" i="1" s="1"/>
  <c r="F153" i="4"/>
  <c r="D27" i="22"/>
  <c r="J26" i="22"/>
  <c r="B10" i="23" l="1"/>
  <c r="G10" i="23" s="1"/>
  <c r="G42" i="3" s="1"/>
  <c r="D28" i="22"/>
  <c r="D31" i="22" s="1"/>
  <c r="D39" i="22" s="1"/>
  <c r="J27" i="22"/>
  <c r="J25" i="22"/>
  <c r="B9" i="23"/>
  <c r="G9" i="23" s="1"/>
  <c r="B8" i="23"/>
  <c r="J28" i="22" l="1"/>
  <c r="J31" i="22" s="1"/>
  <c r="J39" i="22" s="1"/>
  <c r="G8" i="23"/>
  <c r="B11" i="23"/>
  <c r="B17" i="23" s="1"/>
  <c r="B23" i="23" s="1"/>
  <c r="F42" i="3"/>
  <c r="F178" i="4"/>
  <c r="G9" i="3"/>
  <c r="G10" i="3" l="1"/>
  <c r="F254" i="4"/>
  <c r="F217" i="4"/>
  <c r="F237" i="4"/>
  <c r="F200" i="4"/>
  <c r="E178" i="4"/>
  <c r="F9" i="3"/>
  <c r="E42" i="3"/>
  <c r="G11" i="23"/>
  <c r="G17" i="23" s="1"/>
  <c r="G23" i="23" s="1"/>
  <c r="E67" i="23" l="1"/>
  <c r="G67" i="23" s="1"/>
  <c r="H16" i="23"/>
  <c r="E27" i="23"/>
  <c r="G27" i="23" s="1"/>
  <c r="H19" i="23"/>
  <c r="G24" i="23"/>
  <c r="H20" i="23"/>
  <c r="H10" i="23"/>
  <c r="H9" i="23"/>
  <c r="F10" i="3"/>
  <c r="E9" i="3"/>
  <c r="D178" i="4"/>
  <c r="H8" i="23"/>
  <c r="H21" i="23" l="1"/>
  <c r="C178" i="4"/>
  <c r="E10" i="3"/>
  <c r="D9" i="3"/>
  <c r="H67" i="23"/>
  <c r="H68" i="23"/>
  <c r="H27" i="23"/>
  <c r="H28" i="23"/>
  <c r="H11" i="23"/>
  <c r="H17" i="23" s="1"/>
  <c r="H23" i="23" l="1"/>
  <c r="H24" i="23" s="1"/>
  <c r="R29" i="1"/>
  <c r="E160" i="1"/>
  <c r="H27" i="3"/>
  <c r="J27" i="3"/>
  <c r="I63" i="3" s="1"/>
  <c r="I27" i="3"/>
  <c r="G27" i="3"/>
  <c r="F27" i="3"/>
  <c r="D10" i="3"/>
  <c r="E28" i="3" s="1"/>
  <c r="E27" i="3"/>
  <c r="E161" i="1"/>
  <c r="W29" i="1"/>
  <c r="J58" i="3" l="1"/>
  <c r="E8" i="32"/>
  <c r="I59" i="3"/>
  <c r="F7" i="32"/>
  <c r="I60" i="3"/>
  <c r="G7" i="32"/>
  <c r="I62" i="3"/>
  <c r="I7" i="32"/>
  <c r="AM29" i="1"/>
  <c r="W76" i="1"/>
  <c r="W220" i="1"/>
  <c r="W369" i="1"/>
  <c r="W209" i="1"/>
  <c r="W241" i="1"/>
  <c r="W32" i="1"/>
  <c r="W33" i="1"/>
  <c r="R33" i="1"/>
  <c r="R32" i="1"/>
  <c r="R241" i="1"/>
  <c r="I61" i="3"/>
  <c r="H7" i="32"/>
  <c r="E7" i="32"/>
  <c r="I58" i="3"/>
  <c r="D27" i="3"/>
  <c r="I28" i="3"/>
  <c r="H28" i="3"/>
  <c r="J28" i="3"/>
  <c r="J63" i="3" s="1"/>
  <c r="BG422" i="1" s="1"/>
  <c r="G28" i="3"/>
  <c r="F28" i="3"/>
  <c r="R220" i="1"/>
  <c r="R76" i="1"/>
  <c r="R209" i="1"/>
  <c r="AI29" i="1"/>
  <c r="AT29" i="1"/>
  <c r="AL29" i="1"/>
  <c r="AX29" i="1"/>
  <c r="R369" i="1"/>
  <c r="AU29" i="1"/>
  <c r="AV29" i="1"/>
  <c r="AY29" i="1"/>
  <c r="AW29" i="1"/>
  <c r="I22" i="1" l="1"/>
  <c r="CM247" i="1"/>
  <c r="R28" i="1"/>
  <c r="AT28" i="1" s="1"/>
  <c r="I29" i="1"/>
  <c r="E174" i="31" s="1"/>
  <c r="AK29" i="1"/>
  <c r="R219" i="1"/>
  <c r="AU219" i="1" s="1"/>
  <c r="R27" i="1"/>
  <c r="AX27" i="1" s="1"/>
  <c r="R40" i="1"/>
  <c r="AX40" i="1" s="1"/>
  <c r="W40" i="1"/>
  <c r="BB40" i="1" s="1"/>
  <c r="CR185" i="1"/>
  <c r="CR187" i="1"/>
  <c r="BG281" i="1"/>
  <c r="N201" i="1"/>
  <c r="N284" i="1"/>
  <c r="N269" i="1"/>
  <c r="BG376" i="1"/>
  <c r="BG288" i="1"/>
  <c r="W27" i="1"/>
  <c r="AM27" i="1" s="1"/>
  <c r="CR323" i="1"/>
  <c r="BG178" i="1"/>
  <c r="N191" i="1"/>
  <c r="N29" i="1"/>
  <c r="BG191" i="1"/>
  <c r="N295" i="1"/>
  <c r="N325" i="1"/>
  <c r="BG276" i="1"/>
  <c r="BG302" i="1"/>
  <c r="CR277" i="1"/>
  <c r="BG37" i="1"/>
  <c r="CR302" i="1"/>
  <c r="J59" i="3"/>
  <c r="BC356" i="1" s="1"/>
  <c r="F8" i="32"/>
  <c r="N179" i="1"/>
  <c r="N208" i="1"/>
  <c r="N403" i="1"/>
  <c r="BG193" i="1"/>
  <c r="BG19" i="1"/>
  <c r="N281" i="1"/>
  <c r="BG70" i="1"/>
  <c r="BG224" i="1"/>
  <c r="CR197" i="1"/>
  <c r="N249" i="1"/>
  <c r="BG428" i="1"/>
  <c r="BG192" i="1"/>
  <c r="N377" i="1"/>
  <c r="BG39" i="1"/>
  <c r="N340" i="1"/>
  <c r="CR340" i="1"/>
  <c r="BG374" i="1"/>
  <c r="N65" i="1"/>
  <c r="BG403" i="1"/>
  <c r="BG340" i="1"/>
  <c r="BG189" i="1"/>
  <c r="N128" i="1"/>
  <c r="CR196" i="1"/>
  <c r="BG247" i="1"/>
  <c r="BG270" i="1"/>
  <c r="CR312" i="1"/>
  <c r="BG267" i="1"/>
  <c r="CR284" i="1"/>
  <c r="BG69" i="1"/>
  <c r="CR208" i="1"/>
  <c r="BG81" i="1"/>
  <c r="N202" i="1"/>
  <c r="BG80" i="1"/>
  <c r="N339" i="1"/>
  <c r="BG319" i="1"/>
  <c r="N374" i="1"/>
  <c r="BG316" i="1"/>
  <c r="CR195" i="1"/>
  <c r="CR183" i="1"/>
  <c r="N16" i="1"/>
  <c r="N425" i="1"/>
  <c r="BG29" i="1"/>
  <c r="BG220" i="1"/>
  <c r="BX220" i="1"/>
  <c r="BB220" i="1"/>
  <c r="AM220" i="1"/>
  <c r="AL369" i="1"/>
  <c r="I369" i="1"/>
  <c r="AT369" i="1"/>
  <c r="AX369" i="1"/>
  <c r="AW369" i="1"/>
  <c r="AV369" i="1"/>
  <c r="AU369" i="1"/>
  <c r="AI369" i="1"/>
  <c r="N369" i="1"/>
  <c r="AY369" i="1"/>
  <c r="J60" i="3"/>
  <c r="G8" i="32"/>
  <c r="N17" i="1"/>
  <c r="BG373" i="1"/>
  <c r="CR325" i="1"/>
  <c r="BG65" i="1"/>
  <c r="BG23" i="1"/>
  <c r="N358" i="1"/>
  <c r="BG304" i="1"/>
  <c r="N34" i="1"/>
  <c r="N233" i="1"/>
  <c r="BG337" i="1"/>
  <c r="CR295" i="1"/>
  <c r="BG295" i="1"/>
  <c r="CR248" i="1"/>
  <c r="BG231" i="1"/>
  <c r="CR243" i="1"/>
  <c r="N64" i="1"/>
  <c r="BG214" i="1"/>
  <c r="N326" i="1"/>
  <c r="CR222" i="1"/>
  <c r="BG225" i="1"/>
  <c r="CR318" i="1"/>
  <c r="BG232" i="1"/>
  <c r="CR250" i="1"/>
  <c r="CR276" i="1"/>
  <c r="BG269" i="1"/>
  <c r="N351" i="1"/>
  <c r="BG200" i="1"/>
  <c r="BG122" i="1"/>
  <c r="BG190" i="1"/>
  <c r="CR240" i="1"/>
  <c r="BG323" i="1"/>
  <c r="BG68" i="1"/>
  <c r="N69" i="1"/>
  <c r="BG197" i="1"/>
  <c r="N196" i="1"/>
  <c r="BG185" i="1"/>
  <c r="CR178" i="1"/>
  <c r="CR239" i="1"/>
  <c r="N422" i="1"/>
  <c r="N177" i="1"/>
  <c r="BG425" i="1"/>
  <c r="W28" i="1"/>
  <c r="AT209" i="1"/>
  <c r="I209" i="1"/>
  <c r="BS209" i="1"/>
  <c r="AL209" i="1"/>
  <c r="AI209" i="1"/>
  <c r="AU209" i="1"/>
  <c r="AY209" i="1"/>
  <c r="AW209" i="1"/>
  <c r="AV209" i="1"/>
  <c r="N209" i="1"/>
  <c r="AX209" i="1"/>
  <c r="AL76" i="1"/>
  <c r="I76" i="1"/>
  <c r="AT76" i="1"/>
  <c r="AI76" i="1"/>
  <c r="AW76" i="1"/>
  <c r="AY76" i="1"/>
  <c r="AX76" i="1"/>
  <c r="AU76" i="1"/>
  <c r="AV76" i="1"/>
  <c r="N76" i="1"/>
  <c r="CR186" i="1"/>
  <c r="BG184" i="1"/>
  <c r="N19" i="1"/>
  <c r="N276" i="1"/>
  <c r="BG30" i="1"/>
  <c r="N36" i="1"/>
  <c r="N84" i="1"/>
  <c r="N80" i="1"/>
  <c r="N360" i="1"/>
  <c r="CR233" i="1"/>
  <c r="N333" i="1"/>
  <c r="BG309" i="1"/>
  <c r="N323" i="1"/>
  <c r="CR231" i="1"/>
  <c r="N186" i="1"/>
  <c r="BG84" i="1"/>
  <c r="BG234" i="1"/>
  <c r="BG123" i="1"/>
  <c r="N211" i="1"/>
  <c r="CR333" i="1"/>
  <c r="N319" i="1"/>
  <c r="BG179" i="1"/>
  <c r="BG332" i="1"/>
  <c r="N309" i="1"/>
  <c r="N185" i="1"/>
  <c r="N376" i="1"/>
  <c r="CR202" i="1"/>
  <c r="BG186" i="1"/>
  <c r="CR190" i="1"/>
  <c r="BG83" i="1"/>
  <c r="BG64" i="1"/>
  <c r="BG298" i="1"/>
  <c r="N66" i="1"/>
  <c r="BG263" i="1"/>
  <c r="N197" i="1"/>
  <c r="BG283" i="1"/>
  <c r="N123" i="1"/>
  <c r="CR305" i="1"/>
  <c r="N304" i="1"/>
  <c r="N231" i="1"/>
  <c r="BG177" i="1"/>
  <c r="CR177" i="1"/>
  <c r="R244" i="1"/>
  <c r="AT241" i="1"/>
  <c r="BS241" i="1"/>
  <c r="AL241" i="1"/>
  <c r="I241" i="1"/>
  <c r="AW241" i="1"/>
  <c r="AW244" i="1" s="1"/>
  <c r="AX241" i="1"/>
  <c r="AX244" i="1" s="1"/>
  <c r="AU241" i="1"/>
  <c r="AU244" i="1" s="1"/>
  <c r="N241" i="1"/>
  <c r="I295" i="4" s="1"/>
  <c r="AV241" i="1"/>
  <c r="AV244" i="1" s="1"/>
  <c r="AI241" i="1"/>
  <c r="AY241" i="1"/>
  <c r="AY244" i="1" s="1"/>
  <c r="BB76" i="1"/>
  <c r="BG76" i="1"/>
  <c r="AM76" i="1"/>
  <c r="J62" i="3"/>
  <c r="BF425" i="1" s="1"/>
  <c r="I8" i="32"/>
  <c r="AL28" i="1"/>
  <c r="AU28" i="1"/>
  <c r="AY28" i="1"/>
  <c r="AX28" i="1"/>
  <c r="AW28" i="1"/>
  <c r="I220" i="1"/>
  <c r="BS220" i="1"/>
  <c r="AL220" i="1"/>
  <c r="AX220" i="1"/>
  <c r="N220" i="1"/>
  <c r="AY220" i="1"/>
  <c r="AU220" i="1"/>
  <c r="AI220" i="1"/>
  <c r="AV220" i="1"/>
  <c r="AW220" i="1"/>
  <c r="AT220" i="1"/>
  <c r="H8" i="32"/>
  <c r="J61" i="3"/>
  <c r="BE369" i="1" s="1"/>
  <c r="BG67" i="1"/>
  <c r="BG262" i="1"/>
  <c r="N297" i="1"/>
  <c r="CR211" i="1"/>
  <c r="N361" i="1"/>
  <c r="BG248" i="1"/>
  <c r="BG213" i="1"/>
  <c r="CR189" i="1"/>
  <c r="N122" i="1"/>
  <c r="N85" i="1"/>
  <c r="BG312" i="1"/>
  <c r="BG22" i="1"/>
  <c r="BG370" i="1"/>
  <c r="N190" i="1"/>
  <c r="N362" i="1"/>
  <c r="CR332" i="1"/>
  <c r="BG362" i="1"/>
  <c r="N200" i="1"/>
  <c r="BG242" i="1"/>
  <c r="N77" i="1"/>
  <c r="N305" i="1"/>
  <c r="BG277" i="1"/>
  <c r="BG325" i="1"/>
  <c r="BG38" i="1"/>
  <c r="BG249" i="1"/>
  <c r="BG199" i="1"/>
  <c r="N68" i="1"/>
  <c r="N243" i="1"/>
  <c r="N22" i="1"/>
  <c r="BG333" i="1"/>
  <c r="N224" i="1"/>
  <c r="N290" i="1"/>
  <c r="BG378" i="1"/>
  <c r="N195" i="1"/>
  <c r="BG21" i="1"/>
  <c r="CR297" i="1"/>
  <c r="CR188" i="1"/>
  <c r="CR234" i="1"/>
  <c r="BG16" i="1"/>
  <c r="BG195" i="1"/>
  <c r="BG347" i="1"/>
  <c r="AT32" i="1"/>
  <c r="R210" i="1"/>
  <c r="R78" i="1"/>
  <c r="AL32" i="1"/>
  <c r="I32" i="1"/>
  <c r="R371" i="1"/>
  <c r="R221" i="1"/>
  <c r="AU32" i="1"/>
  <c r="N32" i="1"/>
  <c r="AV32" i="1"/>
  <c r="AY32" i="1"/>
  <c r="AX32" i="1"/>
  <c r="AW32" i="1"/>
  <c r="AI32" i="1"/>
  <c r="N178" i="1"/>
  <c r="CR214" i="1"/>
  <c r="N250" i="1"/>
  <c r="CR198" i="1"/>
  <c r="BG77" i="1"/>
  <c r="CR339" i="1"/>
  <c r="N283" i="1"/>
  <c r="N39" i="1"/>
  <c r="CR199" i="1"/>
  <c r="CR281" i="1"/>
  <c r="N270" i="1"/>
  <c r="N23" i="1"/>
  <c r="N81" i="1"/>
  <c r="N82" i="1"/>
  <c r="BG36" i="1"/>
  <c r="CR179" i="1"/>
  <c r="BG297" i="1"/>
  <c r="BG240" i="1"/>
  <c r="N188" i="1"/>
  <c r="BG260" i="1"/>
  <c r="N363" i="1"/>
  <c r="BG363" i="1"/>
  <c r="BG305" i="1"/>
  <c r="CR270" i="1"/>
  <c r="N267" i="1"/>
  <c r="BG233" i="1"/>
  <c r="N199" i="1"/>
  <c r="N232" i="1"/>
  <c r="N235" i="1"/>
  <c r="BG330" i="1"/>
  <c r="BG274" i="1"/>
  <c r="CR247" i="1"/>
  <c r="N234" i="1"/>
  <c r="BG63" i="1"/>
  <c r="AT33" i="1"/>
  <c r="AL33" i="1"/>
  <c r="I33" i="1"/>
  <c r="R212" i="1"/>
  <c r="R223" i="1"/>
  <c r="R372" i="1"/>
  <c r="R79" i="1"/>
  <c r="AU33" i="1"/>
  <c r="AX33" i="1"/>
  <c r="AV33" i="1"/>
  <c r="AI33" i="1"/>
  <c r="AW33" i="1"/>
  <c r="N33" i="1"/>
  <c r="AY33" i="1"/>
  <c r="BB209" i="1"/>
  <c r="BX209" i="1"/>
  <c r="BG209" i="1"/>
  <c r="AM209" i="1"/>
  <c r="N242" i="1"/>
  <c r="BG188" i="1"/>
  <c r="BG311" i="1"/>
  <c r="BG128" i="1"/>
  <c r="N222" i="1"/>
  <c r="N428" i="1"/>
  <c r="BG357" i="1"/>
  <c r="N262" i="1"/>
  <c r="BG85" i="1"/>
  <c r="BG290" i="1"/>
  <c r="CR193" i="1"/>
  <c r="N213" i="1"/>
  <c r="BG202" i="1"/>
  <c r="BG208" i="1"/>
  <c r="BG31" i="1"/>
  <c r="N263" i="1"/>
  <c r="CR213" i="1"/>
  <c r="N214" i="1"/>
  <c r="CR235" i="1"/>
  <c r="BG35" i="1"/>
  <c r="N193" i="1"/>
  <c r="N192" i="1"/>
  <c r="BG82" i="1"/>
  <c r="N311" i="1"/>
  <c r="CR200" i="1"/>
  <c r="N370" i="1"/>
  <c r="N373" i="1"/>
  <c r="BG284" i="1"/>
  <c r="CR263" i="1"/>
  <c r="N187" i="1"/>
  <c r="BG377" i="1"/>
  <c r="N240" i="1"/>
  <c r="N247" i="1"/>
  <c r="N63" i="1"/>
  <c r="N347" i="1"/>
  <c r="W79" i="1"/>
  <c r="W372" i="1"/>
  <c r="W212" i="1"/>
  <c r="W223" i="1"/>
  <c r="AM33" i="1"/>
  <c r="BB33" i="1"/>
  <c r="BG33" i="1"/>
  <c r="W219" i="1"/>
  <c r="D28" i="3"/>
  <c r="I347" i="1"/>
  <c r="BB63" i="1"/>
  <c r="BB356" i="1"/>
  <c r="CM177" i="1"/>
  <c r="BB422" i="1"/>
  <c r="CM195" i="1"/>
  <c r="BB425" i="1"/>
  <c r="I422" i="1"/>
  <c r="I17" i="1"/>
  <c r="I189" i="1"/>
  <c r="BB337" i="1"/>
  <c r="BB339" i="1"/>
  <c r="BB189" i="1"/>
  <c r="BB222" i="1"/>
  <c r="BB18" i="1"/>
  <c r="BB22" i="1"/>
  <c r="BB428" i="1"/>
  <c r="BB225" i="1"/>
  <c r="BB288" i="1"/>
  <c r="BB262" i="1"/>
  <c r="BB240" i="1"/>
  <c r="I281" i="1"/>
  <c r="BB304" i="1"/>
  <c r="I323" i="1"/>
  <c r="I356" i="1"/>
  <c r="I177" i="1"/>
  <c r="I403" i="1"/>
  <c r="I428" i="1"/>
  <c r="BB68" i="1"/>
  <c r="I337" i="1"/>
  <c r="I312" i="1"/>
  <c r="BB263" i="1"/>
  <c r="BB377" i="1"/>
  <c r="BB249" i="1"/>
  <c r="I339" i="1"/>
  <c r="I267" i="1"/>
  <c r="BB82" i="1"/>
  <c r="BB360" i="1"/>
  <c r="BB190" i="1"/>
  <c r="BB193" i="1"/>
  <c r="BB374" i="1"/>
  <c r="BB35" i="1"/>
  <c r="BB248" i="1"/>
  <c r="BB351" i="1"/>
  <c r="BB183" i="1"/>
  <c r="CM183" i="1"/>
  <c r="I233" i="1"/>
  <c r="I82" i="1"/>
  <c r="I357" i="1"/>
  <c r="BB196" i="1"/>
  <c r="I351" i="1"/>
  <c r="I274" i="1"/>
  <c r="BB281" i="1"/>
  <c r="BB362" i="1"/>
  <c r="BB232" i="1"/>
  <c r="BB30" i="1"/>
  <c r="BB69" i="1"/>
  <c r="I332" i="1"/>
  <c r="BB277" i="1"/>
  <c r="BB36" i="1"/>
  <c r="BB211" i="1"/>
  <c r="BB17" i="1"/>
  <c r="BB347" i="1"/>
  <c r="CM239" i="1"/>
  <c r="BB247" i="1"/>
  <c r="I201" i="1"/>
  <c r="I202" i="1"/>
  <c r="I242" i="1"/>
  <c r="I211" i="1"/>
  <c r="BB198" i="1"/>
  <c r="BB214" i="1"/>
  <c r="BB267" i="1"/>
  <c r="I309" i="1"/>
  <c r="BB179" i="1"/>
  <c r="I305" i="1"/>
  <c r="I304" i="1"/>
  <c r="BB80" i="1"/>
  <c r="I30" i="1"/>
  <c r="BB361" i="1"/>
  <c r="BB37" i="1"/>
  <c r="BB188" i="1"/>
  <c r="I63" i="1"/>
  <c r="I39" i="1"/>
  <c r="BB195" i="1"/>
  <c r="I67" i="1"/>
  <c r="BB199" i="1"/>
  <c r="BB233" i="1"/>
  <c r="BB373" i="1"/>
  <c r="I297" i="1"/>
  <c r="BB297" i="1"/>
  <c r="BB309" i="1"/>
  <c r="BB326" i="1"/>
  <c r="I318" i="1"/>
  <c r="I319" i="1"/>
  <c r="BB403" i="1"/>
  <c r="BB66" i="1"/>
  <c r="BB85" i="1"/>
  <c r="BB213" i="1"/>
  <c r="BB295" i="1"/>
  <c r="BB305" i="1"/>
  <c r="BB363" i="1"/>
  <c r="CM231" i="1"/>
  <c r="I214" i="1"/>
  <c r="I70" i="1"/>
  <c r="I360" i="1"/>
  <c r="I248" i="1"/>
  <c r="I376" i="1"/>
  <c r="BB67" i="1"/>
  <c r="BB243" i="1"/>
  <c r="BB340" i="1"/>
  <c r="BB359" i="1"/>
  <c r="BB270" i="1"/>
  <c r="I276" i="1"/>
  <c r="I269" i="1"/>
  <c r="BB122" i="1"/>
  <c r="BB283" i="1"/>
  <c r="BB250" i="1"/>
  <c r="BB38" i="1"/>
  <c r="I277" i="1"/>
  <c r="BB208" i="1"/>
  <c r="BB83" i="1"/>
  <c r="BB34" i="1"/>
  <c r="BB70" i="1"/>
  <c r="BB23" i="1"/>
  <c r="I16" i="1"/>
  <c r="I190" i="1"/>
  <c r="BB319" i="1"/>
  <c r="BB77" i="1"/>
  <c r="BB123" i="1"/>
  <c r="BB186" i="1"/>
  <c r="BB284" i="1"/>
  <c r="BB191" i="1"/>
  <c r="BB312" i="1"/>
  <c r="BB84" i="1"/>
  <c r="BB333" i="1"/>
  <c r="BB19" i="1"/>
  <c r="BB235" i="1"/>
  <c r="BB316" i="1"/>
  <c r="BB81" i="1"/>
  <c r="BB177" i="1"/>
  <c r="I196" i="1"/>
  <c r="I65" i="1"/>
  <c r="I188" i="1"/>
  <c r="I370" i="1"/>
  <c r="BB302" i="1"/>
  <c r="BB375" i="1"/>
  <c r="BB323" i="1"/>
  <c r="BB260" i="1"/>
  <c r="I284" i="1"/>
  <c r="I326" i="1"/>
  <c r="BB185" i="1"/>
  <c r="I325" i="1"/>
  <c r="BB311" i="1"/>
  <c r="I298" i="1"/>
  <c r="BB269" i="1"/>
  <c r="BB298" i="1"/>
  <c r="I340" i="1"/>
  <c r="BB184" i="1"/>
  <c r="BB128" i="1"/>
  <c r="I270" i="1"/>
  <c r="BB65" i="1"/>
  <c r="I311" i="1"/>
  <c r="I263" i="1"/>
  <c r="I425" i="1"/>
  <c r="I247" i="1"/>
  <c r="I191" i="1"/>
  <c r="I187" i="1"/>
  <c r="I123" i="1"/>
  <c r="I20" i="1"/>
  <c r="I358" i="1"/>
  <c r="I84" i="1"/>
  <c r="I374" i="1"/>
  <c r="I232" i="1"/>
  <c r="I36" i="1"/>
  <c r="I333" i="1"/>
  <c r="BB376" i="1"/>
  <c r="I290" i="1"/>
  <c r="BB187" i="1"/>
  <c r="I199" i="1"/>
  <c r="I362" i="1"/>
  <c r="I35" i="1"/>
  <c r="I234" i="1"/>
  <c r="I239" i="1"/>
  <c r="I208" i="1"/>
  <c r="I193" i="1"/>
  <c r="I34" i="1"/>
  <c r="I83" i="1"/>
  <c r="I179" i="1"/>
  <c r="I18" i="1"/>
  <c r="I66" i="1"/>
  <c r="BB16" i="1"/>
  <c r="BB242" i="1"/>
  <c r="BB192" i="1"/>
  <c r="BB20" i="1"/>
  <c r="BB330" i="1"/>
  <c r="BB358" i="1"/>
  <c r="BB325" i="1"/>
  <c r="BB357" i="1"/>
  <c r="I69" i="1"/>
  <c r="I243" i="1"/>
  <c r="I68" i="1"/>
  <c r="BB239" i="1"/>
  <c r="I85" i="1"/>
  <c r="BB21" i="1"/>
  <c r="I262" i="1"/>
  <c r="BB290" i="1"/>
  <c r="I31" i="1"/>
  <c r="I77" i="1"/>
  <c r="BB234" i="1"/>
  <c r="I302" i="1"/>
  <c r="I249" i="1"/>
  <c r="I122" i="1"/>
  <c r="I213" i="1"/>
  <c r="I373" i="1"/>
  <c r="I21" i="1"/>
  <c r="I222" i="1"/>
  <c r="I363" i="1"/>
  <c r="I81" i="1"/>
  <c r="I37" i="1"/>
  <c r="I38" i="1"/>
  <c r="BB202" i="1"/>
  <c r="BB276" i="1"/>
  <c r="BB224" i="1"/>
  <c r="BB178" i="1"/>
  <c r="I377" i="1"/>
  <c r="I64" i="1"/>
  <c r="I19" i="1"/>
  <c r="I185" i="1"/>
  <c r="BB370" i="1"/>
  <c r="I283" i="1"/>
  <c r="BB318" i="1"/>
  <c r="I361" i="1"/>
  <c r="I235" i="1"/>
  <c r="I375" i="1"/>
  <c r="I192" i="1"/>
  <c r="I225" i="1"/>
  <c r="I80" i="1"/>
  <c r="I200" i="1"/>
  <c r="I359" i="1"/>
  <c r="I198" i="1"/>
  <c r="I250" i="1"/>
  <c r="BB31" i="1"/>
  <c r="BB201" i="1"/>
  <c r="BB274" i="1"/>
  <c r="I295" i="1"/>
  <c r="BB291" i="1"/>
  <c r="BB64" i="1"/>
  <c r="I291" i="1"/>
  <c r="BB231" i="1"/>
  <c r="I23" i="1"/>
  <c r="I184" i="1"/>
  <c r="I183" i="1"/>
  <c r="BB200" i="1"/>
  <c r="BB378" i="1"/>
  <c r="BB39" i="1"/>
  <c r="BB197" i="1"/>
  <c r="BB332" i="1"/>
  <c r="I128" i="1"/>
  <c r="I378" i="1"/>
  <c r="I231" i="1"/>
  <c r="I224" i="1"/>
  <c r="I240" i="1"/>
  <c r="I178" i="1"/>
  <c r="I186" i="1"/>
  <c r="I197" i="1"/>
  <c r="CM270" i="1"/>
  <c r="CM290" i="1"/>
  <c r="CM332" i="1"/>
  <c r="CM208" i="1"/>
  <c r="CM267" i="1"/>
  <c r="CM224" i="1"/>
  <c r="CM232" i="1"/>
  <c r="CM337" i="1"/>
  <c r="I195" i="1"/>
  <c r="CM184" i="1"/>
  <c r="CM333" i="1"/>
  <c r="CM297" i="1"/>
  <c r="CM199" i="1"/>
  <c r="CM325" i="1"/>
  <c r="CM200" i="1"/>
  <c r="CM189" i="1"/>
  <c r="CM276" i="1"/>
  <c r="CM291" i="1"/>
  <c r="CM311" i="1"/>
  <c r="CM263" i="1"/>
  <c r="CM179" i="1"/>
  <c r="CM192" i="1"/>
  <c r="CM295" i="1"/>
  <c r="CM305" i="1"/>
  <c r="CM186" i="1"/>
  <c r="CM222" i="1"/>
  <c r="CM284" i="1"/>
  <c r="CM277" i="1"/>
  <c r="CM201" i="1"/>
  <c r="CM242" i="1"/>
  <c r="CM312" i="1"/>
  <c r="CM233" i="1"/>
  <c r="CM248" i="1"/>
  <c r="CM309" i="1"/>
  <c r="CM274" i="1"/>
  <c r="CM326" i="1"/>
  <c r="CM249" i="1"/>
  <c r="CM188" i="1"/>
  <c r="CM250" i="1"/>
  <c r="CM187" i="1"/>
  <c r="CM214" i="1"/>
  <c r="CM211" i="1"/>
  <c r="CM262" i="1"/>
  <c r="CM193" i="1"/>
  <c r="CM298" i="1"/>
  <c r="CM281" i="1"/>
  <c r="CM304" i="1"/>
  <c r="CM319" i="1"/>
  <c r="CM213" i="1"/>
  <c r="CM234" i="1"/>
  <c r="CM240" i="1"/>
  <c r="CM302" i="1"/>
  <c r="CM318" i="1"/>
  <c r="CM323" i="1"/>
  <c r="CM225" i="1"/>
  <c r="CM178" i="1"/>
  <c r="CM283" i="1"/>
  <c r="CM243" i="1"/>
  <c r="CM191" i="1"/>
  <c r="CM185" i="1"/>
  <c r="CM202" i="1"/>
  <c r="CM340" i="1"/>
  <c r="CM269" i="1"/>
  <c r="CM190" i="1"/>
  <c r="CM196" i="1"/>
  <c r="CM197" i="1"/>
  <c r="CM235" i="1"/>
  <c r="CM198" i="1"/>
  <c r="CM339" i="1"/>
  <c r="CR224" i="1"/>
  <c r="BG222" i="1"/>
  <c r="CR274" i="1"/>
  <c r="CR201" i="1"/>
  <c r="BG243" i="1"/>
  <c r="CR304" i="1"/>
  <c r="CR290" i="1"/>
  <c r="N31" i="1"/>
  <c r="N83" i="1"/>
  <c r="N37" i="1"/>
  <c r="CR184" i="1"/>
  <c r="BG360" i="1"/>
  <c r="CR267" i="1"/>
  <c r="BG291" i="1"/>
  <c r="N302" i="1"/>
  <c r="N184" i="1"/>
  <c r="BG187" i="1"/>
  <c r="CR192" i="1"/>
  <c r="CR283" i="1"/>
  <c r="BG18" i="1"/>
  <c r="N21" i="1"/>
  <c r="N375" i="1"/>
  <c r="N35" i="1"/>
  <c r="CR291" i="1"/>
  <c r="N274" i="1"/>
  <c r="BG201" i="1"/>
  <c r="BG375" i="1"/>
  <c r="CR262" i="1"/>
  <c r="N318" i="1"/>
  <c r="BG198" i="1"/>
  <c r="BG211" i="1"/>
  <c r="BG250" i="1"/>
  <c r="CR319" i="1"/>
  <c r="BG235" i="1"/>
  <c r="N189" i="1"/>
  <c r="CR269" i="1"/>
  <c r="CR225" i="1"/>
  <c r="N183" i="1"/>
  <c r="BG239" i="1"/>
  <c r="N70" i="1"/>
  <c r="BG356" i="1"/>
  <c r="BB32" i="1"/>
  <c r="BG32" i="1"/>
  <c r="AM32" i="1"/>
  <c r="W371" i="1"/>
  <c r="W221" i="1"/>
  <c r="W210" i="1"/>
  <c r="W78" i="1"/>
  <c r="BE29" i="1"/>
  <c r="BB29" i="1"/>
  <c r="AS29" i="1"/>
  <c r="J7" i="32"/>
  <c r="BG34" i="1"/>
  <c r="CR249" i="1"/>
  <c r="N248" i="1"/>
  <c r="N357" i="1"/>
  <c r="CR232" i="1"/>
  <c r="BG318" i="1"/>
  <c r="CR309" i="1"/>
  <c r="BG326" i="1"/>
  <c r="BG17" i="1"/>
  <c r="N38" i="1"/>
  <c r="N332" i="1"/>
  <c r="N359" i="1"/>
  <c r="N298" i="1"/>
  <c r="N67" i="1"/>
  <c r="N20" i="1"/>
  <c r="CR298" i="1"/>
  <c r="N30" i="1"/>
  <c r="N337" i="1"/>
  <c r="BG358" i="1"/>
  <c r="N291" i="1"/>
  <c r="BG20" i="1"/>
  <c r="BG359" i="1"/>
  <c r="CR326" i="1"/>
  <c r="N18" i="1"/>
  <c r="N198" i="1"/>
  <c r="N225" i="1"/>
  <c r="CR311" i="1"/>
  <c r="BG351" i="1"/>
  <c r="N312" i="1"/>
  <c r="CR191" i="1"/>
  <c r="N378" i="1"/>
  <c r="N277" i="1"/>
  <c r="CR242" i="1"/>
  <c r="CR337" i="1"/>
  <c r="BG66" i="1"/>
  <c r="BG339" i="1"/>
  <c r="BG361" i="1"/>
  <c r="BG196" i="1"/>
  <c r="N239" i="1"/>
  <c r="N356" i="1"/>
  <c r="BG183" i="1"/>
  <c r="BB241" i="1"/>
  <c r="AM241" i="1"/>
  <c r="AM244" i="1" s="1"/>
  <c r="BX241" i="1"/>
  <c r="BX244" i="1" s="1"/>
  <c r="BG241" i="1"/>
  <c r="BE241" i="1"/>
  <c r="W244" i="1"/>
  <c r="BG369" i="1"/>
  <c r="AM369" i="1"/>
  <c r="BB369" i="1"/>
  <c r="AT219" i="1" l="1"/>
  <c r="BS219" i="1"/>
  <c r="R74" i="1"/>
  <c r="AL27" i="1"/>
  <c r="AK27" i="1" s="1"/>
  <c r="AV219" i="1"/>
  <c r="R368" i="1"/>
  <c r="CM241" i="1"/>
  <c r="BE32" i="1"/>
  <c r="BC220" i="1"/>
  <c r="BF241" i="1"/>
  <c r="BF32" i="1"/>
  <c r="BF369" i="1"/>
  <c r="BC77" i="1"/>
  <c r="I24" i="1"/>
  <c r="CN248" i="1"/>
  <c r="CN239" i="1"/>
  <c r="CN177" i="1"/>
  <c r="CN240" i="1"/>
  <c r="AL219" i="1"/>
  <c r="AX219" i="1"/>
  <c r="AW219" i="1"/>
  <c r="AY219" i="1"/>
  <c r="R75" i="1"/>
  <c r="AV75" i="1" s="1"/>
  <c r="AV28" i="1"/>
  <c r="AS28" i="1" s="1"/>
  <c r="AI28" i="1"/>
  <c r="AU27" i="1"/>
  <c r="AV27" i="1"/>
  <c r="R367" i="1"/>
  <c r="AV367" i="1" s="1"/>
  <c r="AW27" i="1"/>
  <c r="AT27" i="1"/>
  <c r="AY27" i="1"/>
  <c r="BD40" i="1"/>
  <c r="BE40" i="1"/>
  <c r="J422" i="1"/>
  <c r="F5" i="31" s="1"/>
  <c r="BC369" i="1"/>
  <c r="BC235" i="1"/>
  <c r="BC240" i="1"/>
  <c r="CN269" i="1"/>
  <c r="J378" i="1"/>
  <c r="F125" i="31" s="1"/>
  <c r="BC241" i="1"/>
  <c r="BC82" i="1"/>
  <c r="J297" i="1"/>
  <c r="BC304" i="1"/>
  <c r="BC33" i="1"/>
  <c r="J84" i="1"/>
  <c r="F217" i="31" s="1"/>
  <c r="CN270" i="1"/>
  <c r="L27" i="1"/>
  <c r="H172" i="31" s="1"/>
  <c r="W74" i="1"/>
  <c r="M74" i="1" s="1"/>
  <c r="BD81" i="1"/>
  <c r="K378" i="1"/>
  <c r="G125" i="31" s="1"/>
  <c r="BD66" i="1"/>
  <c r="CO325" i="1"/>
  <c r="K291" i="1"/>
  <c r="BD198" i="1"/>
  <c r="K220" i="1"/>
  <c r="G61" i="31" s="1"/>
  <c r="K185" i="1"/>
  <c r="G28" i="31" s="1"/>
  <c r="K224" i="1"/>
  <c r="G66" i="31" s="1"/>
  <c r="BD209" i="1"/>
  <c r="K33" i="1"/>
  <c r="G176" i="31" s="1"/>
  <c r="CO240" i="1"/>
  <c r="CO178" i="1"/>
  <c r="K370" i="1"/>
  <c r="G117" i="31" s="1"/>
  <c r="K32" i="1"/>
  <c r="G175" i="31" s="1"/>
  <c r="BD64" i="1"/>
  <c r="BD248" i="1"/>
  <c r="CO185" i="1"/>
  <c r="K214" i="1"/>
  <c r="G56" i="31" s="1"/>
  <c r="BD316" i="1"/>
  <c r="BD38" i="1"/>
  <c r="CO267" i="1"/>
  <c r="K358" i="1"/>
  <c r="G107" i="31" s="1"/>
  <c r="CO231" i="1"/>
  <c r="BD263" i="1"/>
  <c r="CO201" i="1"/>
  <c r="BD369" i="1"/>
  <c r="BE33" i="1"/>
  <c r="BD291" i="1"/>
  <c r="K340" i="1"/>
  <c r="K37" i="1"/>
  <c r="G180" i="31" s="1"/>
  <c r="CO297" i="1"/>
  <c r="K363" i="1"/>
  <c r="G112" i="31" s="1"/>
  <c r="BD122" i="1"/>
  <c r="K318" i="1"/>
  <c r="CO243" i="1"/>
  <c r="K38" i="1"/>
  <c r="G181" i="31" s="1"/>
  <c r="BD68" i="1"/>
  <c r="K284" i="1"/>
  <c r="K241" i="1"/>
  <c r="F295" i="4" s="1"/>
  <c r="CO309" i="1"/>
  <c r="CO211" i="1"/>
  <c r="BD211" i="1"/>
  <c r="K249" i="1"/>
  <c r="G84" i="31" s="1"/>
  <c r="K67" i="1"/>
  <c r="G203" i="31" s="1"/>
  <c r="CO304" i="1"/>
  <c r="K179" i="1"/>
  <c r="G23" i="31" s="1"/>
  <c r="BD31" i="1"/>
  <c r="BD362" i="1"/>
  <c r="K81" i="1"/>
  <c r="G214" i="31" s="1"/>
  <c r="K34" i="1"/>
  <c r="G177" i="31" s="1"/>
  <c r="CO224" i="1"/>
  <c r="CO191" i="1"/>
  <c r="BD20" i="1"/>
  <c r="K21" i="1"/>
  <c r="G168" i="31" s="1"/>
  <c r="BD191" i="1"/>
  <c r="K196" i="1"/>
  <c r="G39" i="31" s="1"/>
  <c r="BD309" i="1"/>
  <c r="BD188" i="1"/>
  <c r="K235" i="1"/>
  <c r="G75" i="31" s="1"/>
  <c r="BD240" i="1"/>
  <c r="BD177" i="1"/>
  <c r="BD318" i="1"/>
  <c r="CO291" i="1"/>
  <c r="BD192" i="1"/>
  <c r="CO199" i="1"/>
  <c r="K373" i="1"/>
  <c r="G120" i="31" s="1"/>
  <c r="BD243" i="1"/>
  <c r="CO340" i="1"/>
  <c r="CO213" i="1"/>
  <c r="K425" i="1"/>
  <c r="G10" i="31" s="1"/>
  <c r="CO188" i="1"/>
  <c r="BD425" i="1"/>
  <c r="BD33" i="1"/>
  <c r="CO184" i="1"/>
  <c r="BD224" i="1"/>
  <c r="BD376" i="1"/>
  <c r="K31" i="1"/>
  <c r="K195" i="1"/>
  <c r="G38" i="31" s="1"/>
  <c r="BD305" i="1"/>
  <c r="BD199" i="1"/>
  <c r="K304" i="1"/>
  <c r="BD190" i="1"/>
  <c r="K242" i="1"/>
  <c r="G79" i="31" s="1"/>
  <c r="BD32" i="1"/>
  <c r="BD241" i="1"/>
  <c r="K200" i="1"/>
  <c r="G43" i="31" s="1"/>
  <c r="BD23" i="1"/>
  <c r="K192" i="1"/>
  <c r="G35" i="31" s="1"/>
  <c r="CO326" i="1"/>
  <c r="CO333" i="1"/>
  <c r="K199" i="1"/>
  <c r="G42" i="31" s="1"/>
  <c r="K202" i="1"/>
  <c r="G45" i="31" s="1"/>
  <c r="CO195" i="1"/>
  <c r="BD179" i="1"/>
  <c r="CO190" i="1"/>
  <c r="BD22" i="1"/>
  <c r="CO270" i="1"/>
  <c r="K283" i="1"/>
  <c r="CO323" i="1"/>
  <c r="K248" i="1"/>
  <c r="G83" i="31" s="1"/>
  <c r="BD234" i="1"/>
  <c r="BD21" i="1"/>
  <c r="K222" i="1"/>
  <c r="G64" i="31" s="1"/>
  <c r="BD363" i="1"/>
  <c r="K263" i="1"/>
  <c r="K82" i="1"/>
  <c r="G215" i="31" s="1"/>
  <c r="K36" i="1"/>
  <c r="G179" i="31" s="1"/>
  <c r="K403" i="1"/>
  <c r="G144" i="31" s="1"/>
  <c r="K250" i="1"/>
  <c r="G85" i="31" s="1"/>
  <c r="BD333" i="1"/>
  <c r="BD284" i="1"/>
  <c r="K247" i="1"/>
  <c r="G82" i="31" s="1"/>
  <c r="K277" i="1"/>
  <c r="K269" i="1"/>
  <c r="BD340" i="1"/>
  <c r="BD295" i="1"/>
  <c r="BD403" i="1"/>
  <c r="CO337" i="1"/>
  <c r="BD297" i="1"/>
  <c r="CO239" i="1"/>
  <c r="K262" i="1"/>
  <c r="K66" i="1"/>
  <c r="G202" i="31" s="1"/>
  <c r="CO290" i="1"/>
  <c r="CO319" i="1"/>
  <c r="BD247" i="1"/>
  <c r="BD232" i="1"/>
  <c r="K375" i="1"/>
  <c r="G122" i="31" s="1"/>
  <c r="BD360" i="1"/>
  <c r="BD249" i="1"/>
  <c r="K177" i="1"/>
  <c r="G18" i="31" s="1"/>
  <c r="G20" i="31" s="1"/>
  <c r="K211" i="1"/>
  <c r="G53" i="31" s="1"/>
  <c r="BD428" i="1"/>
  <c r="BD339" i="1"/>
  <c r="K298" i="1"/>
  <c r="K232" i="1"/>
  <c r="G72" i="31" s="1"/>
  <c r="CO312" i="1"/>
  <c r="K239" i="1"/>
  <c r="G77" i="31" s="1"/>
  <c r="BD422" i="1"/>
  <c r="K190" i="1"/>
  <c r="G33" i="31" s="1"/>
  <c r="K188" i="1"/>
  <c r="G31" i="31" s="1"/>
  <c r="K18" i="1"/>
  <c r="G165" i="31" s="1"/>
  <c r="K35" i="1"/>
  <c r="G178" i="31" s="1"/>
  <c r="CO269" i="1"/>
  <c r="CO276" i="1"/>
  <c r="CO332" i="1"/>
  <c r="CO281" i="1"/>
  <c r="K311" i="1"/>
  <c r="BD17" i="1"/>
  <c r="K374" i="1"/>
  <c r="G121" i="31" s="1"/>
  <c r="K428" i="1"/>
  <c r="G12" i="31" s="1"/>
  <c r="K357" i="1"/>
  <c r="G106" i="31" s="1"/>
  <c r="BD84" i="1"/>
  <c r="BD186" i="1"/>
  <c r="BD239" i="1"/>
  <c r="CO225" i="1"/>
  <c r="K276" i="1"/>
  <c r="K84" i="1"/>
  <c r="G217" i="31" s="1"/>
  <c r="BD213" i="1"/>
  <c r="K187" i="1"/>
  <c r="G30" i="31" s="1"/>
  <c r="CO339" i="1"/>
  <c r="K297" i="1"/>
  <c r="K16" i="1"/>
  <c r="G163" i="31" s="1"/>
  <c r="BD201" i="1"/>
  <c r="BD184" i="1"/>
  <c r="BD37" i="1"/>
  <c r="K305" i="1"/>
  <c r="K63" i="1"/>
  <c r="CO193" i="1"/>
  <c r="BD196" i="1"/>
  <c r="BD82" i="1"/>
  <c r="BD377" i="1"/>
  <c r="K189" i="1"/>
  <c r="G32" i="31" s="1"/>
  <c r="BD262" i="1"/>
  <c r="CO200" i="1"/>
  <c r="BD337" i="1"/>
  <c r="BD311" i="1"/>
  <c r="BD260" i="1"/>
  <c r="CO302" i="1"/>
  <c r="CO183" i="1"/>
  <c r="K122" i="1"/>
  <c r="G242" i="31" s="1"/>
  <c r="CO263" i="1"/>
  <c r="K325" i="1"/>
  <c r="BD323" i="1"/>
  <c r="K234" i="1"/>
  <c r="G74" i="31" s="1"/>
  <c r="CO177" i="1"/>
  <c r="BD277" i="1"/>
  <c r="BD370" i="1"/>
  <c r="CO295" i="1"/>
  <c r="CO277" i="1"/>
  <c r="CO284" i="1"/>
  <c r="BD357" i="1"/>
  <c r="CO222" i="1"/>
  <c r="CO242" i="1"/>
  <c r="BD65" i="1"/>
  <c r="BD332" i="1"/>
  <c r="K22" i="1"/>
  <c r="G169" i="31" s="1"/>
  <c r="K225" i="1"/>
  <c r="G67" i="31" s="1"/>
  <c r="CO250" i="1"/>
  <c r="CO235" i="1"/>
  <c r="BD123" i="1"/>
  <c r="K80" i="1"/>
  <c r="G213" i="31" s="1"/>
  <c r="CO202" i="1"/>
  <c r="K65" i="1"/>
  <c r="G201" i="31" s="1"/>
  <c r="CO187" i="1"/>
  <c r="CO274" i="1"/>
  <c r="CO198" i="1"/>
  <c r="K23" i="1"/>
  <c r="G170" i="31" s="1"/>
  <c r="CO186" i="1"/>
  <c r="K295" i="1"/>
  <c r="CO249" i="1"/>
  <c r="BD202" i="1"/>
  <c r="BD361" i="1"/>
  <c r="K377" i="1"/>
  <c r="G124" i="31" s="1"/>
  <c r="K332" i="1"/>
  <c r="BD281" i="1"/>
  <c r="CO248" i="1"/>
  <c r="K267" i="1"/>
  <c r="K312" i="1"/>
  <c r="K323" i="1"/>
  <c r="BD288" i="1"/>
  <c r="BD18" i="1"/>
  <c r="K178" i="1"/>
  <c r="G22" i="31" s="1"/>
  <c r="G24" i="31" s="1"/>
  <c r="CO196" i="1"/>
  <c r="BD375" i="1"/>
  <c r="CO247" i="1"/>
  <c r="BD63" i="1"/>
  <c r="BD76" i="1"/>
  <c r="K76" i="1"/>
  <c r="G210" i="31" s="1"/>
  <c r="K209" i="1"/>
  <c r="G51" i="31" s="1"/>
  <c r="K20" i="1"/>
  <c r="G167" i="31" s="1"/>
  <c r="BD70" i="1"/>
  <c r="BD325" i="1"/>
  <c r="BD242" i="1"/>
  <c r="K359" i="1"/>
  <c r="G108" i="31" s="1"/>
  <c r="K270" i="1"/>
  <c r="BD197" i="1"/>
  <c r="BD35" i="1"/>
  <c r="CO262" i="1"/>
  <c r="BD235" i="1"/>
  <c r="K184" i="1"/>
  <c r="G27" i="31" s="1"/>
  <c r="BD77" i="1"/>
  <c r="BD34" i="1"/>
  <c r="BD250" i="1"/>
  <c r="CO214" i="1"/>
  <c r="BD67" i="1"/>
  <c r="BD85" i="1"/>
  <c r="K198" i="1"/>
  <c r="G41" i="31" s="1"/>
  <c r="CO179" i="1"/>
  <c r="BD373" i="1"/>
  <c r="K333" i="1"/>
  <c r="BD276" i="1"/>
  <c r="K128" i="1"/>
  <c r="G248" i="31" s="1"/>
  <c r="K30" i="1"/>
  <c r="K309" i="1"/>
  <c r="CO197" i="1"/>
  <c r="K274" i="1"/>
  <c r="BD374" i="1"/>
  <c r="K233" i="1"/>
  <c r="G73" i="31" s="1"/>
  <c r="CO208" i="1"/>
  <c r="BD304" i="1"/>
  <c r="K208" i="1"/>
  <c r="G49" i="31" s="1"/>
  <c r="BD222" i="1"/>
  <c r="BD231" i="1"/>
  <c r="K213" i="1"/>
  <c r="G55" i="31" s="1"/>
  <c r="K17" i="1"/>
  <c r="G164" i="31" s="1"/>
  <c r="K231" i="1"/>
  <c r="G71" i="31" s="1"/>
  <c r="BD347" i="1"/>
  <c r="K28" i="1"/>
  <c r="G173" i="31" s="1"/>
  <c r="BD178" i="1"/>
  <c r="K243" i="1"/>
  <c r="G80" i="31" s="1"/>
  <c r="K77" i="1"/>
  <c r="BD358" i="1"/>
  <c r="BD187" i="1"/>
  <c r="BD36" i="1"/>
  <c r="BD128" i="1"/>
  <c r="K362" i="1"/>
  <c r="G111" i="31" s="1"/>
  <c r="BD200" i="1"/>
  <c r="K240" i="1"/>
  <c r="G78" i="31" s="1"/>
  <c r="BD19" i="1"/>
  <c r="BD312" i="1"/>
  <c r="BD319" i="1"/>
  <c r="BD83" i="1"/>
  <c r="CO234" i="1"/>
  <c r="BD270" i="1"/>
  <c r="BD195" i="1"/>
  <c r="CO189" i="1"/>
  <c r="K319" i="1"/>
  <c r="BD326" i="1"/>
  <c r="CO318" i="1"/>
  <c r="K70" i="1"/>
  <c r="G206" i="31" s="1"/>
  <c r="K197" i="1"/>
  <c r="G40" i="31" s="1"/>
  <c r="K186" i="1"/>
  <c r="G29" i="31" s="1"/>
  <c r="K376" i="1"/>
  <c r="G123" i="31" s="1"/>
  <c r="BD267" i="1"/>
  <c r="BD69" i="1"/>
  <c r="K351" i="1"/>
  <c r="K85" i="1"/>
  <c r="G218" i="31" s="1"/>
  <c r="CO233" i="1"/>
  <c r="K201" i="1"/>
  <c r="G44" i="31" s="1"/>
  <c r="CO305" i="1"/>
  <c r="BD225" i="1"/>
  <c r="BD189" i="1"/>
  <c r="BD16" i="1"/>
  <c r="BD185" i="1"/>
  <c r="BD302" i="1"/>
  <c r="K422" i="1"/>
  <c r="F24" i="4" s="1"/>
  <c r="BD356" i="1"/>
  <c r="BD274" i="1"/>
  <c r="CO298" i="1"/>
  <c r="K191" i="1"/>
  <c r="G34" i="31" s="1"/>
  <c r="K19" i="1"/>
  <c r="G166" i="31" s="1"/>
  <c r="K302" i="1"/>
  <c r="BD290" i="1"/>
  <c r="BD330" i="1"/>
  <c r="K290" i="1"/>
  <c r="K123" i="1"/>
  <c r="G243" i="31" s="1"/>
  <c r="BD351" i="1"/>
  <c r="BD39" i="1"/>
  <c r="BD298" i="1"/>
  <c r="CO192" i="1"/>
  <c r="K83" i="1"/>
  <c r="G216" i="31" s="1"/>
  <c r="K193" i="1"/>
  <c r="G36" i="31" s="1"/>
  <c r="K356" i="1"/>
  <c r="G105" i="31" s="1"/>
  <c r="BD208" i="1"/>
  <c r="BD283" i="1"/>
  <c r="BD359" i="1"/>
  <c r="K183" i="1"/>
  <c r="G26" i="31" s="1"/>
  <c r="K68" i="1"/>
  <c r="G204" i="31" s="1"/>
  <c r="CO283" i="1"/>
  <c r="CO232" i="1"/>
  <c r="BD233" i="1"/>
  <c r="BD378" i="1"/>
  <c r="K361" i="1"/>
  <c r="G110" i="31" s="1"/>
  <c r="CO311" i="1"/>
  <c r="BD80" i="1"/>
  <c r="BD214" i="1"/>
  <c r="BD30" i="1"/>
  <c r="K64" i="1"/>
  <c r="G200" i="31" s="1"/>
  <c r="BD193" i="1"/>
  <c r="K339" i="1"/>
  <c r="K337" i="1"/>
  <c r="K281" i="1"/>
  <c r="K360" i="1"/>
  <c r="G109" i="31" s="1"/>
  <c r="K69" i="1"/>
  <c r="G205" i="31" s="1"/>
  <c r="BD269" i="1"/>
  <c r="K326" i="1"/>
  <c r="K39" i="1"/>
  <c r="G182" i="31" s="1"/>
  <c r="BD183" i="1"/>
  <c r="K347" i="1"/>
  <c r="BG40" i="1"/>
  <c r="BC32" i="1"/>
  <c r="M27" i="1"/>
  <c r="I172" i="31" s="1"/>
  <c r="BC373" i="1"/>
  <c r="BC187" i="1"/>
  <c r="BC201" i="1"/>
  <c r="CN196" i="1"/>
  <c r="BC330" i="1"/>
  <c r="J32" i="1"/>
  <c r="F175" i="31" s="1"/>
  <c r="J220" i="1"/>
  <c r="F61" i="31" s="1"/>
  <c r="J201" i="1"/>
  <c r="F44" i="31" s="1"/>
  <c r="CN214" i="1"/>
  <c r="J332" i="1"/>
  <c r="J197" i="1"/>
  <c r="F40" i="31" s="1"/>
  <c r="BC243" i="1"/>
  <c r="M219" i="1"/>
  <c r="CN250" i="1"/>
  <c r="BC38" i="1"/>
  <c r="BC290" i="1"/>
  <c r="CN178" i="1"/>
  <c r="J82" i="1"/>
  <c r="F215" i="31" s="1"/>
  <c r="J122" i="1"/>
  <c r="F242" i="31" s="1"/>
  <c r="BF33" i="1"/>
  <c r="CN192" i="1"/>
  <c r="BC339" i="1"/>
  <c r="BC319" i="1"/>
  <c r="BC224" i="1"/>
  <c r="J192" i="1"/>
  <c r="F35" i="31" s="1"/>
  <c r="BC232" i="1"/>
  <c r="CN332" i="1"/>
  <c r="BC316" i="1"/>
  <c r="CN199" i="1"/>
  <c r="BC357" i="1"/>
  <c r="AV40" i="1"/>
  <c r="BC361" i="1"/>
  <c r="J360" i="1"/>
  <c r="F109" i="31" s="1"/>
  <c r="CN247" i="1"/>
  <c r="BC200" i="1"/>
  <c r="BC195" i="1"/>
  <c r="K40" i="1"/>
  <c r="G183" i="31" s="1"/>
  <c r="CN304" i="1"/>
  <c r="J188" i="1"/>
  <c r="F31" i="31" s="1"/>
  <c r="J283" i="1"/>
  <c r="BC191" i="1"/>
  <c r="J340" i="1"/>
  <c r="BC267" i="1"/>
  <c r="BC250" i="1"/>
  <c r="J235" i="1"/>
  <c r="F75" i="31" s="1"/>
  <c r="J68" i="1"/>
  <c r="F204" i="31" s="1"/>
  <c r="J242" i="1"/>
  <c r="F79" i="31" s="1"/>
  <c r="J214" i="1"/>
  <c r="F56" i="31" s="1"/>
  <c r="CN309" i="1"/>
  <c r="BC68" i="1"/>
  <c r="BC16" i="1"/>
  <c r="BC177" i="1"/>
  <c r="E277" i="4" s="1"/>
  <c r="AW40" i="1"/>
  <c r="BC208" i="1"/>
  <c r="BC312" i="1"/>
  <c r="BC81" i="1"/>
  <c r="CN191" i="1"/>
  <c r="BC189" i="1"/>
  <c r="BC66" i="1"/>
  <c r="CN249" i="1"/>
  <c r="J403" i="1"/>
  <c r="F144" i="31" s="1"/>
  <c r="BC31" i="1"/>
  <c r="BC213" i="1"/>
  <c r="CN188" i="1"/>
  <c r="J323" i="1"/>
  <c r="J23" i="1"/>
  <c r="F170" i="31" s="1"/>
  <c r="BC69" i="1"/>
  <c r="BC281" i="1"/>
  <c r="BC326" i="1"/>
  <c r="BC234" i="1"/>
  <c r="BC428" i="1"/>
  <c r="J36" i="1"/>
  <c r="F179" i="31" s="1"/>
  <c r="BC188" i="1"/>
  <c r="J186" i="1"/>
  <c r="F29" i="31" s="1"/>
  <c r="J319" i="1"/>
  <c r="BC375" i="1"/>
  <c r="J195" i="1"/>
  <c r="J231" i="1"/>
  <c r="F71" i="31" s="1"/>
  <c r="BC378" i="1"/>
  <c r="BC422" i="1"/>
  <c r="J40" i="1"/>
  <c r="F183" i="31" s="1"/>
  <c r="J27" i="1"/>
  <c r="F172" i="31" s="1"/>
  <c r="CN276" i="1"/>
  <c r="BC262" i="1"/>
  <c r="BC184" i="1"/>
  <c r="BC340" i="1"/>
  <c r="BC298" i="1"/>
  <c r="J363" i="1"/>
  <c r="F112" i="31" s="1"/>
  <c r="J357" i="1"/>
  <c r="F106" i="31" s="1"/>
  <c r="J30" i="1"/>
  <c r="J34" i="1"/>
  <c r="F177" i="31" s="1"/>
  <c r="J274" i="1"/>
  <c r="BC277" i="1"/>
  <c r="BC17" i="1"/>
  <c r="BC374" i="1"/>
  <c r="J31" i="1"/>
  <c r="CN232" i="1"/>
  <c r="BC128" i="1"/>
  <c r="J281" i="1"/>
  <c r="J83" i="1"/>
  <c r="F216" i="31" s="1"/>
  <c r="CN305" i="1"/>
  <c r="BC122" i="1"/>
  <c r="J267" i="1"/>
  <c r="J373" i="1"/>
  <c r="F120" i="31" s="1"/>
  <c r="CN267" i="1"/>
  <c r="BC39" i="1"/>
  <c r="CN189" i="1"/>
  <c r="J67" i="1"/>
  <c r="F203" i="31" s="1"/>
  <c r="CN333" i="1"/>
  <c r="BC225" i="1"/>
  <c r="BC198" i="1"/>
  <c r="J200" i="1"/>
  <c r="F43" i="31" s="1"/>
  <c r="BC179" i="1"/>
  <c r="J222" i="1"/>
  <c r="F64" i="31" s="1"/>
  <c r="BC84" i="1"/>
  <c r="BC351" i="1"/>
  <c r="J339" i="1"/>
  <c r="J70" i="1"/>
  <c r="F206" i="31" s="1"/>
  <c r="BC362" i="1"/>
  <c r="J239" i="1"/>
  <c r="F77" i="31" s="1"/>
  <c r="BC199" i="1"/>
  <c r="CN242" i="1"/>
  <c r="BC183" i="1"/>
  <c r="BC425" i="1"/>
  <c r="AL40" i="1"/>
  <c r="AU40" i="1"/>
  <c r="J21" i="1"/>
  <c r="F168" i="31" s="1"/>
  <c r="J69" i="1"/>
  <c r="F205" i="31" s="1"/>
  <c r="CN281" i="1"/>
  <c r="BC269" i="1"/>
  <c r="BC65" i="1"/>
  <c r="BC263" i="1"/>
  <c r="J262" i="1"/>
  <c r="CN340" i="1"/>
  <c r="BC295" i="1"/>
  <c r="BC190" i="1"/>
  <c r="J191" i="1"/>
  <c r="F34" i="31" s="1"/>
  <c r="BC276" i="1"/>
  <c r="BC359" i="1"/>
  <c r="CN284" i="1"/>
  <c r="J337" i="1"/>
  <c r="BC37" i="1"/>
  <c r="J177" i="1"/>
  <c r="F18" i="31" s="1"/>
  <c r="F20" i="31" s="1"/>
  <c r="BC325" i="1"/>
  <c r="BC209" i="1"/>
  <c r="N40" i="1"/>
  <c r="R86" i="1"/>
  <c r="AX86" i="1" s="1"/>
  <c r="BC76" i="1"/>
  <c r="J196" i="1"/>
  <c r="F39" i="31" s="1"/>
  <c r="BC284" i="1"/>
  <c r="BC22" i="1"/>
  <c r="J85" i="1"/>
  <c r="F218" i="31" s="1"/>
  <c r="CN213" i="1"/>
  <c r="BC35" i="1"/>
  <c r="CN198" i="1"/>
  <c r="BC196" i="1"/>
  <c r="BC360" i="1"/>
  <c r="BC270" i="1"/>
  <c r="BC186" i="1"/>
  <c r="J291" i="1"/>
  <c r="CN186" i="1"/>
  <c r="J80" i="1"/>
  <c r="F213" i="31" s="1"/>
  <c r="J263" i="1"/>
  <c r="J17" i="1"/>
  <c r="F164" i="31" s="1"/>
  <c r="BC80" i="1"/>
  <c r="BC288" i="1"/>
  <c r="BC178" i="1"/>
  <c r="J123" i="1"/>
  <c r="F243" i="31" s="1"/>
  <c r="BC231" i="1"/>
  <c r="J302" i="1"/>
  <c r="J77" i="1"/>
  <c r="J33" i="1"/>
  <c r="F176" i="31" s="1"/>
  <c r="R41" i="1"/>
  <c r="R109" i="1" s="1"/>
  <c r="J374" i="1"/>
  <c r="F121" i="31" s="1"/>
  <c r="CN274" i="1"/>
  <c r="J351" i="1"/>
  <c r="BC311" i="1"/>
  <c r="J198" i="1"/>
  <c r="F41" i="31" s="1"/>
  <c r="BC23" i="1"/>
  <c r="CN225" i="1"/>
  <c r="CN184" i="1"/>
  <c r="CN243" i="1"/>
  <c r="J249" i="1"/>
  <c r="F84" i="31" s="1"/>
  <c r="CN179" i="1"/>
  <c r="J213" i="1"/>
  <c r="F55" i="31" s="1"/>
  <c r="CN302" i="1"/>
  <c r="J358" i="1"/>
  <c r="F107" i="31" s="1"/>
  <c r="J312" i="1"/>
  <c r="J35" i="1"/>
  <c r="F178" i="31" s="1"/>
  <c r="BC242" i="1"/>
  <c r="J243" i="1"/>
  <c r="F80" i="31" s="1"/>
  <c r="J66" i="1"/>
  <c r="F202" i="31" s="1"/>
  <c r="J284" i="1"/>
  <c r="BC30" i="1"/>
  <c r="BC302" i="1"/>
  <c r="CN262" i="1"/>
  <c r="BC376" i="1"/>
  <c r="CN277" i="1"/>
  <c r="BC214" i="1"/>
  <c r="J65" i="1"/>
  <c r="F201" i="31" s="1"/>
  <c r="BC83" i="1"/>
  <c r="J184" i="1"/>
  <c r="F27" i="31" s="1"/>
  <c r="CN200" i="1"/>
  <c r="J375" i="1"/>
  <c r="F122" i="31" s="1"/>
  <c r="J325" i="1"/>
  <c r="BC248" i="1"/>
  <c r="CN235" i="1"/>
  <c r="BC18" i="1"/>
  <c r="CN295" i="1"/>
  <c r="CN222" i="1"/>
  <c r="BC291" i="1"/>
  <c r="CN195" i="1"/>
  <c r="J298" i="1"/>
  <c r="BC36" i="1"/>
  <c r="BC63" i="1"/>
  <c r="BC27" i="1"/>
  <c r="AY40" i="1"/>
  <c r="R379" i="1"/>
  <c r="AL379" i="1" s="1"/>
  <c r="J18" i="1"/>
  <c r="F165" i="31" s="1"/>
  <c r="J128" i="1"/>
  <c r="F248" i="31" s="1"/>
  <c r="BC19" i="1"/>
  <c r="J19" i="1"/>
  <c r="F166" i="31" s="1"/>
  <c r="J189" i="1"/>
  <c r="F32" i="31" s="1"/>
  <c r="J428" i="1"/>
  <c r="F12" i="31" s="1"/>
  <c r="BC67" i="1"/>
  <c r="J208" i="1"/>
  <c r="F49" i="31" s="1"/>
  <c r="CN283" i="1"/>
  <c r="J64" i="1"/>
  <c r="F200" i="31" s="1"/>
  <c r="CN185" i="1"/>
  <c r="CN190" i="1"/>
  <c r="BC222" i="1"/>
  <c r="CN337" i="1"/>
  <c r="J211" i="1"/>
  <c r="F53" i="31" s="1"/>
  <c r="J304" i="1"/>
  <c r="BC249" i="1"/>
  <c r="CN311" i="1"/>
  <c r="BC332" i="1"/>
  <c r="CN234" i="1"/>
  <c r="CN326" i="1"/>
  <c r="CN290" i="1"/>
  <c r="J38" i="1"/>
  <c r="F181" i="31" s="1"/>
  <c r="J233" i="1"/>
  <c r="F73" i="31" s="1"/>
  <c r="J318" i="1"/>
  <c r="BC34" i="1"/>
  <c r="J305" i="1"/>
  <c r="CN318" i="1"/>
  <c r="BC192" i="1"/>
  <c r="CN211" i="1"/>
  <c r="BC333" i="1"/>
  <c r="J224" i="1"/>
  <c r="F66" i="31" s="1"/>
  <c r="J81" i="1"/>
  <c r="F214" i="31" s="1"/>
  <c r="BC21" i="1"/>
  <c r="J425" i="1"/>
  <c r="F10" i="31" s="1"/>
  <c r="J295" i="1"/>
  <c r="J16" i="1"/>
  <c r="F163" i="31" s="1"/>
  <c r="J356" i="1"/>
  <c r="F105" i="31" s="1"/>
  <c r="J247" i="1"/>
  <c r="F82" i="31" s="1"/>
  <c r="J309" i="1"/>
  <c r="BC347" i="1"/>
  <c r="AT40" i="1"/>
  <c r="I40" i="1"/>
  <c r="E183" i="31" s="1"/>
  <c r="J241" i="1"/>
  <c r="E295" i="4" s="1"/>
  <c r="CN197" i="1"/>
  <c r="BC358" i="1"/>
  <c r="BC274" i="1"/>
  <c r="BC323" i="1"/>
  <c r="BC185" i="1"/>
  <c r="J359" i="1"/>
  <c r="F108" i="31" s="1"/>
  <c r="CN193" i="1"/>
  <c r="BC297" i="1"/>
  <c r="CN291" i="1"/>
  <c r="BC403" i="1"/>
  <c r="BC305" i="1"/>
  <c r="BC233" i="1"/>
  <c r="BC123" i="1"/>
  <c r="BC260" i="1"/>
  <c r="BC377" i="1"/>
  <c r="J370" i="1"/>
  <c r="F117" i="31" s="1"/>
  <c r="J326" i="1"/>
  <c r="J311" i="1"/>
  <c r="CN187" i="1"/>
  <c r="J193" i="1"/>
  <c r="F36" i="31" s="1"/>
  <c r="BC197" i="1"/>
  <c r="J187" i="1"/>
  <c r="F30" i="31" s="1"/>
  <c r="J202" i="1"/>
  <c r="F45" i="31" s="1"/>
  <c r="CN298" i="1"/>
  <c r="J276" i="1"/>
  <c r="BC20" i="1"/>
  <c r="J361" i="1"/>
  <c r="F110" i="31" s="1"/>
  <c r="J240" i="1"/>
  <c r="F78" i="31" s="1"/>
  <c r="J290" i="1"/>
  <c r="J190" i="1"/>
  <c r="F33" i="31" s="1"/>
  <c r="BC70" i="1"/>
  <c r="CN319" i="1"/>
  <c r="CN263" i="1"/>
  <c r="J250" i="1"/>
  <c r="F85" i="31" s="1"/>
  <c r="BC283" i="1"/>
  <c r="CN183" i="1"/>
  <c r="J234" i="1"/>
  <c r="F74" i="31" s="1"/>
  <c r="J183" i="1"/>
  <c r="F26" i="31" s="1"/>
  <c r="J376" i="1"/>
  <c r="F123" i="31" s="1"/>
  <c r="BC247" i="1"/>
  <c r="J347" i="1"/>
  <c r="AI40" i="1"/>
  <c r="BC64" i="1"/>
  <c r="BC202" i="1"/>
  <c r="J377" i="1"/>
  <c r="F124" i="31" s="1"/>
  <c r="BC318" i="1"/>
  <c r="J37" i="1"/>
  <c r="F180" i="31" s="1"/>
  <c r="CN202" i="1"/>
  <c r="CN201" i="1"/>
  <c r="BC363" i="1"/>
  <c r="J199" i="1"/>
  <c r="F42" i="31" s="1"/>
  <c r="BC337" i="1"/>
  <c r="CN339" i="1"/>
  <c r="J20" i="1"/>
  <c r="F167" i="31" s="1"/>
  <c r="J248" i="1"/>
  <c r="F83" i="31" s="1"/>
  <c r="J232" i="1"/>
  <c r="F72" i="31" s="1"/>
  <c r="CN233" i="1"/>
  <c r="BC193" i="1"/>
  <c r="CN224" i="1"/>
  <c r="J39" i="1"/>
  <c r="F182" i="31" s="1"/>
  <c r="J277" i="1"/>
  <c r="J270" i="1"/>
  <c r="CN208" i="1"/>
  <c r="CN323" i="1"/>
  <c r="J225" i="1"/>
  <c r="F67" i="31" s="1"/>
  <c r="J362" i="1"/>
  <c r="F111" i="31" s="1"/>
  <c r="CN312" i="1"/>
  <c r="J185" i="1"/>
  <c r="F28" i="31" s="1"/>
  <c r="BC309" i="1"/>
  <c r="J179" i="1"/>
  <c r="F23" i="31" s="1"/>
  <c r="CN297" i="1"/>
  <c r="J22" i="1"/>
  <c r="F169" i="31" s="1"/>
  <c r="BC370" i="1"/>
  <c r="BC85" i="1"/>
  <c r="J269" i="1"/>
  <c r="BC211" i="1"/>
  <c r="J333" i="1"/>
  <c r="CN231" i="1"/>
  <c r="BC239" i="1"/>
  <c r="J63" i="1"/>
  <c r="F199" i="31" s="1"/>
  <c r="CN325" i="1"/>
  <c r="J178" i="1"/>
  <c r="F22" i="31" s="1"/>
  <c r="K369" i="1"/>
  <c r="G116" i="31" s="1"/>
  <c r="J8" i="32"/>
  <c r="BG27" i="1"/>
  <c r="N244" i="1"/>
  <c r="I33" i="4" s="1"/>
  <c r="I27" i="1"/>
  <c r="E172" i="31" s="1"/>
  <c r="W367" i="1"/>
  <c r="BF367" i="1" s="1"/>
  <c r="K27" i="1"/>
  <c r="G172" i="31" s="1"/>
  <c r="BB27" i="1"/>
  <c r="W86" i="1"/>
  <c r="AM86" i="1" s="1"/>
  <c r="AI27" i="1"/>
  <c r="BD27" i="1"/>
  <c r="N27" i="1"/>
  <c r="L33" i="1"/>
  <c r="H176" i="31" s="1"/>
  <c r="I28" i="1"/>
  <c r="E173" i="31" s="1"/>
  <c r="AM40" i="1"/>
  <c r="AK220" i="1"/>
  <c r="J28" i="1"/>
  <c r="F173" i="31" s="1"/>
  <c r="W379" i="1"/>
  <c r="BE379" i="1" s="1"/>
  <c r="W41" i="1"/>
  <c r="W10" i="1" s="1"/>
  <c r="AX41" i="1"/>
  <c r="N28" i="1"/>
  <c r="BC40" i="1"/>
  <c r="BE209" i="1"/>
  <c r="BE27" i="1"/>
  <c r="BF27" i="1"/>
  <c r="J76" i="1"/>
  <c r="F210" i="31" s="1"/>
  <c r="J369" i="1"/>
  <c r="F116" i="31" s="1"/>
  <c r="J209" i="1"/>
  <c r="F51" i="31" s="1"/>
  <c r="M220" i="1"/>
  <c r="I61" i="31" s="1"/>
  <c r="M28" i="1"/>
  <c r="I173" i="31" s="1"/>
  <c r="M33" i="1"/>
  <c r="I176" i="31" s="1"/>
  <c r="N364" i="1"/>
  <c r="I40" i="4" s="1"/>
  <c r="BG364" i="1"/>
  <c r="BF209" i="1"/>
  <c r="M32" i="1"/>
  <c r="I175" i="31" s="1"/>
  <c r="AS33" i="1"/>
  <c r="AS220" i="1"/>
  <c r="E40" i="31"/>
  <c r="BB236" i="1"/>
  <c r="E85" i="31"/>
  <c r="E75" i="31"/>
  <c r="E124" i="31"/>
  <c r="E112" i="31"/>
  <c r="E204" i="31"/>
  <c r="E36" i="31"/>
  <c r="E167" i="31"/>
  <c r="E109" i="31"/>
  <c r="BB251" i="1"/>
  <c r="E106" i="31"/>
  <c r="I180" i="1"/>
  <c r="E18" i="31"/>
  <c r="E32" i="31"/>
  <c r="BB364" i="1"/>
  <c r="AM79" i="1"/>
  <c r="BE79" i="1"/>
  <c r="BB79" i="1"/>
  <c r="BF79" i="1"/>
  <c r="BD79" i="1"/>
  <c r="BC79" i="1"/>
  <c r="BG79" i="1"/>
  <c r="I372" i="1"/>
  <c r="AT372" i="1"/>
  <c r="J372" i="1"/>
  <c r="F119" i="31" s="1"/>
  <c r="AI372" i="1"/>
  <c r="AL372" i="1"/>
  <c r="AW372" i="1"/>
  <c r="N372" i="1"/>
  <c r="AX372" i="1"/>
  <c r="AU372" i="1"/>
  <c r="M372" i="1"/>
  <c r="I119" i="31" s="1"/>
  <c r="AY372" i="1"/>
  <c r="L372" i="1"/>
  <c r="H119" i="31" s="1"/>
  <c r="AV372" i="1"/>
  <c r="K372" i="1"/>
  <c r="G119" i="31" s="1"/>
  <c r="CR251" i="1"/>
  <c r="I371" i="1"/>
  <c r="AT371" i="1"/>
  <c r="M371" i="1"/>
  <c r="I118" i="31" s="1"/>
  <c r="AL371" i="1"/>
  <c r="AX371" i="1"/>
  <c r="AU371" i="1"/>
  <c r="AW371" i="1"/>
  <c r="N371" i="1"/>
  <c r="AI371" i="1"/>
  <c r="AY371" i="1"/>
  <c r="J371" i="1"/>
  <c r="F118" i="31" s="1"/>
  <c r="K371" i="1"/>
  <c r="G118" i="31" s="1"/>
  <c r="L371" i="1"/>
  <c r="H118" i="31" s="1"/>
  <c r="AV371" i="1"/>
  <c r="BG136" i="1"/>
  <c r="BG24" i="1"/>
  <c r="L220" i="1"/>
  <c r="H61" i="31" s="1"/>
  <c r="AI244" i="1"/>
  <c r="AK76" i="1"/>
  <c r="AS209" i="1"/>
  <c r="BE67" i="1"/>
  <c r="BE235" i="1"/>
  <c r="CP290" i="1"/>
  <c r="BE83" i="1"/>
  <c r="L19" i="1"/>
  <c r="H166" i="31" s="1"/>
  <c r="L363" i="1"/>
  <c r="H112" i="31" s="1"/>
  <c r="L311" i="1"/>
  <c r="CP309" i="1"/>
  <c r="CP213" i="1"/>
  <c r="CP262" i="1"/>
  <c r="L67" i="1"/>
  <c r="H203" i="31" s="1"/>
  <c r="CP193" i="1"/>
  <c r="CP202" i="1"/>
  <c r="CP197" i="1"/>
  <c r="L351" i="1"/>
  <c r="BE185" i="1"/>
  <c r="L305" i="1"/>
  <c r="BE84" i="1"/>
  <c r="L373" i="1"/>
  <c r="H120" i="31" s="1"/>
  <c r="BE291" i="1"/>
  <c r="BE403" i="1"/>
  <c r="BE269" i="1"/>
  <c r="BE19" i="1"/>
  <c r="L191" i="1"/>
  <c r="H34" i="31" s="1"/>
  <c r="CP234" i="1"/>
  <c r="CP276" i="1"/>
  <c r="BE23" i="1"/>
  <c r="BE191" i="1"/>
  <c r="BE337" i="1"/>
  <c r="BE224" i="1"/>
  <c r="CP222" i="1"/>
  <c r="CP277" i="1"/>
  <c r="BE242" i="1"/>
  <c r="BE188" i="1"/>
  <c r="L193" i="1"/>
  <c r="H36" i="31" s="1"/>
  <c r="CP312" i="1"/>
  <c r="BE82" i="1"/>
  <c r="CP201" i="1"/>
  <c r="L63" i="1"/>
  <c r="L422" i="1"/>
  <c r="CP195" i="1"/>
  <c r="BE425" i="1"/>
  <c r="AS369" i="1"/>
  <c r="I219" i="1"/>
  <c r="M38" i="1"/>
  <c r="I181" i="31" s="1"/>
  <c r="M378" i="1"/>
  <c r="I125" i="31" s="1"/>
  <c r="M64" i="1"/>
  <c r="I200" i="31" s="1"/>
  <c r="BF378" i="1"/>
  <c r="CQ276" i="1"/>
  <c r="CQ192" i="1"/>
  <c r="CQ233" i="1"/>
  <c r="CQ188" i="1"/>
  <c r="BF377" i="1"/>
  <c r="CQ283" i="1"/>
  <c r="M276" i="1"/>
  <c r="M339" i="1"/>
  <c r="M359" i="1"/>
  <c r="I108" i="31" s="1"/>
  <c r="CQ262" i="1"/>
  <c r="BF362" i="1"/>
  <c r="BF65" i="1"/>
  <c r="BF290" i="1"/>
  <c r="M83" i="1"/>
  <c r="I216" i="31" s="1"/>
  <c r="BF123" i="1"/>
  <c r="M333" i="1"/>
  <c r="M123" i="1"/>
  <c r="I243" i="31" s="1"/>
  <c r="M243" i="1"/>
  <c r="I80" i="31" s="1"/>
  <c r="BF305" i="1"/>
  <c r="M65" i="1"/>
  <c r="I201" i="31" s="1"/>
  <c r="M185" i="1"/>
  <c r="I28" i="31" s="1"/>
  <c r="M67" i="1"/>
  <c r="I203" i="31" s="1"/>
  <c r="BF403" i="1"/>
  <c r="M311" i="1"/>
  <c r="BF243" i="1"/>
  <c r="BF242" i="1"/>
  <c r="M192" i="1"/>
  <c r="I35" i="31" s="1"/>
  <c r="M263" i="1"/>
  <c r="M240" i="1"/>
  <c r="I78" i="31" s="1"/>
  <c r="M22" i="1"/>
  <c r="I169" i="31" s="1"/>
  <c r="M304" i="1"/>
  <c r="M270" i="1"/>
  <c r="BF70" i="1"/>
  <c r="M200" i="1"/>
  <c r="I43" i="31" s="1"/>
  <c r="M239" i="1"/>
  <c r="M177" i="1"/>
  <c r="BF177" i="1"/>
  <c r="BD220" i="1"/>
  <c r="BG194" i="1"/>
  <c r="E29" i="31"/>
  <c r="E41" i="31"/>
  <c r="E110" i="31"/>
  <c r="E64" i="31"/>
  <c r="E80" i="31"/>
  <c r="E49" i="31"/>
  <c r="E243" i="31"/>
  <c r="E117" i="31"/>
  <c r="E206" i="31"/>
  <c r="E215" i="31"/>
  <c r="E105" i="31"/>
  <c r="I364" i="1"/>
  <c r="E164" i="31"/>
  <c r="BB71" i="1"/>
  <c r="I223" i="1"/>
  <c r="BS223" i="1"/>
  <c r="AT223" i="1"/>
  <c r="J223" i="1"/>
  <c r="F65" i="31" s="1"/>
  <c r="AL223" i="1"/>
  <c r="AI223" i="1"/>
  <c r="AW223" i="1"/>
  <c r="AV223" i="1"/>
  <c r="AU223" i="1"/>
  <c r="AY223" i="1"/>
  <c r="AX223" i="1"/>
  <c r="M223" i="1"/>
  <c r="I65" i="31" s="1"/>
  <c r="N223" i="1"/>
  <c r="K223" i="1"/>
  <c r="G65" i="31" s="1"/>
  <c r="L223" i="1"/>
  <c r="H65" i="31" s="1"/>
  <c r="E175" i="31"/>
  <c r="L28" i="1"/>
  <c r="H173" i="31" s="1"/>
  <c r="BF29" i="1"/>
  <c r="M29" i="1"/>
  <c r="I174" i="31" s="1"/>
  <c r="CR180" i="1"/>
  <c r="L29" i="1"/>
  <c r="H174" i="31" s="1"/>
  <c r="BB28" i="1"/>
  <c r="BE28" i="1"/>
  <c r="W368" i="1"/>
  <c r="M368" i="1" s="1"/>
  <c r="I115" i="31" s="1"/>
  <c r="BD28" i="1"/>
  <c r="W75" i="1"/>
  <c r="L75" i="1" s="1"/>
  <c r="H209" i="31" s="1"/>
  <c r="BF28" i="1"/>
  <c r="AM28" i="1"/>
  <c r="AK28" i="1" s="1"/>
  <c r="BC28" i="1"/>
  <c r="BG28" i="1"/>
  <c r="L242" i="1"/>
  <c r="H79" i="31" s="1"/>
  <c r="BE361" i="1"/>
  <c r="BE208" i="1"/>
  <c r="CP323" i="1"/>
  <c r="L70" i="1"/>
  <c r="H206" i="31" s="1"/>
  <c r="L83" i="1"/>
  <c r="H216" i="31" s="1"/>
  <c r="L197" i="1"/>
  <c r="H40" i="31" s="1"/>
  <c r="BE277" i="1"/>
  <c r="L281" i="1"/>
  <c r="L225" i="1"/>
  <c r="H67" i="31" s="1"/>
  <c r="L39" i="1"/>
  <c r="H182" i="31" s="1"/>
  <c r="L277" i="1"/>
  <c r="BE128" i="1"/>
  <c r="CP337" i="1"/>
  <c r="L269" i="1"/>
  <c r="L184" i="1"/>
  <c r="H27" i="31" s="1"/>
  <c r="BE312" i="1"/>
  <c r="BE189" i="1"/>
  <c r="CP319" i="1"/>
  <c r="BE243" i="1"/>
  <c r="L270" i="1"/>
  <c r="BE68" i="1"/>
  <c r="CP297" i="1"/>
  <c r="L232" i="1"/>
  <c r="H72" i="31" s="1"/>
  <c r="BE213" i="1"/>
  <c r="BE199" i="1"/>
  <c r="L263" i="1"/>
  <c r="BE284" i="1"/>
  <c r="CP267" i="1"/>
  <c r="L360" i="1"/>
  <c r="H109" i="31" s="1"/>
  <c r="CP225" i="1"/>
  <c r="BE179" i="1"/>
  <c r="CP304" i="1"/>
  <c r="L291" i="1"/>
  <c r="CP178" i="1"/>
  <c r="CP305" i="1"/>
  <c r="BE281" i="1"/>
  <c r="CP281" i="1"/>
  <c r="BE16" i="1"/>
  <c r="L177" i="1"/>
  <c r="L183" i="1"/>
  <c r="BE422" i="1"/>
  <c r="E116" i="31"/>
  <c r="N219" i="1"/>
  <c r="M277" i="1"/>
  <c r="M199" i="1"/>
  <c r="I42" i="31" s="1"/>
  <c r="M281" i="1"/>
  <c r="CQ201" i="1"/>
  <c r="BF36" i="1"/>
  <c r="CQ267" i="1"/>
  <c r="CQ240" i="1"/>
  <c r="BF179" i="1"/>
  <c r="BF304" i="1"/>
  <c r="M191" i="1"/>
  <c r="I34" i="31" s="1"/>
  <c r="BF298" i="1"/>
  <c r="CQ186" i="1"/>
  <c r="M68" i="1"/>
  <c r="I204" i="31" s="1"/>
  <c r="BF233" i="1"/>
  <c r="CQ179" i="1"/>
  <c r="M274" i="1"/>
  <c r="CQ284" i="1"/>
  <c r="M30" i="1"/>
  <c r="BF240" i="1"/>
  <c r="M319" i="1"/>
  <c r="CQ325" i="1"/>
  <c r="BF340" i="1"/>
  <c r="M222" i="1"/>
  <c r="I64" i="31" s="1"/>
  <c r="BF23" i="1"/>
  <c r="BF80" i="1"/>
  <c r="M70" i="1"/>
  <c r="I206" i="31" s="1"/>
  <c r="BF85" i="1"/>
  <c r="CQ222" i="1"/>
  <c r="M18" i="1"/>
  <c r="I165" i="31" s="1"/>
  <c r="M198" i="1"/>
  <c r="I41" i="31" s="1"/>
  <c r="CQ318" i="1"/>
  <c r="M297" i="1"/>
  <c r="BF250" i="1"/>
  <c r="CQ200" i="1"/>
  <c r="BF323" i="1"/>
  <c r="M309" i="1"/>
  <c r="BF17" i="1"/>
  <c r="M356" i="1"/>
  <c r="BF231" i="1"/>
  <c r="M178" i="1"/>
  <c r="I22" i="31" s="1"/>
  <c r="M422" i="1"/>
  <c r="M122" i="1"/>
  <c r="I242" i="31" s="1"/>
  <c r="E22" i="31"/>
  <c r="E108" i="31"/>
  <c r="E168" i="31"/>
  <c r="E205" i="31"/>
  <c r="BB136" i="1"/>
  <c r="BB24" i="1"/>
  <c r="E77" i="31"/>
  <c r="I244" i="1"/>
  <c r="D33" i="4" s="1"/>
  <c r="E30" i="31"/>
  <c r="E31" i="31"/>
  <c r="E56" i="31"/>
  <c r="E73" i="31"/>
  <c r="E4" i="31"/>
  <c r="D24" i="4"/>
  <c r="N71" i="1"/>
  <c r="I212" i="1"/>
  <c r="BS212" i="1"/>
  <c r="AL212" i="1"/>
  <c r="AI212" i="1"/>
  <c r="AY212" i="1"/>
  <c r="M212" i="1"/>
  <c r="I54" i="31" s="1"/>
  <c r="AU212" i="1"/>
  <c r="L212" i="1"/>
  <c r="H54" i="31" s="1"/>
  <c r="K212" i="1"/>
  <c r="G54" i="31" s="1"/>
  <c r="AV212" i="1"/>
  <c r="J212" i="1"/>
  <c r="F54" i="31" s="1"/>
  <c r="AT212" i="1"/>
  <c r="N212" i="1"/>
  <c r="AW212" i="1"/>
  <c r="AX212" i="1"/>
  <c r="AK32" i="1"/>
  <c r="BG180" i="1"/>
  <c r="I277" i="4"/>
  <c r="I278" i="4" s="1"/>
  <c r="L302" i="1"/>
  <c r="BE30" i="1"/>
  <c r="L323" i="1"/>
  <c r="BE193" i="1"/>
  <c r="BE326" i="1"/>
  <c r="CP270" i="1"/>
  <c r="L64" i="1"/>
  <c r="H200" i="31" s="1"/>
  <c r="CP211" i="1"/>
  <c r="BE249" i="1"/>
  <c r="L208" i="1"/>
  <c r="H49" i="31" s="1"/>
  <c r="L36" i="1"/>
  <c r="H179" i="31" s="1"/>
  <c r="BE288" i="1"/>
  <c r="BE232" i="1"/>
  <c r="L243" i="1"/>
  <c r="H80" i="31" s="1"/>
  <c r="L68" i="1"/>
  <c r="H204" i="31" s="1"/>
  <c r="L362" i="1"/>
  <c r="H111" i="31" s="1"/>
  <c r="L240" i="1"/>
  <c r="H78" i="31" s="1"/>
  <c r="BE357" i="1"/>
  <c r="L358" i="1"/>
  <c r="H107" i="31" s="1"/>
  <c r="L198" i="1"/>
  <c r="H41" i="31" s="1"/>
  <c r="L298" i="1"/>
  <c r="L30" i="1"/>
  <c r="BE360" i="1"/>
  <c r="CP214" i="1"/>
  <c r="L21" i="1"/>
  <c r="H168" i="31" s="1"/>
  <c r="BE319" i="1"/>
  <c r="CP191" i="1"/>
  <c r="BE184" i="1"/>
  <c r="L66" i="1"/>
  <c r="H202" i="31" s="1"/>
  <c r="BE35" i="1"/>
  <c r="BE316" i="1"/>
  <c r="BE304" i="1"/>
  <c r="L211" i="1"/>
  <c r="H53" i="31" s="1"/>
  <c r="L189" i="1"/>
  <c r="H32" i="31" s="1"/>
  <c r="L200" i="1"/>
  <c r="H43" i="31" s="1"/>
  <c r="L297" i="1"/>
  <c r="CP340" i="1"/>
  <c r="BE247" i="1"/>
  <c r="L231" i="1"/>
  <c r="BE239" i="1"/>
  <c r="CP183" i="1"/>
  <c r="L122" i="1"/>
  <c r="H242" i="31" s="1"/>
  <c r="AK369" i="1"/>
  <c r="BF333" i="1"/>
  <c r="BF84" i="1"/>
  <c r="CQ298" i="1"/>
  <c r="M357" i="1"/>
  <c r="I106" i="31" s="1"/>
  <c r="BF69" i="1"/>
  <c r="CQ291" i="1"/>
  <c r="M69" i="1"/>
  <c r="I205" i="31" s="1"/>
  <c r="M340" i="1"/>
  <c r="M179" i="1"/>
  <c r="I23" i="31" s="1"/>
  <c r="M202" i="1"/>
  <c r="I45" i="31" s="1"/>
  <c r="M248" i="1"/>
  <c r="I83" i="31" s="1"/>
  <c r="CQ249" i="1"/>
  <c r="M208" i="1"/>
  <c r="I49" i="31" s="1"/>
  <c r="M318" i="1"/>
  <c r="M84" i="1"/>
  <c r="I217" i="31" s="1"/>
  <c r="CQ197" i="1"/>
  <c r="CQ225" i="1"/>
  <c r="BF37" i="1"/>
  <c r="M269" i="1"/>
  <c r="M232" i="1"/>
  <c r="I72" i="31" s="1"/>
  <c r="CQ339" i="1"/>
  <c r="BF332" i="1"/>
  <c r="M188" i="1"/>
  <c r="I31" i="31" s="1"/>
  <c r="BF30" i="1"/>
  <c r="BF234" i="1"/>
  <c r="CQ243" i="1"/>
  <c r="CQ196" i="1"/>
  <c r="M358" i="1"/>
  <c r="I107" i="31" s="1"/>
  <c r="BF248" i="1"/>
  <c r="M360" i="1"/>
  <c r="I109" i="31" s="1"/>
  <c r="BF319" i="1"/>
  <c r="M403" i="1"/>
  <c r="I144" i="31" s="1"/>
  <c r="BF361" i="1"/>
  <c r="CQ190" i="1"/>
  <c r="M189" i="1"/>
  <c r="I32" i="31" s="1"/>
  <c r="M242" i="1"/>
  <c r="I79" i="31" s="1"/>
  <c r="CQ189" i="1"/>
  <c r="BF34" i="1"/>
  <c r="M234" i="1"/>
  <c r="BF239" i="1"/>
  <c r="M425" i="1"/>
  <c r="CQ177" i="1"/>
  <c r="BB78" i="1"/>
  <c r="BF78" i="1"/>
  <c r="BE78" i="1"/>
  <c r="BC78" i="1"/>
  <c r="AM78" i="1"/>
  <c r="BG78" i="1"/>
  <c r="BD78" i="1"/>
  <c r="BB210" i="1"/>
  <c r="BG210" i="1"/>
  <c r="BX210" i="1"/>
  <c r="BE210" i="1"/>
  <c r="BC210" i="1"/>
  <c r="BD210" i="1"/>
  <c r="AM210" i="1"/>
  <c r="BF210" i="1"/>
  <c r="E78" i="31"/>
  <c r="E43" i="31"/>
  <c r="E120" i="31"/>
  <c r="E202" i="31"/>
  <c r="E74" i="31"/>
  <c r="D91" i="4"/>
  <c r="E179" i="31"/>
  <c r="E34" i="31"/>
  <c r="E201" i="31"/>
  <c r="E33" i="31"/>
  <c r="CM236" i="1"/>
  <c r="CM194" i="1"/>
  <c r="N251" i="1"/>
  <c r="I34" i="4" s="1"/>
  <c r="E176" i="31"/>
  <c r="AT78" i="1"/>
  <c r="I78" i="1"/>
  <c r="AI78" i="1"/>
  <c r="L78" i="1"/>
  <c r="H211" i="31" s="1"/>
  <c r="K78" i="1"/>
  <c r="G211" i="31" s="1"/>
  <c r="N78" i="1"/>
  <c r="AV78" i="1"/>
  <c r="M78" i="1"/>
  <c r="I211" i="31" s="1"/>
  <c r="J78" i="1"/>
  <c r="F211" i="31" s="1"/>
  <c r="AY78" i="1"/>
  <c r="AU78" i="1"/>
  <c r="AW78" i="1"/>
  <c r="AL78" i="1"/>
  <c r="AX78" i="1"/>
  <c r="M40" i="1"/>
  <c r="I183" i="31" s="1"/>
  <c r="N236" i="1"/>
  <c r="I32" i="4" s="1"/>
  <c r="I294" i="4"/>
  <c r="N180" i="1"/>
  <c r="L361" i="1"/>
  <c r="H110" i="31" s="1"/>
  <c r="BE250" i="1"/>
  <c r="BE123" i="1"/>
  <c r="BE377" i="1"/>
  <c r="CP187" i="1"/>
  <c r="L235" i="1"/>
  <c r="H75" i="31" s="1"/>
  <c r="CP284" i="1"/>
  <c r="BE34" i="1"/>
  <c r="BE325" i="1"/>
  <c r="BE248" i="1"/>
  <c r="BE39" i="1"/>
  <c r="BE80" i="1"/>
  <c r="L77" i="1"/>
  <c r="BE270" i="1"/>
  <c r="L201" i="1"/>
  <c r="H44" i="31" s="1"/>
  <c r="L222" i="1"/>
  <c r="H64" i="31" s="1"/>
  <c r="L295" i="1"/>
  <c r="BE363" i="1"/>
  <c r="L340" i="1"/>
  <c r="L337" i="1"/>
  <c r="L199" i="1"/>
  <c r="H42" i="31" s="1"/>
  <c r="BE351" i="1"/>
  <c r="CP235" i="1"/>
  <c r="L333" i="1"/>
  <c r="L214" i="1"/>
  <c r="H56" i="31" s="1"/>
  <c r="L85" i="1"/>
  <c r="H218" i="31" s="1"/>
  <c r="BE69" i="1"/>
  <c r="BE309" i="1"/>
  <c r="BE267" i="1"/>
  <c r="BE234" i="1"/>
  <c r="CP274" i="1"/>
  <c r="L312" i="1"/>
  <c r="BE362" i="1"/>
  <c r="L65" i="1"/>
  <c r="H201" i="31" s="1"/>
  <c r="BE283" i="1"/>
  <c r="L376" i="1"/>
  <c r="H123" i="31" s="1"/>
  <c r="BE263" i="1"/>
  <c r="BE276" i="1"/>
  <c r="L356" i="1"/>
  <c r="CP239" i="1"/>
  <c r="CP247" i="1"/>
  <c r="CP177" i="1"/>
  <c r="K219" i="1"/>
  <c r="BF188" i="1"/>
  <c r="M363" i="1"/>
  <c r="I112" i="31" s="1"/>
  <c r="BF351" i="1"/>
  <c r="M233" i="1"/>
  <c r="I73" i="31" s="1"/>
  <c r="M31" i="1"/>
  <c r="M211" i="1"/>
  <c r="I53" i="31" s="1"/>
  <c r="M298" i="1"/>
  <c r="M193" i="1"/>
  <c r="I36" i="31" s="1"/>
  <c r="CQ191" i="1"/>
  <c r="BF262" i="1"/>
  <c r="M213" i="1"/>
  <c r="I55" i="31" s="1"/>
  <c r="BF276" i="1"/>
  <c r="M302" i="1"/>
  <c r="M190" i="1"/>
  <c r="I33" i="31" s="1"/>
  <c r="CQ323" i="1"/>
  <c r="M225" i="1"/>
  <c r="I67" i="31" s="1"/>
  <c r="M376" i="1"/>
  <c r="I123" i="31" s="1"/>
  <c r="BF363" i="1"/>
  <c r="BF18" i="1"/>
  <c r="M374" i="1"/>
  <c r="I121" i="31" s="1"/>
  <c r="M312" i="1"/>
  <c r="M196" i="1"/>
  <c r="I39" i="31" s="1"/>
  <c r="CQ234" i="1"/>
  <c r="BF213" i="1"/>
  <c r="BF269" i="1"/>
  <c r="M250" i="1"/>
  <c r="I85" i="31" s="1"/>
  <c r="BF357" i="1"/>
  <c r="BF235" i="1"/>
  <c r="M291" i="1"/>
  <c r="BF270" i="1"/>
  <c r="BF274" i="1"/>
  <c r="BF39" i="1"/>
  <c r="BF302" i="1"/>
  <c r="BF211" i="1"/>
  <c r="BF178" i="1"/>
  <c r="M267" i="1"/>
  <c r="M201" i="1"/>
  <c r="I44" i="31" s="1"/>
  <c r="CQ333" i="1"/>
  <c r="M195" i="1"/>
  <c r="M16" i="1"/>
  <c r="CQ183" i="1"/>
  <c r="BF356" i="1"/>
  <c r="BF40" i="1"/>
  <c r="BG244" i="1"/>
  <c r="E66" i="31"/>
  <c r="E213" i="31"/>
  <c r="E55" i="31"/>
  <c r="E165" i="31"/>
  <c r="E178" i="31"/>
  <c r="E72" i="31"/>
  <c r="E82" i="31"/>
  <c r="I251" i="1"/>
  <c r="D34" i="4" s="1"/>
  <c r="E39" i="31"/>
  <c r="I136" i="1"/>
  <c r="E163" i="31"/>
  <c r="E203" i="31"/>
  <c r="E53" i="31"/>
  <c r="BB194" i="1"/>
  <c r="CM203" i="1"/>
  <c r="AK33" i="1"/>
  <c r="L32" i="1"/>
  <c r="H175" i="31" s="1"/>
  <c r="AT210" i="1"/>
  <c r="BS210" i="1"/>
  <c r="I210" i="1"/>
  <c r="AW210" i="1"/>
  <c r="AV210" i="1"/>
  <c r="AI210" i="1"/>
  <c r="N210" i="1"/>
  <c r="AL210" i="1"/>
  <c r="K210" i="1"/>
  <c r="G52" i="31" s="1"/>
  <c r="L210" i="1"/>
  <c r="H52" i="31" s="1"/>
  <c r="AX210" i="1"/>
  <c r="J210" i="1"/>
  <c r="F52" i="31" s="1"/>
  <c r="M210" i="1"/>
  <c r="I52" i="31" s="1"/>
  <c r="AU210" i="1"/>
  <c r="AY210" i="1"/>
  <c r="AL368" i="1"/>
  <c r="AT368" i="1"/>
  <c r="AW368" i="1"/>
  <c r="AX368" i="1"/>
  <c r="AU368" i="1"/>
  <c r="AY368" i="1"/>
  <c r="AV368" i="1"/>
  <c r="L40" i="1"/>
  <c r="H183" i="31" s="1"/>
  <c r="BF76" i="1"/>
  <c r="D295" i="4"/>
  <c r="L76" i="1"/>
  <c r="H210" i="31" s="1"/>
  <c r="L209" i="1"/>
  <c r="H51" i="31" s="1"/>
  <c r="I24" i="4"/>
  <c r="L179" i="1"/>
  <c r="H23" i="31" s="1"/>
  <c r="CP248" i="1"/>
  <c r="CP199" i="1"/>
  <c r="CP269" i="1"/>
  <c r="BE298" i="1"/>
  <c r="L192" i="1"/>
  <c r="H35" i="31" s="1"/>
  <c r="L403" i="1"/>
  <c r="H144" i="31" s="1"/>
  <c r="CP242" i="1"/>
  <c r="CP189" i="1"/>
  <c r="BE66" i="1"/>
  <c r="BE196" i="1"/>
  <c r="CP332" i="1"/>
  <c r="BE36" i="1"/>
  <c r="CP198" i="1"/>
  <c r="CP233" i="1"/>
  <c r="BE297" i="1"/>
  <c r="BE190" i="1"/>
  <c r="CP184" i="1"/>
  <c r="BE305" i="1"/>
  <c r="BE202" i="1"/>
  <c r="L357" i="1"/>
  <c r="H106" i="31" s="1"/>
  <c r="BE77" i="1"/>
  <c r="BE38" i="1"/>
  <c r="CP179" i="1"/>
  <c r="BE260" i="1"/>
  <c r="BE81" i="1"/>
  <c r="BE200" i="1"/>
  <c r="L69" i="1"/>
  <c r="H205" i="31" s="1"/>
  <c r="CP263" i="1"/>
  <c r="BE198" i="1"/>
  <c r="BE197" i="1"/>
  <c r="CP188" i="1"/>
  <c r="BE37" i="1"/>
  <c r="CP224" i="1"/>
  <c r="BE64" i="1"/>
  <c r="L34" i="1"/>
  <c r="H177" i="31" s="1"/>
  <c r="BE85" i="1"/>
  <c r="BE359" i="1"/>
  <c r="CP231" i="1"/>
  <c r="BE195" i="1"/>
  <c r="L178" i="1"/>
  <c r="H22" i="31" s="1"/>
  <c r="BE347" i="1"/>
  <c r="BD29" i="1"/>
  <c r="K29" i="1"/>
  <c r="G174" i="31" s="1"/>
  <c r="J219" i="1"/>
  <c r="CQ295" i="1"/>
  <c r="M295" i="1"/>
  <c r="BF318" i="1"/>
  <c r="BF358" i="1"/>
  <c r="M337" i="1"/>
  <c r="BF77" i="1"/>
  <c r="CQ326" i="1"/>
  <c r="CQ224" i="1"/>
  <c r="CQ337" i="1"/>
  <c r="M262" i="1"/>
  <c r="BF64" i="1"/>
  <c r="BF128" i="1"/>
  <c r="M332" i="1"/>
  <c r="M21" i="1"/>
  <c r="I168" i="31" s="1"/>
  <c r="CQ297" i="1"/>
  <c r="M66" i="1"/>
  <c r="I202" i="31" s="1"/>
  <c r="BF326" i="1"/>
  <c r="BF202" i="1"/>
  <c r="M284" i="1"/>
  <c r="CQ213" i="1"/>
  <c r="M323" i="1"/>
  <c r="BF297" i="1"/>
  <c r="BF311" i="1"/>
  <c r="M373" i="1"/>
  <c r="I120" i="31" s="1"/>
  <c r="BF67" i="1"/>
  <c r="CQ248" i="1"/>
  <c r="BF330" i="1"/>
  <c r="CQ187" i="1"/>
  <c r="BF197" i="1"/>
  <c r="BF190" i="1"/>
  <c r="BF83" i="1"/>
  <c r="BF82" i="1"/>
  <c r="BF35" i="1"/>
  <c r="M283" i="1"/>
  <c r="M23" i="1"/>
  <c r="I170" i="31" s="1"/>
  <c r="M428" i="1"/>
  <c r="I12" i="31" s="1"/>
  <c r="CQ304" i="1"/>
  <c r="M370" i="1"/>
  <c r="I117" i="31" s="1"/>
  <c r="CQ231" i="1"/>
  <c r="BF16" i="1"/>
  <c r="M63" i="1"/>
  <c r="BF63" i="1"/>
  <c r="BF220" i="1"/>
  <c r="N136" i="1"/>
  <c r="N24" i="1"/>
  <c r="BG251" i="1"/>
  <c r="I284" i="4"/>
  <c r="N194" i="1"/>
  <c r="E71" i="31"/>
  <c r="D294" i="4"/>
  <c r="I236" i="1"/>
  <c r="D32" i="4" s="1"/>
  <c r="D284" i="4"/>
  <c r="E26" i="31"/>
  <c r="I194" i="1"/>
  <c r="E67" i="31"/>
  <c r="E28" i="31"/>
  <c r="E181" i="31"/>
  <c r="E242" i="31"/>
  <c r="E23" i="31"/>
  <c r="E111" i="31"/>
  <c r="E121" i="31"/>
  <c r="E10" i="31"/>
  <c r="BB180" i="1"/>
  <c r="D277" i="4"/>
  <c r="D278" i="4" s="1"/>
  <c r="BB203" i="1"/>
  <c r="E79" i="31"/>
  <c r="E12" i="31"/>
  <c r="AU74" i="1"/>
  <c r="AW74" i="1"/>
  <c r="AT74" i="1"/>
  <c r="AV74" i="1"/>
  <c r="AX74" i="1"/>
  <c r="AL74" i="1"/>
  <c r="AY74" i="1"/>
  <c r="BB219" i="1"/>
  <c r="BD219" i="1"/>
  <c r="BF219" i="1"/>
  <c r="BG219" i="1"/>
  <c r="BE219" i="1"/>
  <c r="AM219" i="1"/>
  <c r="AK219" i="1" s="1"/>
  <c r="BX219" i="1"/>
  <c r="CP219" i="1" s="1"/>
  <c r="BC219" i="1"/>
  <c r="BB223" i="1"/>
  <c r="BG223" i="1"/>
  <c r="BX223" i="1"/>
  <c r="BD223" i="1"/>
  <c r="AM223" i="1"/>
  <c r="BE223" i="1"/>
  <c r="BC223" i="1"/>
  <c r="BF223" i="1"/>
  <c r="AS32" i="1"/>
  <c r="N203" i="1"/>
  <c r="L241" i="1"/>
  <c r="G295" i="4" s="1"/>
  <c r="AK241" i="1"/>
  <c r="AL244" i="1"/>
  <c r="CR236" i="1"/>
  <c r="M76" i="1"/>
  <c r="I210" i="31" s="1"/>
  <c r="AK209" i="1"/>
  <c r="BG236" i="1"/>
  <c r="L38" i="1"/>
  <c r="H181" i="31" s="1"/>
  <c r="BE211" i="1"/>
  <c r="CP302" i="1"/>
  <c r="L375" i="1"/>
  <c r="H122" i="31" s="1"/>
  <c r="BE65" i="1"/>
  <c r="L319" i="1"/>
  <c r="CP208" i="1"/>
  <c r="L84" i="1"/>
  <c r="H217" i="31" s="1"/>
  <c r="L18" i="1"/>
  <c r="H165" i="31" s="1"/>
  <c r="CP283" i="1"/>
  <c r="BE20" i="1"/>
  <c r="BE262" i="1"/>
  <c r="L224" i="1"/>
  <c r="H66" i="31" s="1"/>
  <c r="L325" i="1"/>
  <c r="CP232" i="1"/>
  <c r="L17" i="1"/>
  <c r="H164" i="31" s="1"/>
  <c r="BE186" i="1"/>
  <c r="BE330" i="1"/>
  <c r="CP333" i="1"/>
  <c r="L374" i="1"/>
  <c r="H121" i="31" s="1"/>
  <c r="CP240" i="1"/>
  <c r="L262" i="1"/>
  <c r="BE295" i="1"/>
  <c r="L196" i="1"/>
  <c r="H39" i="31" s="1"/>
  <c r="CP200" i="1"/>
  <c r="L248" i="1"/>
  <c r="H83" i="31" s="1"/>
  <c r="L202" i="1"/>
  <c r="H45" i="31" s="1"/>
  <c r="BE323" i="1"/>
  <c r="L23" i="1"/>
  <c r="H170" i="31" s="1"/>
  <c r="BE201" i="1"/>
  <c r="CP325" i="1"/>
  <c r="BE378" i="1"/>
  <c r="BE318" i="1"/>
  <c r="L370" i="1"/>
  <c r="H117" i="31" s="1"/>
  <c r="CP295" i="1"/>
  <c r="L309" i="1"/>
  <c r="BE376" i="1"/>
  <c r="CP192" i="1"/>
  <c r="L234" i="1"/>
  <c r="BE231" i="1"/>
  <c r="L239" i="1"/>
  <c r="BE356" i="1"/>
  <c r="L219" i="1"/>
  <c r="M77" i="1"/>
  <c r="M224" i="1"/>
  <c r="I66" i="31" s="1"/>
  <c r="CQ281" i="1"/>
  <c r="M17" i="1"/>
  <c r="I164" i="31" s="1"/>
  <c r="CQ302" i="1"/>
  <c r="M37" i="1"/>
  <c r="I180" i="31" s="1"/>
  <c r="M235" i="1"/>
  <c r="I75" i="31" s="1"/>
  <c r="CQ208" i="1"/>
  <c r="CQ305" i="1"/>
  <c r="CQ270" i="1"/>
  <c r="BF309" i="1"/>
  <c r="BF22" i="1"/>
  <c r="M290" i="1"/>
  <c r="BF291" i="1"/>
  <c r="M82" i="1"/>
  <c r="I215" i="31" s="1"/>
  <c r="M34" i="1"/>
  <c r="I177" i="31" s="1"/>
  <c r="BF339" i="1"/>
  <c r="BF312" i="1"/>
  <c r="BF360" i="1"/>
  <c r="BF38" i="1"/>
  <c r="CQ263" i="1"/>
  <c r="M39" i="1"/>
  <c r="I182" i="31" s="1"/>
  <c r="BF249" i="1"/>
  <c r="M249" i="1"/>
  <c r="I84" i="31" s="1"/>
  <c r="BF375" i="1"/>
  <c r="M184" i="1"/>
  <c r="I27" i="31" s="1"/>
  <c r="BF283" i="1"/>
  <c r="M128" i="1"/>
  <c r="I248" i="31" s="1"/>
  <c r="CQ312" i="1"/>
  <c r="BF68" i="1"/>
  <c r="CQ211" i="1"/>
  <c r="M351" i="1"/>
  <c r="M197" i="1"/>
  <c r="I40" i="31" s="1"/>
  <c r="CQ290" i="1"/>
  <c r="BF374" i="1"/>
  <c r="M35" i="1"/>
  <c r="I178" i="31" s="1"/>
  <c r="BF260" i="1"/>
  <c r="BF122" i="1"/>
  <c r="BF247" i="1"/>
  <c r="M247" i="1"/>
  <c r="BF195" i="1"/>
  <c r="BF347" i="1"/>
  <c r="BE220" i="1"/>
  <c r="CR194" i="1"/>
  <c r="J29" i="1"/>
  <c r="BC29" i="1"/>
  <c r="BB221" i="1"/>
  <c r="BF221" i="1"/>
  <c r="BE221" i="1"/>
  <c r="BX221" i="1"/>
  <c r="AM221" i="1"/>
  <c r="BD221" i="1"/>
  <c r="BG221" i="1"/>
  <c r="BC221" i="1"/>
  <c r="BB371" i="1"/>
  <c r="BC371" i="1"/>
  <c r="AM371" i="1"/>
  <c r="BG371" i="1"/>
  <c r="BE371" i="1"/>
  <c r="BF371" i="1"/>
  <c r="BD371" i="1"/>
  <c r="E125" i="31"/>
  <c r="E27" i="31"/>
  <c r="E35" i="31"/>
  <c r="E166" i="31"/>
  <c r="E180" i="31"/>
  <c r="E84" i="31"/>
  <c r="E218" i="31"/>
  <c r="E216" i="31"/>
  <c r="E42" i="31"/>
  <c r="E217" i="31"/>
  <c r="E123" i="31"/>
  <c r="E182" i="31"/>
  <c r="E45" i="31"/>
  <c r="E144" i="31"/>
  <c r="CM180" i="1"/>
  <c r="BB212" i="1"/>
  <c r="BD212" i="1"/>
  <c r="BE212" i="1"/>
  <c r="BX212" i="1"/>
  <c r="AM212" i="1"/>
  <c r="BF212" i="1"/>
  <c r="BC212" i="1"/>
  <c r="BG212" i="1"/>
  <c r="BG71" i="1"/>
  <c r="CM220" i="1"/>
  <c r="CP220" i="1"/>
  <c r="CQ220" i="1"/>
  <c r="CN220" i="1"/>
  <c r="CO220" i="1"/>
  <c r="CR220" i="1"/>
  <c r="CL220" i="1"/>
  <c r="AW75" i="1"/>
  <c r="M241" i="1"/>
  <c r="H295" i="4" s="1"/>
  <c r="CO241" i="1"/>
  <c r="CN241" i="1"/>
  <c r="CQ241" i="1"/>
  <c r="CL241" i="1"/>
  <c r="CP241" i="1"/>
  <c r="CR241" i="1"/>
  <c r="CR244" i="1" s="1"/>
  <c r="CM244" i="1"/>
  <c r="BS244" i="1"/>
  <c r="CL244" i="1" s="1"/>
  <c r="AS76" i="1"/>
  <c r="CR209" i="1"/>
  <c r="CL209" i="1"/>
  <c r="CN209" i="1"/>
  <c r="CP209" i="1"/>
  <c r="CM209" i="1"/>
  <c r="CQ209" i="1"/>
  <c r="CO209" i="1"/>
  <c r="BE122" i="1"/>
  <c r="L185" i="1"/>
  <c r="H28" i="31" s="1"/>
  <c r="CP249" i="1"/>
  <c r="CP196" i="1"/>
  <c r="BE214" i="1"/>
  <c r="L378" i="1"/>
  <c r="H125" i="31" s="1"/>
  <c r="L359" i="1"/>
  <c r="H108" i="31" s="1"/>
  <c r="BE70" i="1"/>
  <c r="L31" i="1"/>
  <c r="L276" i="1"/>
  <c r="L377" i="1"/>
  <c r="H124" i="31" s="1"/>
  <c r="BE340" i="1"/>
  <c r="BE375" i="1"/>
  <c r="L283" i="1"/>
  <c r="L190" i="1"/>
  <c r="H33" i="31" s="1"/>
  <c r="L233" i="1"/>
  <c r="H73" i="31" s="1"/>
  <c r="L318" i="1"/>
  <c r="BE192" i="1"/>
  <c r="CP298" i="1"/>
  <c r="L339" i="1"/>
  <c r="CP243" i="1"/>
  <c r="BE233" i="1"/>
  <c r="BE290" i="1"/>
  <c r="BE240" i="1"/>
  <c r="L428" i="1"/>
  <c r="H12" i="31" s="1"/>
  <c r="L37" i="1"/>
  <c r="H180" i="31" s="1"/>
  <c r="BE311" i="1"/>
  <c r="L267" i="1"/>
  <c r="L284" i="1"/>
  <c r="L187" i="1"/>
  <c r="H30" i="31" s="1"/>
  <c r="BE370" i="1"/>
  <c r="CP339" i="1"/>
  <c r="BE358" i="1"/>
  <c r="L249" i="1"/>
  <c r="H84" i="31" s="1"/>
  <c r="L22" i="1"/>
  <c r="H169" i="31" s="1"/>
  <c r="BE187" i="1"/>
  <c r="L326" i="1"/>
  <c r="CP185" i="1"/>
  <c r="L247" i="1"/>
  <c r="BE183" i="1"/>
  <c r="L195" i="1"/>
  <c r="BE63" i="1"/>
  <c r="M369" i="1"/>
  <c r="I116" i="31" s="1"/>
  <c r="AI219" i="1"/>
  <c r="BF267" i="1"/>
  <c r="BF201" i="1"/>
  <c r="BF185" i="1"/>
  <c r="BF316" i="1"/>
  <c r="CQ269" i="1"/>
  <c r="CQ340" i="1"/>
  <c r="M20" i="1"/>
  <c r="I167" i="31" s="1"/>
  <c r="M186" i="1"/>
  <c r="I29" i="31" s="1"/>
  <c r="BF187" i="1"/>
  <c r="BF19" i="1"/>
  <c r="M361" i="1"/>
  <c r="I110" i="31" s="1"/>
  <c r="BF225" i="1"/>
  <c r="M326" i="1"/>
  <c r="CQ311" i="1"/>
  <c r="BF200" i="1"/>
  <c r="BF224" i="1"/>
  <c r="M80" i="1"/>
  <c r="I213" i="31" s="1"/>
  <c r="M375" i="1"/>
  <c r="I122" i="31" s="1"/>
  <c r="BF337" i="1"/>
  <c r="BF81" i="1"/>
  <c r="BF277" i="1"/>
  <c r="BF208" i="1"/>
  <c r="CQ202" i="1"/>
  <c r="M325" i="1"/>
  <c r="BF21" i="1"/>
  <c r="BF66" i="1"/>
  <c r="M187" i="1"/>
  <c r="I30" i="31" s="1"/>
  <c r="BF281" i="1"/>
  <c r="BF191" i="1"/>
  <c r="M36" i="1"/>
  <c r="I179" i="31" s="1"/>
  <c r="BF184" i="1"/>
  <c r="BF284" i="1"/>
  <c r="BF214" i="1"/>
  <c r="M214" i="1"/>
  <c r="I56" i="31" s="1"/>
  <c r="BF193" i="1"/>
  <c r="CQ232" i="1"/>
  <c r="BF295" i="1"/>
  <c r="M85" i="1"/>
  <c r="I218" i="31" s="1"/>
  <c r="CQ239" i="1"/>
  <c r="M183" i="1"/>
  <c r="BF183" i="1"/>
  <c r="M347" i="1"/>
  <c r="CR203" i="1"/>
  <c r="E38" i="31"/>
  <c r="I203" i="1"/>
  <c r="E248" i="31"/>
  <c r="E170" i="31"/>
  <c r="E122" i="31"/>
  <c r="E200" i="31"/>
  <c r="E214" i="31"/>
  <c r="BB244" i="1"/>
  <c r="E177" i="31"/>
  <c r="E107" i="31"/>
  <c r="E83" i="31"/>
  <c r="I71" i="1"/>
  <c r="E199" i="31"/>
  <c r="E44" i="31"/>
  <c r="E169" i="31"/>
  <c r="CM251" i="1"/>
  <c r="BB372" i="1"/>
  <c r="BE372" i="1"/>
  <c r="BF372" i="1"/>
  <c r="BC372" i="1"/>
  <c r="BD372" i="1"/>
  <c r="AM372" i="1"/>
  <c r="BG372" i="1"/>
  <c r="I79" i="1"/>
  <c r="AT79" i="1"/>
  <c r="AX79" i="1"/>
  <c r="AL79" i="1"/>
  <c r="AI79" i="1"/>
  <c r="AY79" i="1"/>
  <c r="AW79" i="1"/>
  <c r="AU79" i="1"/>
  <c r="L79" i="1"/>
  <c r="H212" i="31" s="1"/>
  <c r="K79" i="1"/>
  <c r="G212" i="31" s="1"/>
  <c r="J79" i="1"/>
  <c r="F212" i="31" s="1"/>
  <c r="AV79" i="1"/>
  <c r="M79" i="1"/>
  <c r="I212" i="31" s="1"/>
  <c r="N79" i="1"/>
  <c r="I91" i="4"/>
  <c r="AT221" i="1"/>
  <c r="I221" i="1"/>
  <c r="BS221" i="1"/>
  <c r="AI221" i="1"/>
  <c r="AL221" i="1"/>
  <c r="M221" i="1"/>
  <c r="I63" i="31" s="1"/>
  <c r="AU221" i="1"/>
  <c r="AX221" i="1"/>
  <c r="L221" i="1"/>
  <c r="H63" i="31" s="1"/>
  <c r="AW221" i="1"/>
  <c r="K221" i="1"/>
  <c r="G63" i="31" s="1"/>
  <c r="N221" i="1"/>
  <c r="AY221" i="1"/>
  <c r="J221" i="1"/>
  <c r="F63" i="31" s="1"/>
  <c r="AV221" i="1"/>
  <c r="BG203" i="1"/>
  <c r="E61" i="31"/>
  <c r="BE76" i="1"/>
  <c r="AS241" i="1"/>
  <c r="AT244" i="1"/>
  <c r="E210" i="31"/>
  <c r="M209" i="1"/>
  <c r="I51" i="31" s="1"/>
  <c r="E51" i="31"/>
  <c r="BE22" i="1"/>
  <c r="L20" i="1"/>
  <c r="H167" i="31" s="1"/>
  <c r="BE31" i="1"/>
  <c r="L290" i="1"/>
  <c r="CP190" i="1"/>
  <c r="L80" i="1"/>
  <c r="H213" i="31" s="1"/>
  <c r="L123" i="1"/>
  <c r="H243" i="31" s="1"/>
  <c r="CP186" i="1"/>
  <c r="L82" i="1"/>
  <c r="H215" i="31" s="1"/>
  <c r="BE374" i="1"/>
  <c r="L128" i="1"/>
  <c r="H248" i="31" s="1"/>
  <c r="BE274" i="1"/>
  <c r="BE222" i="1"/>
  <c r="L332" i="1"/>
  <c r="BE225" i="1"/>
  <c r="BE178" i="1"/>
  <c r="BE339" i="1"/>
  <c r="CP291" i="1"/>
  <c r="BE333" i="1"/>
  <c r="L81" i="1"/>
  <c r="H214" i="31" s="1"/>
  <c r="L186" i="1"/>
  <c r="H29" i="31" s="1"/>
  <c r="L274" i="1"/>
  <c r="BE428" i="1"/>
  <c r="L213" i="1"/>
  <c r="H55" i="31" s="1"/>
  <c r="L188" i="1"/>
  <c r="H31" i="31" s="1"/>
  <c r="CP318" i="1"/>
  <c r="BE332" i="1"/>
  <c r="BE17" i="1"/>
  <c r="L304" i="1"/>
  <c r="L35" i="1"/>
  <c r="H178" i="31" s="1"/>
  <c r="CP311" i="1"/>
  <c r="CP250" i="1"/>
  <c r="BE373" i="1"/>
  <c r="BE302" i="1"/>
  <c r="L250" i="1"/>
  <c r="H85" i="31" s="1"/>
  <c r="BE18" i="1"/>
  <c r="BE21" i="1"/>
  <c r="CP326" i="1"/>
  <c r="L425" i="1"/>
  <c r="L16" i="1"/>
  <c r="BE177" i="1"/>
  <c r="L347" i="1"/>
  <c r="L369" i="1"/>
  <c r="H116" i="31" s="1"/>
  <c r="BF232" i="1"/>
  <c r="CQ309" i="1"/>
  <c r="BF199" i="1"/>
  <c r="BF192" i="1"/>
  <c r="BF20" i="1"/>
  <c r="CQ214" i="1"/>
  <c r="BF186" i="1"/>
  <c r="BF189" i="1"/>
  <c r="M362" i="1"/>
  <c r="I111" i="31" s="1"/>
  <c r="M81" i="1"/>
  <c r="I214" i="31" s="1"/>
  <c r="BF359" i="1"/>
  <c r="CQ184" i="1"/>
  <c r="CQ277" i="1"/>
  <c r="CQ242" i="1"/>
  <c r="CQ185" i="1"/>
  <c r="BF198" i="1"/>
  <c r="BF325" i="1"/>
  <c r="BF376" i="1"/>
  <c r="M305" i="1"/>
  <c r="CQ178" i="1"/>
  <c r="M19" i="1"/>
  <c r="I166" i="31" s="1"/>
  <c r="CQ198" i="1"/>
  <c r="M377" i="1"/>
  <c r="I124" i="31" s="1"/>
  <c r="CQ193" i="1"/>
  <c r="BF263" i="1"/>
  <c r="BF370" i="1"/>
  <c r="CQ319" i="1"/>
  <c r="CQ235" i="1"/>
  <c r="BF196" i="1"/>
  <c r="CQ274" i="1"/>
  <c r="CQ199" i="1"/>
  <c r="BF222" i="1"/>
  <c r="BF288" i="1"/>
  <c r="BF31" i="1"/>
  <c r="CQ332" i="1"/>
  <c r="BF373" i="1"/>
  <c r="CQ250" i="1"/>
  <c r="BF428" i="1"/>
  <c r="M231" i="1"/>
  <c r="CQ195" i="1"/>
  <c r="CQ247" i="1"/>
  <c r="BF422" i="1"/>
  <c r="AT75" i="1" l="1"/>
  <c r="AY75" i="1"/>
  <c r="AX75" i="1"/>
  <c r="AU75" i="1"/>
  <c r="AL75" i="1"/>
  <c r="AL41" i="1"/>
  <c r="AW367" i="1"/>
  <c r="M367" i="1"/>
  <c r="I114" i="31" s="1"/>
  <c r="AT367" i="1"/>
  <c r="I367" i="1"/>
  <c r="AY367" i="1"/>
  <c r="AU367" i="1"/>
  <c r="AL367" i="1"/>
  <c r="AL380" i="1" s="1"/>
  <c r="AX367" i="1"/>
  <c r="AV41" i="1"/>
  <c r="BA369" i="1"/>
  <c r="AS219" i="1"/>
  <c r="AW41" i="1"/>
  <c r="AS27" i="1"/>
  <c r="CN244" i="1"/>
  <c r="AM74" i="1"/>
  <c r="AK74" i="1" s="1"/>
  <c r="AU41" i="1"/>
  <c r="E24" i="4"/>
  <c r="E63" i="4" s="1"/>
  <c r="AT41" i="1"/>
  <c r="AU86" i="1"/>
  <c r="AY379" i="1"/>
  <c r="AY41" i="1"/>
  <c r="AU379" i="1"/>
  <c r="AU380" i="1" s="1"/>
  <c r="AT379" i="1"/>
  <c r="AT380" i="1" s="1"/>
  <c r="AT86" i="1"/>
  <c r="AT87" i="1" s="1"/>
  <c r="R380" i="1"/>
  <c r="AY86" i="1"/>
  <c r="R87" i="1"/>
  <c r="R89" i="1" s="1"/>
  <c r="AV379" i="1"/>
  <c r="AV86" i="1"/>
  <c r="AV87" i="1" s="1"/>
  <c r="AX379" i="1"/>
  <c r="AL86" i="1"/>
  <c r="AK86" i="1" s="1"/>
  <c r="AW379" i="1"/>
  <c r="AW86" i="1"/>
  <c r="AW87" i="1" s="1"/>
  <c r="R226" i="1"/>
  <c r="AV226" i="1" s="1"/>
  <c r="R218" i="1"/>
  <c r="AY218" i="1" s="1"/>
  <c r="J379" i="1"/>
  <c r="F126" i="31" s="1"/>
  <c r="BC379" i="1"/>
  <c r="BA33" i="1"/>
  <c r="AI74" i="1"/>
  <c r="BC74" i="1"/>
  <c r="L74" i="1"/>
  <c r="H208" i="31" s="1"/>
  <c r="BA241" i="1"/>
  <c r="I74" i="1"/>
  <c r="E208" i="31" s="1"/>
  <c r="BE74" i="1"/>
  <c r="J74" i="1"/>
  <c r="F208" i="31" s="1"/>
  <c r="BB74" i="1"/>
  <c r="N74" i="1"/>
  <c r="BG74" i="1"/>
  <c r="BF74" i="1"/>
  <c r="K74" i="1"/>
  <c r="G208" i="31" s="1"/>
  <c r="BD74" i="1"/>
  <c r="CO244" i="1"/>
  <c r="CN180" i="1"/>
  <c r="CO251" i="1"/>
  <c r="BD194" i="1"/>
  <c r="G5" i="31"/>
  <c r="G9" i="31" s="1"/>
  <c r="E12" i="35" s="1"/>
  <c r="E24" i="35" s="1"/>
  <c r="CO194" i="1"/>
  <c r="BA425" i="1"/>
  <c r="BA32" i="1"/>
  <c r="W218" i="1"/>
  <c r="BB218" i="1" s="1"/>
  <c r="J251" i="1"/>
  <c r="E34" i="4" s="1"/>
  <c r="N41" i="1"/>
  <c r="BO42" i="1" s="1"/>
  <c r="L367" i="1"/>
  <c r="H114" i="31" s="1"/>
  <c r="G25" i="31"/>
  <c r="AI367" i="1"/>
  <c r="N367" i="1"/>
  <c r="K367" i="1"/>
  <c r="G114" i="31" s="1"/>
  <c r="J367" i="1"/>
  <c r="F114" i="31" s="1"/>
  <c r="J75" i="1"/>
  <c r="F209" i="31" s="1"/>
  <c r="BA284" i="1"/>
  <c r="K75" i="1"/>
  <c r="G209" i="31" s="1"/>
  <c r="F113" i="31"/>
  <c r="BB41" i="1"/>
  <c r="AI75" i="1"/>
  <c r="N75" i="1"/>
  <c r="H274" i="1"/>
  <c r="I75" i="1"/>
  <c r="E209" i="31" s="1"/>
  <c r="AM367" i="1"/>
  <c r="BG367" i="1"/>
  <c r="M75" i="1"/>
  <c r="I209" i="31" s="1"/>
  <c r="W400" i="1"/>
  <c r="AM400" i="1" s="1"/>
  <c r="BG41" i="1"/>
  <c r="BA288" i="1"/>
  <c r="CO180" i="1"/>
  <c r="BC180" i="1"/>
  <c r="BA82" i="1"/>
  <c r="BC367" i="1"/>
  <c r="BE367" i="1"/>
  <c r="BA84" i="1"/>
  <c r="G37" i="31"/>
  <c r="BD367" i="1"/>
  <c r="BD203" i="1"/>
  <c r="BA249" i="1"/>
  <c r="F37" i="31"/>
  <c r="BC71" i="1"/>
  <c r="BA290" i="1"/>
  <c r="CN194" i="1"/>
  <c r="BC251" i="1"/>
  <c r="CO236" i="1"/>
  <c r="BD364" i="1"/>
  <c r="K71" i="1"/>
  <c r="F13" i="4" s="1"/>
  <c r="J194" i="1"/>
  <c r="H309" i="1"/>
  <c r="G199" i="31"/>
  <c r="G207" i="31" s="1"/>
  <c r="BB367" i="1"/>
  <c r="K194" i="1"/>
  <c r="F171" i="31"/>
  <c r="H263" i="1"/>
  <c r="K236" i="1"/>
  <c r="F32" i="4" s="1"/>
  <c r="K203" i="1"/>
  <c r="W87" i="1"/>
  <c r="W89" i="1" s="1"/>
  <c r="AK79" i="1"/>
  <c r="H318" i="1"/>
  <c r="J24" i="1"/>
  <c r="E6" i="4" s="1"/>
  <c r="BC244" i="1"/>
  <c r="G46" i="31"/>
  <c r="BA337" i="1"/>
  <c r="F81" i="31"/>
  <c r="K136" i="1"/>
  <c r="BA309" i="1"/>
  <c r="J180" i="1"/>
  <c r="E29" i="4" s="1"/>
  <c r="F24" i="31"/>
  <c r="F25" i="31" s="1"/>
  <c r="F284" i="4"/>
  <c r="BA23" i="1"/>
  <c r="BA196" i="1"/>
  <c r="BA178" i="1"/>
  <c r="J364" i="1"/>
  <c r="E40" i="4" s="1"/>
  <c r="BC236" i="1"/>
  <c r="H239" i="1"/>
  <c r="BA362" i="1"/>
  <c r="BD71" i="1"/>
  <c r="BD136" i="1"/>
  <c r="BD251" i="1"/>
  <c r="BD236" i="1"/>
  <c r="CO203" i="1"/>
  <c r="BD180" i="1"/>
  <c r="F91" i="4"/>
  <c r="F92" i="4" s="1"/>
  <c r="F93" i="4" s="1"/>
  <c r="F86" i="31"/>
  <c r="BA305" i="1"/>
  <c r="I41" i="1"/>
  <c r="H302" i="1"/>
  <c r="BD244" i="1"/>
  <c r="F294" i="4"/>
  <c r="BA68" i="1"/>
  <c r="BA18" i="1"/>
  <c r="BA17" i="1"/>
  <c r="BA332" i="1"/>
  <c r="F277" i="4"/>
  <c r="F339" i="4" s="1"/>
  <c r="G113" i="31"/>
  <c r="BD24" i="1"/>
  <c r="BA35" i="1"/>
  <c r="CN236" i="1"/>
  <c r="BA177" i="1"/>
  <c r="K364" i="1"/>
  <c r="F40" i="4" s="1"/>
  <c r="K251" i="1"/>
  <c r="F34" i="4" s="1"/>
  <c r="G86" i="31"/>
  <c r="R43" i="1"/>
  <c r="BA302" i="1"/>
  <c r="AI41" i="1"/>
  <c r="R207" i="1"/>
  <c r="AL207" i="1" s="1"/>
  <c r="R10" i="1"/>
  <c r="AV10" i="1" s="1"/>
  <c r="K244" i="1"/>
  <c r="F33" i="4" s="1"/>
  <c r="CN251" i="1"/>
  <c r="H376" i="1"/>
  <c r="R426" i="1"/>
  <c r="AU426" i="1" s="1"/>
  <c r="G81" i="31"/>
  <c r="R400" i="1"/>
  <c r="AX400" i="1" s="1"/>
  <c r="G171" i="31"/>
  <c r="R348" i="1"/>
  <c r="AT348" i="1" s="1"/>
  <c r="K24" i="1"/>
  <c r="F6" i="4" s="1"/>
  <c r="K180" i="1"/>
  <c r="F29" i="4" s="1"/>
  <c r="H24" i="31"/>
  <c r="BA403" i="1"/>
  <c r="H311" i="1"/>
  <c r="BA377" i="1"/>
  <c r="W207" i="1"/>
  <c r="BE207" i="1" s="1"/>
  <c r="E278" i="4"/>
  <c r="E279" i="4" s="1"/>
  <c r="W109" i="1"/>
  <c r="I109" i="1" s="1"/>
  <c r="W43" i="1"/>
  <c r="W426" i="1"/>
  <c r="BE426" i="1" s="1"/>
  <c r="J244" i="1"/>
  <c r="E33" i="4" s="1"/>
  <c r="W226" i="1"/>
  <c r="AM226" i="1" s="1"/>
  <c r="W348" i="1"/>
  <c r="BG348" i="1" s="1"/>
  <c r="I86" i="1"/>
  <c r="E219" i="31" s="1"/>
  <c r="AI86" i="1"/>
  <c r="BG86" i="1"/>
  <c r="BA208" i="1"/>
  <c r="BA231" i="1"/>
  <c r="BF86" i="1"/>
  <c r="BD41" i="1"/>
  <c r="J35" i="31"/>
  <c r="BA239" i="1"/>
  <c r="BC203" i="1"/>
  <c r="BC136" i="1"/>
  <c r="CN203" i="1"/>
  <c r="E91" i="4"/>
  <c r="BC364" i="1"/>
  <c r="BC194" i="1"/>
  <c r="E284" i="4"/>
  <c r="H63" i="1"/>
  <c r="H304" i="1"/>
  <c r="J136" i="1"/>
  <c r="H351" i="1"/>
  <c r="BA34" i="1"/>
  <c r="BC24" i="1"/>
  <c r="AK40" i="1"/>
  <c r="BA325" i="1"/>
  <c r="AS40" i="1"/>
  <c r="J203" i="1"/>
  <c r="F207" i="31"/>
  <c r="BA209" i="1"/>
  <c r="H276" i="1"/>
  <c r="F38" i="31"/>
  <c r="F46" i="31" s="1"/>
  <c r="J71" i="1"/>
  <c r="E13" i="4" s="1"/>
  <c r="BA186" i="1"/>
  <c r="BA81" i="1"/>
  <c r="H319" i="1"/>
  <c r="BA123" i="1"/>
  <c r="J236" i="1"/>
  <c r="E32" i="4" s="1"/>
  <c r="H64" i="1"/>
  <c r="BA19" i="1"/>
  <c r="H297" i="1"/>
  <c r="E294" i="4"/>
  <c r="H269" i="1"/>
  <c r="BA20" i="1"/>
  <c r="H31" i="1"/>
  <c r="BA240" i="1"/>
  <c r="J61" i="31"/>
  <c r="CO219" i="1"/>
  <c r="BA269" i="1"/>
  <c r="BA40" i="1"/>
  <c r="AM41" i="1"/>
  <c r="BA85" i="1"/>
  <c r="BA298" i="1"/>
  <c r="J203" i="31"/>
  <c r="BA220" i="1"/>
  <c r="H201" i="1"/>
  <c r="BA224" i="1"/>
  <c r="BA323" i="1"/>
  <c r="H27" i="1"/>
  <c r="H83" i="1"/>
  <c r="H281" i="1"/>
  <c r="H220" i="1"/>
  <c r="J216" i="31"/>
  <c r="BC41" i="1"/>
  <c r="BA243" i="1"/>
  <c r="BA333" i="1"/>
  <c r="BA185" i="1"/>
  <c r="BF379" i="1"/>
  <c r="H28" i="1"/>
  <c r="BE86" i="1"/>
  <c r="H295" i="1"/>
  <c r="H333" i="1"/>
  <c r="BA179" i="1"/>
  <c r="AI379" i="1"/>
  <c r="L379" i="1"/>
  <c r="H126" i="31" s="1"/>
  <c r="AM379" i="1"/>
  <c r="AK379" i="1" s="1"/>
  <c r="J86" i="1"/>
  <c r="F219" i="31" s="1"/>
  <c r="J173" i="31"/>
  <c r="BC86" i="1"/>
  <c r="BD379" i="1"/>
  <c r="H179" i="1"/>
  <c r="BB86" i="1"/>
  <c r="BA36" i="1"/>
  <c r="K379" i="1"/>
  <c r="G126" i="31" s="1"/>
  <c r="BB379" i="1"/>
  <c r="BA330" i="1"/>
  <c r="H183" i="1"/>
  <c r="H284" i="1"/>
  <c r="N86" i="1"/>
  <c r="K86" i="1"/>
  <c r="G219" i="31" s="1"/>
  <c r="BD86" i="1"/>
  <c r="H422" i="1"/>
  <c r="C24" i="4" s="1"/>
  <c r="H277" i="1"/>
  <c r="H270" i="1"/>
  <c r="BA189" i="1"/>
  <c r="BA184" i="1"/>
  <c r="H339" i="1"/>
  <c r="N379" i="1"/>
  <c r="J41" i="1"/>
  <c r="E7" i="4" s="1"/>
  <c r="BA378" i="1"/>
  <c r="M86" i="1"/>
  <c r="I219" i="31" s="1"/>
  <c r="M379" i="1"/>
  <c r="I126" i="31" s="1"/>
  <c r="I379" i="1"/>
  <c r="BG379" i="1"/>
  <c r="L86" i="1"/>
  <c r="H219" i="31" s="1"/>
  <c r="BA213" i="1"/>
  <c r="J83" i="31"/>
  <c r="BA248" i="1"/>
  <c r="H332" i="1"/>
  <c r="H76" i="1"/>
  <c r="H192" i="1"/>
  <c r="H122" i="1"/>
  <c r="H191" i="1"/>
  <c r="H290" i="1"/>
  <c r="H267" i="1"/>
  <c r="BA318" i="1"/>
  <c r="BA234" i="1"/>
  <c r="BA374" i="1"/>
  <c r="BA277" i="1"/>
  <c r="G76" i="31"/>
  <c r="CN219" i="1"/>
  <c r="J200" i="31"/>
  <c r="CL219" i="1"/>
  <c r="BA375" i="1"/>
  <c r="CQ219" i="1"/>
  <c r="BA274" i="1"/>
  <c r="J72" i="31"/>
  <c r="BA316" i="1"/>
  <c r="H195" i="1"/>
  <c r="BA358" i="1"/>
  <c r="BA360" i="1"/>
  <c r="CR219" i="1"/>
  <c r="H242" i="1"/>
  <c r="BA27" i="1"/>
  <c r="BA297" i="1"/>
  <c r="H305" i="1"/>
  <c r="H34" i="1"/>
  <c r="BA422" i="1"/>
  <c r="BA76" i="1"/>
  <c r="J177" i="31"/>
  <c r="BA340" i="1"/>
  <c r="BA67" i="1"/>
  <c r="K368" i="1"/>
  <c r="G115" i="31" s="1"/>
  <c r="H211" i="1"/>
  <c r="H356" i="1"/>
  <c r="J176" i="31"/>
  <c r="BA311" i="1"/>
  <c r="N368" i="1"/>
  <c r="AI368" i="1"/>
  <c r="J368" i="1"/>
  <c r="F115" i="31" s="1"/>
  <c r="BA70" i="1"/>
  <c r="H323" i="1"/>
  <c r="L368" i="1"/>
  <c r="H115" i="31" s="1"/>
  <c r="H358" i="1"/>
  <c r="I368" i="1"/>
  <c r="E115" i="31" s="1"/>
  <c r="J107" i="31"/>
  <c r="BA233" i="1"/>
  <c r="H33" i="1"/>
  <c r="BA276" i="1"/>
  <c r="BA122" i="1"/>
  <c r="BA351" i="1"/>
  <c r="CM219" i="1"/>
  <c r="J210" i="31"/>
  <c r="J79" i="31"/>
  <c r="H337" i="1"/>
  <c r="BA363" i="1"/>
  <c r="J23" i="31"/>
  <c r="BA69" i="1"/>
  <c r="BA339" i="1"/>
  <c r="J123" i="31"/>
  <c r="H234" i="1"/>
  <c r="J44" i="31"/>
  <c r="H248" i="1"/>
  <c r="BA312" i="1"/>
  <c r="H67" i="1"/>
  <c r="H84" i="1"/>
  <c r="BA357" i="1"/>
  <c r="BA21" i="1"/>
  <c r="H30" i="1"/>
  <c r="H232" i="1"/>
  <c r="J34" i="31"/>
  <c r="BA242" i="1"/>
  <c r="H209" i="1"/>
  <c r="H340" i="1"/>
  <c r="BA250" i="1"/>
  <c r="BA80" i="1"/>
  <c r="BA29" i="1"/>
  <c r="H298" i="1"/>
  <c r="BA225" i="1"/>
  <c r="BA295" i="1"/>
  <c r="BA191" i="1"/>
  <c r="BA63" i="1"/>
  <c r="BA283" i="1"/>
  <c r="H262" i="1"/>
  <c r="BA326" i="1"/>
  <c r="BA65" i="1"/>
  <c r="BE194" i="1"/>
  <c r="H202" i="1"/>
  <c r="J42" i="31"/>
  <c r="BA262" i="1"/>
  <c r="H225" i="1"/>
  <c r="J45" i="31"/>
  <c r="BF41" i="1"/>
  <c r="H40" i="1"/>
  <c r="H23" i="1"/>
  <c r="J67" i="31"/>
  <c r="J170" i="31"/>
  <c r="BF251" i="1"/>
  <c r="BA304" i="1"/>
  <c r="H177" i="1"/>
  <c r="BA281" i="1"/>
  <c r="BA31" i="1"/>
  <c r="J183" i="31"/>
  <c r="H347" i="1"/>
  <c r="BA214" i="1"/>
  <c r="H403" i="1"/>
  <c r="BA291" i="1"/>
  <c r="BA37" i="1"/>
  <c r="AK210" i="1"/>
  <c r="H200" i="1"/>
  <c r="BA22" i="1"/>
  <c r="BA270" i="1"/>
  <c r="J43" i="31"/>
  <c r="H283" i="1"/>
  <c r="H199" i="1"/>
  <c r="H326" i="1"/>
  <c r="H374" i="1"/>
  <c r="J144" i="31"/>
  <c r="AK244" i="1"/>
  <c r="BA202" i="1"/>
  <c r="BF244" i="1"/>
  <c r="BA356" i="1"/>
  <c r="BA211" i="1"/>
  <c r="BA222" i="1"/>
  <c r="AK221" i="1"/>
  <c r="H375" i="1"/>
  <c r="J122" i="31"/>
  <c r="AY380" i="1"/>
  <c r="BA376" i="1"/>
  <c r="H312" i="1"/>
  <c r="BA232" i="1"/>
  <c r="BA187" i="1"/>
  <c r="BA195" i="1"/>
  <c r="BA197" i="1"/>
  <c r="BA38" i="1"/>
  <c r="BA193" i="1"/>
  <c r="BA128" i="1"/>
  <c r="H184" i="1"/>
  <c r="BA359" i="1"/>
  <c r="BA198" i="1"/>
  <c r="BA77" i="1"/>
  <c r="BA83" i="1"/>
  <c r="BA192" i="1"/>
  <c r="J27" i="31"/>
  <c r="BA263" i="1"/>
  <c r="BA267" i="1"/>
  <c r="H77" i="1"/>
  <c r="H373" i="1"/>
  <c r="BA319" i="1"/>
  <c r="BA30" i="1"/>
  <c r="BA373" i="1"/>
  <c r="AV380" i="1"/>
  <c r="J201" i="31"/>
  <c r="H291" i="1"/>
  <c r="BA199" i="1"/>
  <c r="BA361" i="1"/>
  <c r="BA188" i="1"/>
  <c r="BA235" i="1"/>
  <c r="BA64" i="1"/>
  <c r="BA200" i="1"/>
  <c r="BA39" i="1"/>
  <c r="BA428" i="1"/>
  <c r="J51" i="31"/>
  <c r="BA370" i="1"/>
  <c r="BA66" i="1"/>
  <c r="K41" i="1"/>
  <c r="AV42" i="1" s="1"/>
  <c r="BA201" i="1"/>
  <c r="H325" i="1"/>
  <c r="BA260" i="1"/>
  <c r="BA190" i="1"/>
  <c r="H240" i="1"/>
  <c r="BA78" i="1"/>
  <c r="BE251" i="1"/>
  <c r="D340" i="4"/>
  <c r="D370" i="4"/>
  <c r="J169" i="31"/>
  <c r="J218" i="31"/>
  <c r="E76" i="31"/>
  <c r="M71" i="1"/>
  <c r="I199" i="31"/>
  <c r="I207" i="31" s="1"/>
  <c r="BA183" i="1"/>
  <c r="H213" i="1"/>
  <c r="H224" i="1"/>
  <c r="BF364" i="1"/>
  <c r="J179" i="31"/>
  <c r="I279" i="4"/>
  <c r="I339" i="4"/>
  <c r="I369" i="4"/>
  <c r="H188" i="1"/>
  <c r="E81" i="31"/>
  <c r="H21" i="1"/>
  <c r="H178" i="1"/>
  <c r="BB368" i="1"/>
  <c r="BG368" i="1"/>
  <c r="BC368" i="1"/>
  <c r="BF368" i="1"/>
  <c r="BD368" i="1"/>
  <c r="AM368" i="1"/>
  <c r="AK368" i="1" s="1"/>
  <c r="BE368" i="1"/>
  <c r="H32" i="1"/>
  <c r="W380" i="1"/>
  <c r="CM223" i="1"/>
  <c r="CP223" i="1"/>
  <c r="CL223" i="1"/>
  <c r="CN223" i="1"/>
  <c r="CO223" i="1"/>
  <c r="CQ223" i="1"/>
  <c r="CR223" i="1"/>
  <c r="F76" i="31"/>
  <c r="D40" i="4"/>
  <c r="J243" i="31"/>
  <c r="H222" i="1"/>
  <c r="M180" i="1"/>
  <c r="I18" i="31"/>
  <c r="I20" i="31" s="1"/>
  <c r="H219" i="1"/>
  <c r="I184" i="31"/>
  <c r="J167" i="31"/>
  <c r="H363" i="1"/>
  <c r="H81" i="1"/>
  <c r="L136" i="1"/>
  <c r="L24" i="1"/>
  <c r="H163" i="31"/>
  <c r="H171" i="31" s="1"/>
  <c r="H22" i="1"/>
  <c r="E207" i="31"/>
  <c r="J214" i="31"/>
  <c r="H128" i="1"/>
  <c r="H82" i="31"/>
  <c r="H86" i="31" s="1"/>
  <c r="L251" i="1"/>
  <c r="G34" i="4" s="1"/>
  <c r="J217" i="31"/>
  <c r="H249" i="1"/>
  <c r="I208" i="31"/>
  <c r="J121" i="31"/>
  <c r="J242" i="31"/>
  <c r="I204" i="1"/>
  <c r="D30" i="4" s="1"/>
  <c r="N204" i="1"/>
  <c r="I30" i="4" s="1"/>
  <c r="BF136" i="1"/>
  <c r="BF24" i="1"/>
  <c r="G184" i="31"/>
  <c r="J39" i="31"/>
  <c r="J55" i="31"/>
  <c r="J66" i="31"/>
  <c r="CQ194" i="1"/>
  <c r="BG10" i="1"/>
  <c r="BD10" i="1"/>
  <c r="BC10" i="1"/>
  <c r="BF10" i="1"/>
  <c r="BE10" i="1"/>
  <c r="AM10" i="1"/>
  <c r="BB10" i="1"/>
  <c r="H65" i="1"/>
  <c r="J120" i="31"/>
  <c r="J78" i="31"/>
  <c r="BA210" i="1"/>
  <c r="CQ180" i="1"/>
  <c r="AS212" i="1"/>
  <c r="D63" i="4"/>
  <c r="D92" i="4"/>
  <c r="D93" i="4" s="1"/>
  <c r="D130" i="4" s="1"/>
  <c r="H233" i="1"/>
  <c r="J31" i="31"/>
  <c r="J168" i="31"/>
  <c r="J22" i="31"/>
  <c r="E24" i="31"/>
  <c r="G284" i="4"/>
  <c r="L194" i="1"/>
  <c r="H26" i="31"/>
  <c r="H37" i="31" s="1"/>
  <c r="J175" i="31"/>
  <c r="H223" i="1"/>
  <c r="E65" i="31"/>
  <c r="J65" i="31" s="1"/>
  <c r="H184" i="31"/>
  <c r="J64" i="31"/>
  <c r="H186" i="1"/>
  <c r="I77" i="31"/>
  <c r="I81" i="31" s="1"/>
  <c r="M244" i="1"/>
  <c r="H33" i="4" s="1"/>
  <c r="AS371" i="1"/>
  <c r="AS372" i="1"/>
  <c r="M41" i="1"/>
  <c r="BA247" i="1"/>
  <c r="J112" i="31"/>
  <c r="I71" i="31"/>
  <c r="M236" i="1"/>
  <c r="H32" i="4" s="1"/>
  <c r="H294" i="4"/>
  <c r="CM221" i="1"/>
  <c r="CR221" i="1"/>
  <c r="CO221" i="1"/>
  <c r="CP221" i="1"/>
  <c r="CQ221" i="1"/>
  <c r="CL221" i="1"/>
  <c r="CN221" i="1"/>
  <c r="AS79" i="1"/>
  <c r="BF194" i="1"/>
  <c r="J84" i="31"/>
  <c r="BF203" i="1"/>
  <c r="BA223" i="1"/>
  <c r="BA219" i="1"/>
  <c r="H362" i="1"/>
  <c r="H38" i="1"/>
  <c r="CQ236" i="1"/>
  <c r="H241" i="1"/>
  <c r="H196" i="1"/>
  <c r="H35" i="1"/>
  <c r="M136" i="1"/>
  <c r="M24" i="1"/>
  <c r="I163" i="31"/>
  <c r="I171" i="31" s="1"/>
  <c r="H78" i="1"/>
  <c r="E211" i="31"/>
  <c r="J211" i="31" s="1"/>
  <c r="J172" i="31"/>
  <c r="E184" i="31"/>
  <c r="I10" i="31"/>
  <c r="AK212" i="1"/>
  <c r="I13" i="4"/>
  <c r="J73" i="31"/>
  <c r="H214" i="1"/>
  <c r="L180" i="1"/>
  <c r="H18" i="31"/>
  <c r="H20" i="31" s="1"/>
  <c r="BA28" i="1"/>
  <c r="L41" i="1"/>
  <c r="E113" i="31"/>
  <c r="H208" i="1"/>
  <c r="J29" i="31"/>
  <c r="E118" i="31"/>
  <c r="J118" i="31" s="1"/>
  <c r="H371" i="1"/>
  <c r="E119" i="31"/>
  <c r="J119" i="31" s="1"/>
  <c r="H372" i="1"/>
  <c r="D29" i="4"/>
  <c r="H193" i="1"/>
  <c r="H377" i="1"/>
  <c r="H10" i="31"/>
  <c r="D13" i="4"/>
  <c r="J248" i="31"/>
  <c r="H221" i="1"/>
  <c r="E63" i="31"/>
  <c r="J63" i="31" s="1"/>
  <c r="E212" i="31"/>
  <c r="J212" i="31" s="1"/>
  <c r="H79" i="1"/>
  <c r="BA372" i="1"/>
  <c r="H284" i="4"/>
  <c r="I26" i="31"/>
  <c r="I37" i="31" s="1"/>
  <c r="M194" i="1"/>
  <c r="H39" i="1"/>
  <c r="H37" i="1"/>
  <c r="I82" i="31"/>
  <c r="I86" i="31" s="1"/>
  <c r="M251" i="1"/>
  <c r="H34" i="4" s="1"/>
  <c r="J111" i="31"/>
  <c r="J181" i="31"/>
  <c r="E37" i="31"/>
  <c r="C295" i="4"/>
  <c r="J53" i="31"/>
  <c r="J178" i="31"/>
  <c r="I38" i="31"/>
  <c r="I46" i="31" s="1"/>
  <c r="M203" i="1"/>
  <c r="CP180" i="1"/>
  <c r="AS78" i="1"/>
  <c r="F9" i="31"/>
  <c r="D12" i="35" s="1"/>
  <c r="CR212" i="1"/>
  <c r="CM212" i="1"/>
  <c r="CL212" i="1"/>
  <c r="CN212" i="1"/>
  <c r="CO212" i="1"/>
  <c r="CQ212" i="1"/>
  <c r="CP212" i="1"/>
  <c r="AV109" i="1"/>
  <c r="AT109" i="1"/>
  <c r="AX109" i="1"/>
  <c r="AW109" i="1"/>
  <c r="AY109" i="1"/>
  <c r="AL109" i="1"/>
  <c r="AU109" i="1"/>
  <c r="E9" i="31"/>
  <c r="C12" i="35" s="1"/>
  <c r="J4" i="31"/>
  <c r="J56" i="31"/>
  <c r="BA16" i="1"/>
  <c r="I5" i="31"/>
  <c r="I9" i="31" s="1"/>
  <c r="G12" i="35" s="1"/>
  <c r="H24" i="4"/>
  <c r="BE136" i="1"/>
  <c r="BE24" i="1"/>
  <c r="E369" i="4"/>
  <c r="E339" i="4"/>
  <c r="J117" i="31"/>
  <c r="J49" i="31"/>
  <c r="H361" i="1"/>
  <c r="CP203" i="1"/>
  <c r="J36" i="31"/>
  <c r="J124" i="31"/>
  <c r="H197" i="1"/>
  <c r="E46" i="31"/>
  <c r="BE180" i="1"/>
  <c r="G277" i="4"/>
  <c r="G278" i="4" s="1"/>
  <c r="AS221" i="1"/>
  <c r="CQ244" i="1"/>
  <c r="J182" i="31"/>
  <c r="J180" i="31"/>
  <c r="H378" i="1"/>
  <c r="BA371" i="1"/>
  <c r="BA221" i="1"/>
  <c r="BE364" i="1"/>
  <c r="H185" i="1"/>
  <c r="I6" i="4"/>
  <c r="E171" i="31"/>
  <c r="H18" i="1"/>
  <c r="H80" i="1"/>
  <c r="CP251" i="1"/>
  <c r="CM204" i="1"/>
  <c r="H66" i="1"/>
  <c r="H91" i="4"/>
  <c r="I74" i="31"/>
  <c r="H212" i="1"/>
  <c r="E54" i="31"/>
  <c r="J54" i="31" s="1"/>
  <c r="H187" i="1"/>
  <c r="H359" i="1"/>
  <c r="I24" i="31"/>
  <c r="H370" i="1"/>
  <c r="J110" i="31"/>
  <c r="BG204" i="1"/>
  <c r="H5" i="31"/>
  <c r="H9" i="31" s="1"/>
  <c r="F12" i="35" s="1"/>
  <c r="G24" i="4"/>
  <c r="J32" i="31"/>
  <c r="H235" i="1"/>
  <c r="J40" i="31"/>
  <c r="H19" i="1"/>
  <c r="J125" i="31"/>
  <c r="L244" i="1"/>
  <c r="G33" i="4" s="1"/>
  <c r="H77" i="31"/>
  <c r="H81" i="31" s="1"/>
  <c r="AX87" i="1"/>
  <c r="J28" i="31"/>
  <c r="H231" i="1"/>
  <c r="H210" i="1"/>
  <c r="E52" i="31"/>
  <c r="J52" i="31" s="1"/>
  <c r="D6" i="4"/>
  <c r="H247" i="1"/>
  <c r="J165" i="31"/>
  <c r="J213" i="31"/>
  <c r="CP244" i="1"/>
  <c r="I370" i="4"/>
  <c r="I340" i="4"/>
  <c r="J202" i="31"/>
  <c r="CP194" i="1"/>
  <c r="BE41" i="1"/>
  <c r="BA347" i="1"/>
  <c r="J30" i="31"/>
  <c r="H69" i="1"/>
  <c r="J108" i="31"/>
  <c r="BF236" i="1"/>
  <c r="AK223" i="1"/>
  <c r="H17" i="1"/>
  <c r="H82" i="1"/>
  <c r="H70" i="1"/>
  <c r="H243" i="1"/>
  <c r="H198" i="1"/>
  <c r="L71" i="1"/>
  <c r="H199" i="31"/>
  <c r="H207" i="31" s="1"/>
  <c r="BA79" i="1"/>
  <c r="H189" i="1"/>
  <c r="J106" i="31"/>
  <c r="H68" i="1"/>
  <c r="J75" i="31"/>
  <c r="BE71" i="1"/>
  <c r="AS75" i="1"/>
  <c r="J166" i="31"/>
  <c r="F174" i="31"/>
  <c r="J174" i="31" s="1"/>
  <c r="H29" i="1"/>
  <c r="BE236" i="1"/>
  <c r="H428" i="1"/>
  <c r="H425" i="1"/>
  <c r="BE203" i="1"/>
  <c r="I63" i="4"/>
  <c r="I92" i="4"/>
  <c r="I93" i="4" s="1"/>
  <c r="I130" i="4" s="1"/>
  <c r="AS368" i="1"/>
  <c r="CR210" i="1"/>
  <c r="CM210" i="1"/>
  <c r="CN210" i="1"/>
  <c r="CQ210" i="1"/>
  <c r="CL210" i="1"/>
  <c r="CO210" i="1"/>
  <c r="CP210" i="1"/>
  <c r="H16" i="1"/>
  <c r="L364" i="1"/>
  <c r="H105" i="31"/>
  <c r="H113" i="31" s="1"/>
  <c r="I29" i="4"/>
  <c r="H190" i="1"/>
  <c r="BE244" i="1"/>
  <c r="AW218" i="1"/>
  <c r="J205" i="31"/>
  <c r="M364" i="1"/>
  <c r="I105" i="31"/>
  <c r="I113" i="31" s="1"/>
  <c r="H369" i="1"/>
  <c r="BB75" i="1"/>
  <c r="BC75" i="1"/>
  <c r="BD75" i="1"/>
  <c r="BF75" i="1"/>
  <c r="BG75" i="1"/>
  <c r="AM75" i="1"/>
  <c r="BE75" i="1"/>
  <c r="J164" i="31"/>
  <c r="J215" i="31"/>
  <c r="J206" i="31"/>
  <c r="J80" i="31"/>
  <c r="J41" i="31"/>
  <c r="AK372" i="1"/>
  <c r="H357" i="1"/>
  <c r="H360" i="1"/>
  <c r="J204" i="31"/>
  <c r="H250" i="1"/>
  <c r="CQ251" i="1"/>
  <c r="CQ203" i="1"/>
  <c r="AS244" i="1"/>
  <c r="L203" i="1"/>
  <c r="H38" i="31"/>
  <c r="H46" i="31" s="1"/>
  <c r="BA212" i="1"/>
  <c r="E114" i="31"/>
  <c r="H85" i="1"/>
  <c r="CR204" i="1"/>
  <c r="H74" i="31"/>
  <c r="G91" i="4"/>
  <c r="F63" i="4"/>
  <c r="AS74" i="1"/>
  <c r="J12" i="31"/>
  <c r="D339" i="4"/>
  <c r="D369" i="4"/>
  <c r="D279" i="4"/>
  <c r="BF71" i="1"/>
  <c r="CP236" i="1"/>
  <c r="AS210" i="1"/>
  <c r="BB204" i="1"/>
  <c r="E86" i="31"/>
  <c r="AK78" i="1"/>
  <c r="J33" i="31"/>
  <c r="H36" i="1"/>
  <c r="H71" i="31"/>
  <c r="L236" i="1"/>
  <c r="G32" i="4" s="1"/>
  <c r="G294" i="4"/>
  <c r="J116" i="31"/>
  <c r="AS223" i="1"/>
  <c r="H123" i="1"/>
  <c r="BF180" i="1"/>
  <c r="H277" i="4"/>
  <c r="AK371" i="1"/>
  <c r="E20" i="31"/>
  <c r="J109" i="31"/>
  <c r="H20" i="1"/>
  <c r="J85" i="31"/>
  <c r="AY87" i="1" l="1"/>
  <c r="AU87" i="1"/>
  <c r="AM87" i="1"/>
  <c r="BC109" i="1"/>
  <c r="M109" i="1"/>
  <c r="I234" i="31" s="1"/>
  <c r="AW380" i="1"/>
  <c r="AS367" i="1"/>
  <c r="AX380" i="1"/>
  <c r="AK367" i="1"/>
  <c r="AI380" i="1"/>
  <c r="AX226" i="1"/>
  <c r="BB109" i="1"/>
  <c r="AX218" i="1"/>
  <c r="AL218" i="1"/>
  <c r="AV218" i="1"/>
  <c r="AT218" i="1"/>
  <c r="AU218" i="1"/>
  <c r="BS218" i="1"/>
  <c r="F47" i="31"/>
  <c r="E92" i="4"/>
  <c r="E93" i="4" s="1"/>
  <c r="E130" i="4" s="1"/>
  <c r="BR236" i="1"/>
  <c r="AS86" i="1"/>
  <c r="BR244" i="1"/>
  <c r="AS379" i="1"/>
  <c r="AS41" i="1"/>
  <c r="BC226" i="1"/>
  <c r="AL87" i="1"/>
  <c r="BF226" i="1"/>
  <c r="BS226" i="1"/>
  <c r="AU226" i="1"/>
  <c r="M218" i="1"/>
  <c r="I60" i="31" s="1"/>
  <c r="BD218" i="1"/>
  <c r="N218" i="1"/>
  <c r="W227" i="1"/>
  <c r="W215" i="1" s="1"/>
  <c r="BB215" i="1" s="1"/>
  <c r="AI218" i="1"/>
  <c r="BG218" i="1"/>
  <c r="BE218" i="1"/>
  <c r="K218" i="1"/>
  <c r="G60" i="31" s="1"/>
  <c r="BF218" i="1"/>
  <c r="AM218" i="1"/>
  <c r="AM227" i="1" s="1"/>
  <c r="L218" i="1"/>
  <c r="H60" i="31" s="1"/>
  <c r="BX218" i="1"/>
  <c r="CP218" i="1" s="1"/>
  <c r="J218" i="1"/>
  <c r="F60" i="31" s="1"/>
  <c r="I218" i="1"/>
  <c r="AY226" i="1"/>
  <c r="AL226" i="1"/>
  <c r="AK226" i="1" s="1"/>
  <c r="I226" i="1"/>
  <c r="E68" i="31" s="1"/>
  <c r="L10" i="1"/>
  <c r="AT226" i="1"/>
  <c r="M226" i="1"/>
  <c r="I68" i="31" s="1"/>
  <c r="AW226" i="1"/>
  <c r="AW227" i="1" s="1"/>
  <c r="N226" i="1"/>
  <c r="AI226" i="1"/>
  <c r="R227" i="1"/>
  <c r="BC218" i="1"/>
  <c r="BE380" i="1"/>
  <c r="AI87" i="1"/>
  <c r="BF400" i="1"/>
  <c r="CO204" i="1"/>
  <c r="M207" i="1"/>
  <c r="I48" i="31" s="1"/>
  <c r="BE400" i="1"/>
  <c r="BD400" i="1"/>
  <c r="BB400" i="1"/>
  <c r="BC400" i="1"/>
  <c r="BG400" i="1"/>
  <c r="BX207" i="1"/>
  <c r="AI348" i="1"/>
  <c r="M10" i="1"/>
  <c r="I159" i="31" s="1"/>
  <c r="J10" i="1"/>
  <c r="N10" i="1"/>
  <c r="AW10" i="1"/>
  <c r="AW137" i="1" s="1"/>
  <c r="AY10" i="1"/>
  <c r="AY137" i="1" s="1"/>
  <c r="BE109" i="1"/>
  <c r="BE137" i="1" s="1"/>
  <c r="L109" i="1"/>
  <c r="H234" i="31" s="1"/>
  <c r="K109" i="1"/>
  <c r="G234" i="31" s="1"/>
  <c r="AI109" i="1"/>
  <c r="AM109" i="1"/>
  <c r="AM137" i="1" s="1"/>
  <c r="N109" i="1"/>
  <c r="J109" i="1"/>
  <c r="F234" i="31" s="1"/>
  <c r="BF109" i="1"/>
  <c r="BF137" i="1" s="1"/>
  <c r="BG109" i="1"/>
  <c r="BG137" i="1" s="1"/>
  <c r="BD109" i="1"/>
  <c r="BD137" i="1" s="1"/>
  <c r="H74" i="1"/>
  <c r="BA74" i="1"/>
  <c r="AY42" i="1"/>
  <c r="BG42" i="1"/>
  <c r="N43" i="1"/>
  <c r="I7" i="4"/>
  <c r="F278" i="4"/>
  <c r="F370" i="4" s="1"/>
  <c r="BD204" i="1"/>
  <c r="H75" i="1"/>
  <c r="BG87" i="1"/>
  <c r="J209" i="31"/>
  <c r="BB42" i="1"/>
  <c r="E340" i="4"/>
  <c r="AL10" i="1"/>
  <c r="AL137" i="1" s="1"/>
  <c r="AV348" i="1"/>
  <c r="N87" i="1"/>
  <c r="N89" i="1" s="1"/>
  <c r="AY348" i="1"/>
  <c r="K400" i="1"/>
  <c r="G140" i="31" s="1"/>
  <c r="AU348" i="1"/>
  <c r="AW400" i="1"/>
  <c r="H367" i="1"/>
  <c r="AY400" i="1"/>
  <c r="I400" i="1"/>
  <c r="E140" i="31" s="1"/>
  <c r="K204" i="1"/>
  <c r="F30" i="4" s="1"/>
  <c r="K10" i="1"/>
  <c r="G159" i="31" s="1"/>
  <c r="AX348" i="1"/>
  <c r="BF87" i="1"/>
  <c r="AU10" i="1"/>
  <c r="AU137" i="1" s="1"/>
  <c r="BD87" i="1"/>
  <c r="AT10" i="1"/>
  <c r="AL348" i="1"/>
  <c r="AI10" i="1"/>
  <c r="AW348" i="1"/>
  <c r="AX10" i="1"/>
  <c r="AX137" i="1" s="1"/>
  <c r="I10" i="1"/>
  <c r="I137" i="1" s="1"/>
  <c r="G47" i="31"/>
  <c r="M380" i="1"/>
  <c r="H41" i="4" s="1"/>
  <c r="F369" i="4"/>
  <c r="BF380" i="1"/>
  <c r="AT426" i="1"/>
  <c r="N426" i="1"/>
  <c r="AX426" i="1"/>
  <c r="AY426" i="1"/>
  <c r="AV426" i="1"/>
  <c r="J204" i="1"/>
  <c r="E30" i="4" s="1"/>
  <c r="AW426" i="1"/>
  <c r="AL426" i="1"/>
  <c r="AK41" i="1"/>
  <c r="BC204" i="1"/>
  <c r="BB226" i="1"/>
  <c r="BB227" i="1" s="1"/>
  <c r="J226" i="1"/>
  <c r="F68" i="31" s="1"/>
  <c r="L226" i="1"/>
  <c r="H68" i="31" s="1"/>
  <c r="BE226" i="1"/>
  <c r="K226" i="1"/>
  <c r="G68" i="31" s="1"/>
  <c r="BG226" i="1"/>
  <c r="BC380" i="1"/>
  <c r="BX226" i="1"/>
  <c r="BD226" i="1"/>
  <c r="BA367" i="1"/>
  <c r="BB207" i="1"/>
  <c r="BS207" i="1"/>
  <c r="I207" i="1"/>
  <c r="E48" i="31" s="1"/>
  <c r="AW207" i="1"/>
  <c r="BG207" i="1"/>
  <c r="N348" i="1"/>
  <c r="M400" i="1"/>
  <c r="I140" i="31" s="1"/>
  <c r="AI400" i="1"/>
  <c r="AU207" i="1"/>
  <c r="I87" i="1"/>
  <c r="D14" i="4" s="1"/>
  <c r="L207" i="1"/>
  <c r="H48" i="31" s="1"/>
  <c r="AT207" i="1"/>
  <c r="BD207" i="1"/>
  <c r="I348" i="1"/>
  <c r="AV400" i="1"/>
  <c r="AL400" i="1"/>
  <c r="AK400" i="1" s="1"/>
  <c r="N207" i="1"/>
  <c r="AX207" i="1"/>
  <c r="BF207" i="1"/>
  <c r="J207" i="1"/>
  <c r="F48" i="31" s="1"/>
  <c r="AY207" i="1"/>
  <c r="BC207" i="1"/>
  <c r="N400" i="1"/>
  <c r="CN204" i="1"/>
  <c r="AI207" i="1"/>
  <c r="AV207" i="1"/>
  <c r="AM207" i="1"/>
  <c r="AK207" i="1" s="1"/>
  <c r="L400" i="1"/>
  <c r="H140" i="31" s="1"/>
  <c r="N380" i="1"/>
  <c r="I41" i="4" s="1"/>
  <c r="K207" i="1"/>
  <c r="G48" i="31" s="1"/>
  <c r="J400" i="1"/>
  <c r="F140" i="31" s="1"/>
  <c r="I127" i="31"/>
  <c r="BB426" i="1"/>
  <c r="AU400" i="1"/>
  <c r="AT400" i="1"/>
  <c r="D7" i="4"/>
  <c r="I43" i="1"/>
  <c r="F127" i="31"/>
  <c r="BE87" i="1"/>
  <c r="J426" i="1"/>
  <c r="F11" i="31" s="1"/>
  <c r="H127" i="31"/>
  <c r="W116" i="1"/>
  <c r="I25" i="31"/>
  <c r="AI43" i="1"/>
  <c r="BE348" i="1"/>
  <c r="AM426" i="1"/>
  <c r="L380" i="1"/>
  <c r="G41" i="4" s="1"/>
  <c r="AT42" i="1"/>
  <c r="BG426" i="1"/>
  <c r="J43" i="1"/>
  <c r="AU42" i="1"/>
  <c r="BD426" i="1"/>
  <c r="I426" i="1"/>
  <c r="AI426" i="1"/>
  <c r="BC426" i="1"/>
  <c r="BJ42" i="1"/>
  <c r="M426" i="1"/>
  <c r="I11" i="31" s="1"/>
  <c r="BF426" i="1"/>
  <c r="K426" i="1"/>
  <c r="G11" i="31" s="1"/>
  <c r="C24" i="35"/>
  <c r="BB380" i="1"/>
  <c r="BA136" i="1"/>
  <c r="F220" i="31"/>
  <c r="H25" i="31"/>
  <c r="J87" i="1"/>
  <c r="E14" i="4" s="1"/>
  <c r="F114" i="4"/>
  <c r="AI89" i="1"/>
  <c r="L348" i="1"/>
  <c r="L426" i="1"/>
  <c r="H11" i="31" s="1"/>
  <c r="E370" i="4"/>
  <c r="E371" i="4" s="1"/>
  <c r="G220" i="31"/>
  <c r="BD348" i="1"/>
  <c r="K87" i="1"/>
  <c r="M348" i="1"/>
  <c r="BF348" i="1"/>
  <c r="J348" i="1"/>
  <c r="K348" i="1"/>
  <c r="BC348" i="1"/>
  <c r="M87" i="1"/>
  <c r="H14" i="4" s="1"/>
  <c r="BB348" i="1"/>
  <c r="AM348" i="1"/>
  <c r="I220" i="31"/>
  <c r="BK42" i="1"/>
  <c r="R116" i="1"/>
  <c r="BR180" i="1"/>
  <c r="CC180" i="1" s="1"/>
  <c r="F184" i="31"/>
  <c r="H379" i="1"/>
  <c r="BA86" i="1"/>
  <c r="BC42" i="1"/>
  <c r="J380" i="1"/>
  <c r="E41" i="4" s="1"/>
  <c r="J18" i="31"/>
  <c r="J20" i="31" s="1"/>
  <c r="I380" i="1"/>
  <c r="D41" i="4" s="1"/>
  <c r="BC87" i="1"/>
  <c r="E126" i="31"/>
  <c r="J126" i="31" s="1"/>
  <c r="J115" i="31"/>
  <c r="J10" i="31"/>
  <c r="BA379" i="1"/>
  <c r="BD380" i="1"/>
  <c r="G127" i="31"/>
  <c r="H368" i="1"/>
  <c r="BG380" i="1"/>
  <c r="H86" i="1"/>
  <c r="J219" i="31"/>
  <c r="BA244" i="1"/>
  <c r="BE204" i="1"/>
  <c r="L87" i="1"/>
  <c r="G14" i="4" s="1"/>
  <c r="H220" i="31"/>
  <c r="K380" i="1"/>
  <c r="F41" i="4" s="1"/>
  <c r="K43" i="1"/>
  <c r="J82" i="31"/>
  <c r="J86" i="31" s="1"/>
  <c r="J24" i="31"/>
  <c r="C91" i="4"/>
  <c r="C92" i="4" s="1"/>
  <c r="C93" i="4" s="1"/>
  <c r="C294" i="4"/>
  <c r="CP204" i="1"/>
  <c r="J74" i="31"/>
  <c r="C284" i="4"/>
  <c r="H47" i="31"/>
  <c r="H71" i="1"/>
  <c r="C13" i="4" s="1"/>
  <c r="D114" i="4"/>
  <c r="BA236" i="1"/>
  <c r="BR194" i="1"/>
  <c r="CD194" i="1" s="1"/>
  <c r="BA251" i="1"/>
  <c r="H364" i="1"/>
  <c r="C40" i="4" s="1"/>
  <c r="E47" i="31"/>
  <c r="BR203" i="1"/>
  <c r="BA41" i="1"/>
  <c r="E25" i="31"/>
  <c r="H194" i="1"/>
  <c r="H180" i="1"/>
  <c r="C29" i="4" s="1"/>
  <c r="H251" i="1"/>
  <c r="C34" i="4" s="1"/>
  <c r="BR251" i="1"/>
  <c r="I47" i="31"/>
  <c r="BD42" i="1"/>
  <c r="H76" i="31"/>
  <c r="H203" i="1"/>
  <c r="BA24" i="1"/>
  <c r="H244" i="1"/>
  <c r="C33" i="4" s="1"/>
  <c r="F7" i="4"/>
  <c r="BL42" i="1"/>
  <c r="H41" i="1"/>
  <c r="I42" i="1" s="1"/>
  <c r="G370" i="4"/>
  <c r="G340" i="4"/>
  <c r="J114" i="31"/>
  <c r="H40" i="4"/>
  <c r="G13" i="4"/>
  <c r="D24" i="35"/>
  <c r="J105" i="31"/>
  <c r="J113" i="31" s="1"/>
  <c r="BF204" i="1"/>
  <c r="G6" i="4"/>
  <c r="L43" i="1"/>
  <c r="J71" i="31"/>
  <c r="BA203" i="1"/>
  <c r="H92" i="4"/>
  <c r="H93" i="4" s="1"/>
  <c r="H130" i="4" s="1"/>
  <c r="H63" i="4"/>
  <c r="J184" i="31"/>
  <c r="C277" i="4"/>
  <c r="G24" i="35"/>
  <c r="G7" i="4"/>
  <c r="AW42" i="1"/>
  <c r="BE42" i="1"/>
  <c r="BM42" i="1"/>
  <c r="BC137" i="1"/>
  <c r="J77" i="31"/>
  <c r="J81" i="31" s="1"/>
  <c r="F24" i="35"/>
  <c r="H6" i="4"/>
  <c r="M43" i="1"/>
  <c r="I280" i="4"/>
  <c r="I281" i="4" s="1"/>
  <c r="I109" i="4" s="1"/>
  <c r="AV137" i="1"/>
  <c r="J38" i="31"/>
  <c r="J46" i="31" s="1"/>
  <c r="AS109" i="1"/>
  <c r="F130" i="4"/>
  <c r="G29" i="4"/>
  <c r="AM380" i="1"/>
  <c r="I114" i="4"/>
  <c r="J5" i="31"/>
  <c r="J9" i="31" s="1"/>
  <c r="H339" i="4"/>
  <c r="H369" i="4"/>
  <c r="BA10" i="1"/>
  <c r="BB137" i="1"/>
  <c r="J199" i="31"/>
  <c r="J207" i="31" s="1"/>
  <c r="H278" i="4"/>
  <c r="BA180" i="1"/>
  <c r="C63" i="4"/>
  <c r="C96" i="4" s="1"/>
  <c r="C97" i="4" s="1"/>
  <c r="E165" i="4" s="1"/>
  <c r="J163" i="31"/>
  <c r="J171" i="31" s="1"/>
  <c r="E234" i="31"/>
  <c r="J26" i="31"/>
  <c r="J37" i="31" s="1"/>
  <c r="M204" i="1"/>
  <c r="H30" i="4" s="1"/>
  <c r="I76" i="31"/>
  <c r="AK75" i="1"/>
  <c r="H29" i="4"/>
  <c r="BA368" i="1"/>
  <c r="D371" i="4"/>
  <c r="G369" i="4"/>
  <c r="G339" i="4"/>
  <c r="G279" i="4"/>
  <c r="BN42" i="1"/>
  <c r="H7" i="4"/>
  <c r="BF42" i="1"/>
  <c r="AX42" i="1"/>
  <c r="H236" i="1"/>
  <c r="C32" i="4" s="1"/>
  <c r="D280" i="4"/>
  <c r="BA75" i="1"/>
  <c r="AY227" i="1"/>
  <c r="AV227" i="1"/>
  <c r="E220" i="31"/>
  <c r="J208" i="31"/>
  <c r="G63" i="4"/>
  <c r="G92" i="4"/>
  <c r="G93" i="4" s="1"/>
  <c r="G114" i="4" s="1"/>
  <c r="H12" i="35"/>
  <c r="L204" i="1"/>
  <c r="G30" i="4" s="1"/>
  <c r="CQ204" i="1"/>
  <c r="BB87" i="1"/>
  <c r="I371" i="4"/>
  <c r="BA194" i="1"/>
  <c r="BA364" i="1"/>
  <c r="H136" i="1"/>
  <c r="H24" i="1"/>
  <c r="G40" i="4"/>
  <c r="H13" i="4"/>
  <c r="BA71" i="1"/>
  <c r="AK87" i="1" l="1"/>
  <c r="AS87" i="1"/>
  <c r="AS380" i="1"/>
  <c r="CN218" i="1"/>
  <c r="AK380" i="1"/>
  <c r="CN226" i="1"/>
  <c r="AX227" i="1"/>
  <c r="E280" i="4"/>
  <c r="E281" i="4" s="1"/>
  <c r="E109" i="4" s="1"/>
  <c r="E125" i="4" s="1"/>
  <c r="AU227" i="1"/>
  <c r="AL227" i="1"/>
  <c r="AK218" i="1"/>
  <c r="E114" i="4"/>
  <c r="AT227" i="1"/>
  <c r="AS218" i="1"/>
  <c r="I69" i="31"/>
  <c r="F69" i="31"/>
  <c r="BC227" i="1"/>
  <c r="J234" i="31"/>
  <c r="AS226" i="1"/>
  <c r="H109" i="1"/>
  <c r="BF227" i="1"/>
  <c r="M227" i="1"/>
  <c r="N137" i="1"/>
  <c r="J137" i="1"/>
  <c r="I227" i="1"/>
  <c r="N227" i="1"/>
  <c r="L137" i="1"/>
  <c r="BD227" i="1"/>
  <c r="CO218" i="1"/>
  <c r="CR218" i="1"/>
  <c r="AI227" i="1"/>
  <c r="CM218" i="1"/>
  <c r="W216" i="1"/>
  <c r="BG216" i="1" s="1"/>
  <c r="CQ218" i="1"/>
  <c r="CL218" i="1"/>
  <c r="M137" i="1"/>
  <c r="E60" i="31"/>
  <c r="J60" i="31" s="1"/>
  <c r="H218" i="1"/>
  <c r="BG227" i="1"/>
  <c r="BA218" i="1"/>
  <c r="F159" i="31"/>
  <c r="AK109" i="1"/>
  <c r="BE227" i="1"/>
  <c r="R215" i="1"/>
  <c r="J215" i="1" s="1"/>
  <c r="R216" i="1"/>
  <c r="AY216" i="1" s="1"/>
  <c r="H159" i="31"/>
  <c r="CP207" i="1"/>
  <c r="BA400" i="1"/>
  <c r="CQ207" i="1"/>
  <c r="CR207" i="1"/>
  <c r="CN207" i="1"/>
  <c r="BA109" i="1"/>
  <c r="CL207" i="1"/>
  <c r="AK10" i="1"/>
  <c r="CM207" i="1"/>
  <c r="CO207" i="1"/>
  <c r="L227" i="1"/>
  <c r="N116" i="1"/>
  <c r="AS10" i="1"/>
  <c r="G69" i="31"/>
  <c r="F279" i="4"/>
  <c r="F280" i="4" s="1"/>
  <c r="F281" i="4" s="1"/>
  <c r="F109" i="4" s="1"/>
  <c r="F340" i="4"/>
  <c r="AT137" i="1"/>
  <c r="AS137" i="1" s="1"/>
  <c r="I89" i="1"/>
  <c r="I116" i="1" s="1"/>
  <c r="CR226" i="1"/>
  <c r="K227" i="1"/>
  <c r="AS348" i="1"/>
  <c r="F371" i="4"/>
  <c r="F372" i="4" s="1"/>
  <c r="F373" i="4" s="1"/>
  <c r="F160" i="4" s="1"/>
  <c r="I14" i="4"/>
  <c r="K137" i="1"/>
  <c r="J89" i="1"/>
  <c r="U18" i="3" s="1"/>
  <c r="H10" i="1"/>
  <c r="J227" i="1"/>
  <c r="AK348" i="1"/>
  <c r="H226" i="1"/>
  <c r="CB180" i="1"/>
  <c r="E159" i="31"/>
  <c r="BA226" i="1"/>
  <c r="AI116" i="1"/>
  <c r="CC194" i="1"/>
  <c r="CC204" i="1" s="1"/>
  <c r="AS426" i="1"/>
  <c r="J220" i="31"/>
  <c r="J68" i="31"/>
  <c r="BZ194" i="1"/>
  <c r="BZ204" i="1" s="1"/>
  <c r="H69" i="31"/>
  <c r="AK426" i="1"/>
  <c r="H207" i="1"/>
  <c r="AS207" i="1"/>
  <c r="BA207" i="1"/>
  <c r="CL226" i="1"/>
  <c r="CM226" i="1"/>
  <c r="CQ226" i="1"/>
  <c r="CP226" i="1"/>
  <c r="CP227" i="1" s="1"/>
  <c r="CO226" i="1"/>
  <c r="AS400" i="1"/>
  <c r="J140" i="31"/>
  <c r="H400" i="1"/>
  <c r="BW180" i="1"/>
  <c r="M89" i="1"/>
  <c r="X18" i="3" s="1"/>
  <c r="CA180" i="1"/>
  <c r="CH180" i="1"/>
  <c r="BA426" i="1"/>
  <c r="H348" i="1"/>
  <c r="H426" i="1"/>
  <c r="G61" i="4" s="1"/>
  <c r="G60" i="4" s="1"/>
  <c r="E11" i="31"/>
  <c r="J11" i="31" s="1"/>
  <c r="D73" i="4"/>
  <c r="D70" i="4"/>
  <c r="BA348" i="1"/>
  <c r="J25" i="31"/>
  <c r="F14" i="4"/>
  <c r="K89" i="1"/>
  <c r="K116" i="1" s="1"/>
  <c r="BZ180" i="1"/>
  <c r="CD180" i="1"/>
  <c r="CE180" i="1"/>
  <c r="BS180" i="1"/>
  <c r="CG180" i="1"/>
  <c r="BY180" i="1"/>
  <c r="BV180" i="1"/>
  <c r="BT180" i="1"/>
  <c r="BX180" i="1"/>
  <c r="BU180" i="1"/>
  <c r="CF180" i="1"/>
  <c r="CI180" i="1"/>
  <c r="BX194" i="1"/>
  <c r="BX204" i="1" s="1"/>
  <c r="BS194" i="1"/>
  <c r="BS204" i="1" s="1"/>
  <c r="CI194" i="1"/>
  <c r="CI204" i="1" s="1"/>
  <c r="CH194" i="1"/>
  <c r="CH204" i="1" s="1"/>
  <c r="CA194" i="1"/>
  <c r="CA204" i="1" s="1"/>
  <c r="CF194" i="1"/>
  <c r="CF204" i="1" s="1"/>
  <c r="CE194" i="1"/>
  <c r="CE204" i="1" s="1"/>
  <c r="BV194" i="1"/>
  <c r="BV204" i="1" s="1"/>
  <c r="BY194" i="1"/>
  <c r="BY204" i="1" s="1"/>
  <c r="CG194" i="1"/>
  <c r="CG204" i="1" s="1"/>
  <c r="CB194" i="1"/>
  <c r="CB204" i="1" s="1"/>
  <c r="BU194" i="1"/>
  <c r="BU204" i="1" s="1"/>
  <c r="BW194" i="1"/>
  <c r="BW204" i="1" s="1"/>
  <c r="BT194" i="1"/>
  <c r="BT204" i="1" s="1"/>
  <c r="L89" i="1"/>
  <c r="L116" i="1" s="1"/>
  <c r="H87" i="1"/>
  <c r="C14" i="4" s="1"/>
  <c r="J127" i="31"/>
  <c r="E127" i="31"/>
  <c r="I165" i="4"/>
  <c r="BA380" i="1"/>
  <c r="H380" i="1"/>
  <c r="C41" i="4" s="1"/>
  <c r="BC215" i="1"/>
  <c r="BE215" i="1"/>
  <c r="AM215" i="1"/>
  <c r="BF215" i="1"/>
  <c r="BD215" i="1"/>
  <c r="BG215" i="1"/>
  <c r="C339" i="4"/>
  <c r="M42" i="1"/>
  <c r="H114" i="4"/>
  <c r="J76" i="31"/>
  <c r="C7" i="4"/>
  <c r="G130" i="4"/>
  <c r="C130" i="4" s="1"/>
  <c r="BR204" i="1"/>
  <c r="CD204" i="1"/>
  <c r="BA87" i="1"/>
  <c r="L42" i="1"/>
  <c r="N42" i="1"/>
  <c r="J42" i="1"/>
  <c r="H42" i="1"/>
  <c r="F74" i="4"/>
  <c r="H204" i="1"/>
  <c r="C30" i="4" s="1"/>
  <c r="I75" i="4"/>
  <c r="E70" i="4"/>
  <c r="K42" i="1"/>
  <c r="I125" i="4"/>
  <c r="F70" i="4"/>
  <c r="E71" i="4"/>
  <c r="I73" i="4"/>
  <c r="G69" i="4"/>
  <c r="G70" i="4"/>
  <c r="G75" i="4"/>
  <c r="G73" i="4"/>
  <c r="G74" i="4"/>
  <c r="G71" i="4"/>
  <c r="I70" i="4"/>
  <c r="J47" i="31"/>
  <c r="F73" i="4"/>
  <c r="E69" i="4"/>
  <c r="G371" i="4"/>
  <c r="G165" i="4"/>
  <c r="I372" i="4"/>
  <c r="I373" i="4" s="1"/>
  <c r="I160" i="4" s="1"/>
  <c r="E73" i="4"/>
  <c r="D75" i="4"/>
  <c r="F71" i="4"/>
  <c r="E75" i="4"/>
  <c r="H165" i="4"/>
  <c r="D69" i="4"/>
  <c r="D165" i="4"/>
  <c r="H370" i="4"/>
  <c r="C370" i="4" s="1"/>
  <c r="H340" i="4"/>
  <c r="I71" i="4"/>
  <c r="F69" i="4"/>
  <c r="E74" i="4"/>
  <c r="H69" i="4"/>
  <c r="H71" i="4"/>
  <c r="H73" i="4"/>
  <c r="H75" i="4"/>
  <c r="H74" i="4"/>
  <c r="H70" i="4"/>
  <c r="D74" i="4"/>
  <c r="G280" i="4"/>
  <c r="G281" i="4" s="1"/>
  <c r="G109" i="4" s="1"/>
  <c r="C369" i="4"/>
  <c r="BA137" i="1"/>
  <c r="I74" i="4"/>
  <c r="H279" i="4"/>
  <c r="J48" i="31"/>
  <c r="F75" i="4"/>
  <c r="E372" i="4"/>
  <c r="E373" i="4" s="1"/>
  <c r="E160" i="4" s="1"/>
  <c r="H24" i="35"/>
  <c r="C6" i="4"/>
  <c r="H43" i="1"/>
  <c r="BA204" i="1"/>
  <c r="D71" i="4"/>
  <c r="D281" i="4"/>
  <c r="D109" i="4" s="1"/>
  <c r="D372" i="4"/>
  <c r="D373" i="4" s="1"/>
  <c r="D160" i="4" s="1"/>
  <c r="I69" i="4"/>
  <c r="F165" i="4"/>
  <c r="C278" i="4"/>
  <c r="C279" i="4" s="1"/>
  <c r="CN227" i="1" l="1"/>
  <c r="AK227" i="1"/>
  <c r="E118" i="4"/>
  <c r="C114" i="4"/>
  <c r="CQ227" i="1"/>
  <c r="BC216" i="1"/>
  <c r="BE216" i="1"/>
  <c r="BE217" i="1" s="1"/>
  <c r="BE228" i="1" s="1"/>
  <c r="BE253" i="1" s="1"/>
  <c r="W217" i="1"/>
  <c r="W228" i="1" s="1"/>
  <c r="W253" i="1" s="1"/>
  <c r="W254" i="1" s="1"/>
  <c r="BF216" i="1"/>
  <c r="BF217" i="1" s="1"/>
  <c r="BF228" i="1" s="1"/>
  <c r="BF253" i="1" s="1"/>
  <c r="BB216" i="1"/>
  <c r="BB217" i="1" s="1"/>
  <c r="BB228" i="1" s="1"/>
  <c r="BB253" i="1" s="1"/>
  <c r="AM216" i="1"/>
  <c r="AM217" i="1" s="1"/>
  <c r="AM228" i="1" s="1"/>
  <c r="AM253" i="1" s="1"/>
  <c r="AS227" i="1"/>
  <c r="BD216" i="1"/>
  <c r="AI216" i="1"/>
  <c r="L216" i="1"/>
  <c r="H58" i="31" s="1"/>
  <c r="I216" i="1"/>
  <c r="E58" i="31" s="1"/>
  <c r="AU216" i="1"/>
  <c r="J216" i="1"/>
  <c r="F58" i="31" s="1"/>
  <c r="M216" i="1"/>
  <c r="I58" i="31" s="1"/>
  <c r="AL216" i="1"/>
  <c r="N216" i="1"/>
  <c r="AY215" i="1"/>
  <c r="AY217" i="1" s="1"/>
  <c r="AY228" i="1" s="1"/>
  <c r="AY253" i="1" s="1"/>
  <c r="AU215" i="1"/>
  <c r="E69" i="31"/>
  <c r="H137" i="1"/>
  <c r="CO227" i="1"/>
  <c r="CM227" i="1"/>
  <c r="J159" i="31"/>
  <c r="CR227" i="1"/>
  <c r="BG217" i="1"/>
  <c r="BG228" i="1" s="1"/>
  <c r="BG253" i="1" s="1"/>
  <c r="K216" i="1"/>
  <c r="G58" i="31" s="1"/>
  <c r="AK137" i="1"/>
  <c r="AV216" i="1"/>
  <c r="AX216" i="1"/>
  <c r="AW216" i="1"/>
  <c r="AT216" i="1"/>
  <c r="BA227" i="1"/>
  <c r="BC217" i="1"/>
  <c r="BC228" i="1" s="1"/>
  <c r="BC253" i="1" s="1"/>
  <c r="I215" i="1"/>
  <c r="K215" i="1"/>
  <c r="G57" i="31" s="1"/>
  <c r="L215" i="1"/>
  <c r="H57" i="31" s="1"/>
  <c r="H59" i="31" s="1"/>
  <c r="H70" i="31" s="1"/>
  <c r="H87" i="31" s="1"/>
  <c r="M215" i="1"/>
  <c r="I57" i="31" s="1"/>
  <c r="AW215" i="1"/>
  <c r="AT215" i="1"/>
  <c r="AV215" i="1"/>
  <c r="AX215" i="1"/>
  <c r="AL215" i="1"/>
  <c r="R217" i="1"/>
  <c r="R228" i="1" s="1"/>
  <c r="AI215" i="1"/>
  <c r="N215" i="1"/>
  <c r="M116" i="1"/>
  <c r="C340" i="4"/>
  <c r="T18" i="3"/>
  <c r="W18" i="3"/>
  <c r="J116" i="1"/>
  <c r="H227" i="1"/>
  <c r="J69" i="31"/>
  <c r="H89" i="1"/>
  <c r="S18" i="3" s="1"/>
  <c r="V18" i="3"/>
  <c r="F61" i="4"/>
  <c r="F60" i="4" s="1"/>
  <c r="D61" i="4"/>
  <c r="D60" i="4" s="1"/>
  <c r="E61" i="4"/>
  <c r="E60" i="4" s="1"/>
  <c r="H61" i="4"/>
  <c r="H60" i="4" s="1"/>
  <c r="I61" i="4"/>
  <c r="I60" i="4" s="1"/>
  <c r="CL194" i="1"/>
  <c r="CL180" i="1"/>
  <c r="BA215" i="1"/>
  <c r="I95" i="4"/>
  <c r="I96" i="4" s="1"/>
  <c r="I97" i="4" s="1"/>
  <c r="I149" i="4" s="1"/>
  <c r="CL204" i="1"/>
  <c r="E169" i="4"/>
  <c r="F95" i="4"/>
  <c r="F96" i="4" s="1"/>
  <c r="F97" i="4" s="1"/>
  <c r="E134" i="4"/>
  <c r="C165" i="4"/>
  <c r="E95" i="4"/>
  <c r="E96" i="4" s="1"/>
  <c r="E97" i="4" s="1"/>
  <c r="H95" i="4"/>
  <c r="H96" i="4" s="1"/>
  <c r="H97" i="4" s="1"/>
  <c r="H149" i="4" s="1"/>
  <c r="C371" i="4"/>
  <c r="H371" i="4"/>
  <c r="H280" i="4"/>
  <c r="H281" i="4" s="1"/>
  <c r="H109" i="4" s="1"/>
  <c r="D95" i="4"/>
  <c r="D96" i="4" s="1"/>
  <c r="D97" i="4" s="1"/>
  <c r="G95" i="4"/>
  <c r="G96" i="4" s="1"/>
  <c r="G97" i="4" s="1"/>
  <c r="G372" i="4"/>
  <c r="G373" i="4" s="1"/>
  <c r="G160" i="4" s="1"/>
  <c r="F125" i="4"/>
  <c r="G125" i="4"/>
  <c r="G118" i="4"/>
  <c r="D169" i="4"/>
  <c r="D125" i="4"/>
  <c r="D118" i="4"/>
  <c r="F57" i="31"/>
  <c r="J217" i="1" l="1"/>
  <c r="J228" i="1" s="1"/>
  <c r="E31" i="4" s="1"/>
  <c r="F59" i="31"/>
  <c r="F70" i="31" s="1"/>
  <c r="F87" i="31" s="1"/>
  <c r="BA216" i="1"/>
  <c r="BD217" i="1"/>
  <c r="BD228" i="1" s="1"/>
  <c r="BD253" i="1" s="1"/>
  <c r="I59" i="31"/>
  <c r="I70" i="31" s="1"/>
  <c r="I87" i="31" s="1"/>
  <c r="I217" i="1"/>
  <c r="I228" i="1" s="1"/>
  <c r="D31" i="4" s="1"/>
  <c r="N217" i="1"/>
  <c r="N228" i="1" s="1"/>
  <c r="N253" i="1" s="1"/>
  <c r="AK216" i="1"/>
  <c r="AU217" i="1"/>
  <c r="AU228" i="1" s="1"/>
  <c r="AU253" i="1" s="1"/>
  <c r="AL217" i="1"/>
  <c r="AL228" i="1" s="1"/>
  <c r="AL253" i="1" s="1"/>
  <c r="AT217" i="1"/>
  <c r="AT228" i="1" s="1"/>
  <c r="AT253" i="1" s="1"/>
  <c r="M217" i="1"/>
  <c r="M228" i="1" s="1"/>
  <c r="H31" i="4" s="1"/>
  <c r="H216" i="1"/>
  <c r="BR227" i="1"/>
  <c r="CF227" i="1" s="1"/>
  <c r="CF216" i="1" s="1"/>
  <c r="G59" i="31"/>
  <c r="G70" i="31" s="1"/>
  <c r="G87" i="31" s="1"/>
  <c r="J58" i="31"/>
  <c r="AV217" i="1"/>
  <c r="AV228" i="1" s="1"/>
  <c r="AV253" i="1" s="1"/>
  <c r="E57" i="31"/>
  <c r="J57" i="31" s="1"/>
  <c r="K217" i="1"/>
  <c r="K228" i="1" s="1"/>
  <c r="F31" i="4" s="1"/>
  <c r="AX217" i="1"/>
  <c r="AX228" i="1" s="1"/>
  <c r="AX253" i="1" s="1"/>
  <c r="AW217" i="1"/>
  <c r="AW228" i="1" s="1"/>
  <c r="AW253" i="1" s="1"/>
  <c r="L217" i="1"/>
  <c r="L228" i="1" s="1"/>
  <c r="G31" i="4" s="1"/>
  <c r="AS216" i="1"/>
  <c r="H215" i="1"/>
  <c r="AS215" i="1"/>
  <c r="AI217" i="1"/>
  <c r="AK215" i="1"/>
  <c r="T24" i="3"/>
  <c r="H116" i="1"/>
  <c r="C61" i="4"/>
  <c r="BA217" i="1"/>
  <c r="BA228" i="1" s="1"/>
  <c r="BA253" i="1" s="1"/>
  <c r="I341" i="4"/>
  <c r="I342" i="4" s="1"/>
  <c r="I144" i="4" s="1"/>
  <c r="W24" i="3"/>
  <c r="H125" i="4"/>
  <c r="C125" i="4" s="1"/>
  <c r="H118" i="4"/>
  <c r="C109" i="4"/>
  <c r="G169" i="4"/>
  <c r="H372" i="4"/>
  <c r="C372" i="4" s="1"/>
  <c r="AI228" i="1"/>
  <c r="R253" i="1"/>
  <c r="G134" i="4"/>
  <c r="X24" i="3"/>
  <c r="H341" i="4"/>
  <c r="H342" i="4" s="1"/>
  <c r="H144" i="4" s="1"/>
  <c r="G149" i="4"/>
  <c r="G341" i="4"/>
  <c r="G342" i="4" s="1"/>
  <c r="G144" i="4" s="1"/>
  <c r="E149" i="4"/>
  <c r="E341" i="4"/>
  <c r="E342" i="4" s="1"/>
  <c r="E144" i="4" s="1"/>
  <c r="F149" i="4"/>
  <c r="F341" i="4"/>
  <c r="F342" i="4" s="1"/>
  <c r="F144" i="4" s="1"/>
  <c r="C280" i="4"/>
  <c r="C281" i="4" s="1"/>
  <c r="D134" i="4"/>
  <c r="U24" i="3"/>
  <c r="V24" i="3"/>
  <c r="D149" i="4"/>
  <c r="D341" i="4"/>
  <c r="I31" i="4" l="1"/>
  <c r="I253" i="1"/>
  <c r="I254" i="1" s="1"/>
  <c r="J253" i="1"/>
  <c r="J254" i="1" s="1"/>
  <c r="AK217" i="1"/>
  <c r="AK228" i="1" s="1"/>
  <c r="AK253" i="1" s="1"/>
  <c r="M253" i="1"/>
  <c r="M254" i="1" s="1"/>
  <c r="E59" i="31"/>
  <c r="E70" i="31" s="1"/>
  <c r="E87" i="31" s="1"/>
  <c r="BZ227" i="1"/>
  <c r="BZ215" i="1" s="1"/>
  <c r="BX227" i="1"/>
  <c r="BX215" i="1" s="1"/>
  <c r="BV227" i="1"/>
  <c r="BV215" i="1" s="1"/>
  <c r="BT227" i="1"/>
  <c r="BT215" i="1" s="1"/>
  <c r="CD227" i="1"/>
  <c r="CD216" i="1" s="1"/>
  <c r="CF215" i="1"/>
  <c r="BY227" i="1"/>
  <c r="BY216" i="1" s="1"/>
  <c r="CB227" i="1"/>
  <c r="CB215" i="1" s="1"/>
  <c r="CC227" i="1"/>
  <c r="CC215" i="1" s="1"/>
  <c r="CE227" i="1"/>
  <c r="CE215" i="1" s="1"/>
  <c r="K253" i="1"/>
  <c r="K254" i="1" s="1"/>
  <c r="CA227" i="1"/>
  <c r="CA215" i="1" s="1"/>
  <c r="BU227" i="1"/>
  <c r="BU216" i="1" s="1"/>
  <c r="CI227" i="1"/>
  <c r="CI216" i="1" s="1"/>
  <c r="BW227" i="1"/>
  <c r="BW215" i="1" s="1"/>
  <c r="CG227" i="1"/>
  <c r="CG216" i="1" s="1"/>
  <c r="BS227" i="1"/>
  <c r="BS215" i="1" s="1"/>
  <c r="CH227" i="1"/>
  <c r="CH215" i="1" s="1"/>
  <c r="J59" i="31"/>
  <c r="J70" i="31" s="1"/>
  <c r="J87" i="31" s="1"/>
  <c r="L253" i="1"/>
  <c r="L254" i="1" s="1"/>
  <c r="AS217" i="1"/>
  <c r="AS228" i="1" s="1"/>
  <c r="AS253" i="1" s="1"/>
  <c r="H217" i="1"/>
  <c r="H228" i="1" s="1"/>
  <c r="H253" i="1" s="1"/>
  <c r="S24" i="3"/>
  <c r="H373" i="4"/>
  <c r="H160" i="4" s="1"/>
  <c r="H169" i="4" s="1"/>
  <c r="E153" i="4"/>
  <c r="H153" i="4"/>
  <c r="C118" i="4"/>
  <c r="AI253" i="1"/>
  <c r="R254" i="1"/>
  <c r="AI254" i="1" s="1"/>
  <c r="H134" i="4"/>
  <c r="C134" i="4"/>
  <c r="C341" i="4"/>
  <c r="D342" i="4"/>
  <c r="D144" i="4" s="1"/>
  <c r="C149" i="4"/>
  <c r="N254" i="1"/>
  <c r="G153" i="4"/>
  <c r="BZ216" i="1" l="1"/>
  <c r="CC216" i="1"/>
  <c r="BX216" i="1"/>
  <c r="CA216" i="1"/>
  <c r="BU215" i="1"/>
  <c r="C31" i="4"/>
  <c r="BT216" i="1"/>
  <c r="CD215" i="1"/>
  <c r="BY215" i="1"/>
  <c r="BW216" i="1"/>
  <c r="CI215" i="1"/>
  <c r="CG215" i="1"/>
  <c r="CB216" i="1"/>
  <c r="BS216" i="1"/>
  <c r="CE216" i="1"/>
  <c r="CH216" i="1"/>
  <c r="CL227" i="1"/>
  <c r="BV216" i="1"/>
  <c r="C160" i="4"/>
  <c r="C169" i="4" s="1"/>
  <c r="C373" i="4"/>
  <c r="C342" i="4"/>
  <c r="D153" i="4"/>
  <c r="C144" i="4"/>
  <c r="H254" i="1"/>
  <c r="CR215" i="1" l="1"/>
  <c r="CN216" i="1"/>
  <c r="CO215" i="1"/>
  <c r="CQ215" i="1"/>
  <c r="CP215" i="1"/>
  <c r="CM215" i="1"/>
  <c r="CN215" i="1"/>
  <c r="CL215" i="1"/>
  <c r="CQ216" i="1"/>
  <c r="CM216" i="1"/>
  <c r="CP216" i="1"/>
  <c r="CO216" i="1"/>
  <c r="CR216" i="1"/>
  <c r="CL216" i="1"/>
  <c r="C153" i="4"/>
  <c r="CN217" i="1" l="1"/>
  <c r="CN228" i="1" s="1"/>
  <c r="CN253" i="1" s="1"/>
  <c r="CN254" i="1" s="1"/>
  <c r="U19" i="3" s="1"/>
  <c r="CO217" i="1"/>
  <c r="CO228" i="1" s="1"/>
  <c r="CO253" i="1" s="1"/>
  <c r="CO254" i="1" s="1"/>
  <c r="V20" i="3" s="1"/>
  <c r="CR217" i="1"/>
  <c r="CR228" i="1" s="1"/>
  <c r="CR253" i="1" s="1"/>
  <c r="CR254" i="1" s="1"/>
  <c r="CP217" i="1"/>
  <c r="CP228" i="1" s="1"/>
  <c r="CP253" i="1" s="1"/>
  <c r="CP254" i="1" s="1"/>
  <c r="W20" i="3" s="1"/>
  <c r="CQ217" i="1"/>
  <c r="CQ228" i="1" s="1"/>
  <c r="CQ253" i="1" s="1"/>
  <c r="CQ254" i="1" s="1"/>
  <c r="X20" i="3" s="1"/>
  <c r="CM217" i="1"/>
  <c r="CM228" i="1" s="1"/>
  <c r="CM253" i="1" s="1"/>
  <c r="CM254" i="1" s="1"/>
  <c r="T20" i="3" s="1"/>
  <c r="U20" i="3" l="1"/>
  <c r="V19" i="3"/>
  <c r="BR217" i="1"/>
  <c r="BR228" i="1" s="1"/>
  <c r="W19" i="3"/>
  <c r="X19" i="3"/>
  <c r="CL254" i="1"/>
  <c r="S19" i="3" s="1"/>
  <c r="T19" i="3"/>
  <c r="CL253" i="1"/>
  <c r="BW217" i="1" l="1"/>
  <c r="BW228" i="1" s="1"/>
  <c r="BW253" i="1" s="1"/>
  <c r="CH217" i="1"/>
  <c r="CH228" i="1" s="1"/>
  <c r="CH253" i="1" s="1"/>
  <c r="CC217" i="1"/>
  <c r="CC228" i="1" s="1"/>
  <c r="CC253" i="1" s="1"/>
  <c r="BT217" i="1"/>
  <c r="BT228" i="1" s="1"/>
  <c r="CE217" i="1"/>
  <c r="CE228" i="1" s="1"/>
  <c r="CF217" i="1"/>
  <c r="CF228" i="1" s="1"/>
  <c r="CF253" i="1" s="1"/>
  <c r="BZ217" i="1"/>
  <c r="BZ228" i="1" s="1"/>
  <c r="BZ253" i="1" s="1"/>
  <c r="BU217" i="1"/>
  <c r="BU228" i="1" s="1"/>
  <c r="BU253" i="1" s="1"/>
  <c r="BY217" i="1"/>
  <c r="BY228" i="1" s="1"/>
  <c r="BY253" i="1" s="1"/>
  <c r="BS217" i="1"/>
  <c r="BS228" i="1" s="1"/>
  <c r="BS253" i="1" s="1"/>
  <c r="CD217" i="1"/>
  <c r="CD228" i="1" s="1"/>
  <c r="CD253" i="1" s="1"/>
  <c r="CB217" i="1"/>
  <c r="CB228" i="1" s="1"/>
  <c r="CA217" i="1"/>
  <c r="CA228" i="1" s="1"/>
  <c r="CA253" i="1" s="1"/>
  <c r="BX217" i="1"/>
  <c r="BX228" i="1" s="1"/>
  <c r="BX253" i="1" s="1"/>
  <c r="CI217" i="1"/>
  <c r="CI228" i="1" s="1"/>
  <c r="CI253" i="1" s="1"/>
  <c r="BR253" i="1"/>
  <c r="CR347" i="1" s="1"/>
  <c r="S20" i="3"/>
  <c r="U26" i="3" s="1"/>
  <c r="CE253" i="1"/>
  <c r="BT253" i="1"/>
  <c r="CB253" i="1"/>
  <c r="BV217" i="1"/>
  <c r="BV228" i="1" s="1"/>
  <c r="BV253" i="1" s="1"/>
  <c r="CG217" i="1"/>
  <c r="CG228" i="1" s="1"/>
  <c r="CG253" i="1" s="1"/>
  <c r="X25" i="3"/>
  <c r="V25" i="3"/>
  <c r="W25" i="3"/>
  <c r="T25" i="3"/>
  <c r="U25" i="3"/>
  <c r="CM347" i="1" l="1"/>
  <c r="CN347" i="1"/>
  <c r="CO347" i="1"/>
  <c r="CP347" i="1"/>
  <c r="CQ347" i="1"/>
  <c r="T26" i="3"/>
  <c r="T29" i="3" s="1"/>
  <c r="U29" i="3"/>
  <c r="U31" i="3" s="1"/>
  <c r="X26" i="3"/>
  <c r="X29" i="3" s="1"/>
  <c r="X31" i="3" s="1"/>
  <c r="W26" i="3"/>
  <c r="W29" i="3" s="1"/>
  <c r="W31" i="3" s="1"/>
  <c r="V26" i="3"/>
  <c r="V29" i="3" s="1"/>
  <c r="V31" i="3" s="1"/>
  <c r="BR254" i="1"/>
  <c r="CH254" i="1" s="1"/>
  <c r="BR344" i="1"/>
  <c r="CL228" i="1"/>
  <c r="CL217" i="1"/>
  <c r="S25" i="3"/>
  <c r="CL347" i="1" l="1"/>
  <c r="S26" i="3"/>
  <c r="CM256" i="1"/>
  <c r="CF254" i="1"/>
  <c r="CC254" i="1"/>
  <c r="CA254" i="1"/>
  <c r="CD254" i="1"/>
  <c r="CB254" i="1"/>
  <c r="CI254" i="1"/>
  <c r="BT254" i="1"/>
  <c r="BY254" i="1"/>
  <c r="BV254" i="1"/>
  <c r="CE254" i="1"/>
  <c r="BZ254" i="1"/>
  <c r="BS254" i="1"/>
  <c r="CG254" i="1"/>
  <c r="BW254" i="1"/>
  <c r="E255" i="1"/>
  <c r="BX254" i="1"/>
  <c r="BU254" i="1"/>
  <c r="T31" i="3"/>
  <c r="S31" i="3" s="1"/>
  <c r="S29" i="3"/>
  <c r="V255" i="1" l="1"/>
  <c r="V259" i="1" s="1"/>
  <c r="S255" i="1"/>
  <c r="S46" i="1" s="1"/>
  <c r="AA255" i="1"/>
  <c r="W255" i="1"/>
  <c r="W49" i="1" s="1"/>
  <c r="X255" i="1"/>
  <c r="X46" i="1" s="1"/>
  <c r="AE255" i="1"/>
  <c r="AE101" i="1" s="1"/>
  <c r="R255" i="1"/>
  <c r="R108" i="1" s="1"/>
  <c r="Z255" i="1"/>
  <c r="Z93" i="1" s="1"/>
  <c r="AF255" i="1"/>
  <c r="AF54" i="1" s="1"/>
  <c r="AF392" i="1" s="1"/>
  <c r="AG255" i="1"/>
  <c r="AG53" i="1" s="1"/>
  <c r="AG391" i="1" s="1"/>
  <c r="AD255" i="1"/>
  <c r="Y255" i="1"/>
  <c r="Y98" i="1" s="1"/>
  <c r="U255" i="1"/>
  <c r="U99" i="1" s="1"/>
  <c r="AB255" i="1"/>
  <c r="AB98" i="1" s="1"/>
  <c r="AH255" i="1"/>
  <c r="AH259" i="1" s="1"/>
  <c r="T255" i="1"/>
  <c r="T11" i="1" s="1"/>
  <c r="AC255" i="1"/>
  <c r="AC50" i="1" s="1"/>
  <c r="AC388" i="1" s="1"/>
  <c r="AG46" i="1"/>
  <c r="AA46" i="1"/>
  <c r="AA11" i="1"/>
  <c r="AA259" i="1"/>
  <c r="AA100" i="1"/>
  <c r="AA101" i="1"/>
  <c r="AA50" i="1"/>
  <c r="AA388" i="1" s="1"/>
  <c r="AA55" i="1"/>
  <c r="AA52" i="1"/>
  <c r="AA390" i="1" s="1"/>
  <c r="AA96" i="1"/>
  <c r="AA47" i="1"/>
  <c r="AA385" i="1" s="1"/>
  <c r="AA12" i="1"/>
  <c r="AA98" i="1"/>
  <c r="AA95" i="1"/>
  <c r="AA107" i="1"/>
  <c r="AA53" i="1"/>
  <c r="AA391" i="1" s="1"/>
  <c r="AA93" i="1"/>
  <c r="AA94" i="1"/>
  <c r="AA49" i="1"/>
  <c r="AA387" i="1" s="1"/>
  <c r="AA48" i="1"/>
  <c r="AA386" i="1" s="1"/>
  <c r="AA51" i="1"/>
  <c r="AA389" i="1" s="1"/>
  <c r="AA97" i="1"/>
  <c r="AA108" i="1"/>
  <c r="AA54" i="1"/>
  <c r="AA392" i="1" s="1"/>
  <c r="AA92" i="1"/>
  <c r="AA99" i="1"/>
  <c r="AF100" i="1"/>
  <c r="AD46" i="1"/>
  <c r="AD11" i="1"/>
  <c r="AD108" i="1"/>
  <c r="AD52" i="1"/>
  <c r="AD390" i="1" s="1"/>
  <c r="AD100" i="1"/>
  <c r="AD96" i="1"/>
  <c r="AD54" i="1"/>
  <c r="AD392" i="1" s="1"/>
  <c r="AD53" i="1"/>
  <c r="AD391" i="1" s="1"/>
  <c r="AD99" i="1"/>
  <c r="AD101" i="1"/>
  <c r="AD259" i="1"/>
  <c r="AD95" i="1"/>
  <c r="AD98" i="1"/>
  <c r="AD51" i="1"/>
  <c r="AD389" i="1" s="1"/>
  <c r="AD97" i="1"/>
  <c r="AD93" i="1"/>
  <c r="AD92" i="1"/>
  <c r="AD47" i="1"/>
  <c r="AD385" i="1" s="1"/>
  <c r="AD94" i="1"/>
  <c r="AD12" i="1"/>
  <c r="AD107" i="1"/>
  <c r="AD55" i="1"/>
  <c r="AD48" i="1"/>
  <c r="AD386" i="1" s="1"/>
  <c r="AD50" i="1"/>
  <c r="AD388" i="1" s="1"/>
  <c r="AD49" i="1"/>
  <c r="AD387" i="1" s="1"/>
  <c r="AC95" i="1"/>
  <c r="W48" i="1"/>
  <c r="W107" i="1"/>
  <c r="W95" i="1"/>
  <c r="W54" i="1"/>
  <c r="W47" i="1"/>
  <c r="W108" i="1"/>
  <c r="W101" i="1"/>
  <c r="W12" i="1"/>
  <c r="W92" i="1"/>
  <c r="W53" i="1"/>
  <c r="W98" i="1"/>
  <c r="W46" i="1"/>
  <c r="W96" i="1"/>
  <c r="W97" i="1"/>
  <c r="W55" i="1"/>
  <c r="S93" i="1" l="1"/>
  <c r="S50" i="1"/>
  <c r="S388" i="1" s="1"/>
  <c r="X54" i="1"/>
  <c r="X392" i="1" s="1"/>
  <c r="AC54" i="1"/>
  <c r="AC392" i="1" s="1"/>
  <c r="AF92" i="1"/>
  <c r="Y12" i="1"/>
  <c r="AC51" i="1"/>
  <c r="AC389" i="1" s="1"/>
  <c r="AF53" i="1"/>
  <c r="AF391" i="1" s="1"/>
  <c r="V53" i="1"/>
  <c r="V391" i="1" s="1"/>
  <c r="AF97" i="1"/>
  <c r="V49" i="1"/>
  <c r="V387" i="1" s="1"/>
  <c r="W52" i="1"/>
  <c r="W93" i="1"/>
  <c r="W100" i="1"/>
  <c r="AC52" i="1"/>
  <c r="AC390" i="1" s="1"/>
  <c r="AF11" i="1"/>
  <c r="AF399" i="1" s="1"/>
  <c r="V55" i="1"/>
  <c r="AC46" i="1"/>
  <c r="AC383" i="1" s="1"/>
  <c r="W11" i="1"/>
  <c r="W13" i="1" s="1"/>
  <c r="W99" i="1"/>
  <c r="V101" i="1"/>
  <c r="AC55" i="1"/>
  <c r="V100" i="1"/>
  <c r="W50" i="1"/>
  <c r="W94" i="1"/>
  <c r="W259" i="1"/>
  <c r="W301" i="1" s="1"/>
  <c r="W51" i="1"/>
  <c r="W389" i="1" s="1"/>
  <c r="AC97" i="1"/>
  <c r="AF47" i="1"/>
  <c r="AF385" i="1" s="1"/>
  <c r="Y47" i="1"/>
  <c r="Y385" i="1" s="1"/>
  <c r="Y48" i="1"/>
  <c r="Y386" i="1" s="1"/>
  <c r="Y54" i="1"/>
  <c r="Y392" i="1" s="1"/>
  <c r="Y52" i="1"/>
  <c r="Y390" i="1" s="1"/>
  <c r="V11" i="1"/>
  <c r="V399" i="1" s="1"/>
  <c r="Y96" i="1"/>
  <c r="Y95" i="1"/>
  <c r="Y11" i="1"/>
  <c r="Y402" i="1" s="1"/>
  <c r="Y53" i="1"/>
  <c r="Y391" i="1" s="1"/>
  <c r="Y99" i="1"/>
  <c r="Y93" i="1"/>
  <c r="Y107" i="1"/>
  <c r="AC53" i="1"/>
  <c r="AC391" i="1" s="1"/>
  <c r="AC48" i="1"/>
  <c r="AC386" i="1" s="1"/>
  <c r="AC259" i="1"/>
  <c r="CD259" i="1" s="1"/>
  <c r="AF93" i="1"/>
  <c r="AF52" i="1"/>
  <c r="AF390" i="1" s="1"/>
  <c r="AF259" i="1"/>
  <c r="AF287" i="1" s="1"/>
  <c r="CG287" i="1" s="1"/>
  <c r="X51" i="1"/>
  <c r="X389" i="1" s="1"/>
  <c r="V92" i="1"/>
  <c r="V54" i="1"/>
  <c r="V392" i="1" s="1"/>
  <c r="V98" i="1"/>
  <c r="AC12" i="1"/>
  <c r="AC11" i="1"/>
  <c r="AC399" i="1" s="1"/>
  <c r="AC101" i="1"/>
  <c r="AF108" i="1"/>
  <c r="AF95" i="1"/>
  <c r="AF49" i="1"/>
  <c r="AF387" i="1" s="1"/>
  <c r="AF46" i="1"/>
  <c r="AF384" i="1" s="1"/>
  <c r="X97" i="1"/>
  <c r="V48" i="1"/>
  <c r="V386" i="1" s="1"/>
  <c r="V94" i="1"/>
  <c r="V99" i="1"/>
  <c r="AC47" i="1"/>
  <c r="AC385" i="1" s="1"/>
  <c r="AC96" i="1"/>
  <c r="AC93" i="1"/>
  <c r="AF99" i="1"/>
  <c r="AF51" i="1"/>
  <c r="AF389" i="1" s="1"/>
  <c r="AF55" i="1"/>
  <c r="V52" i="1"/>
  <c r="V390" i="1" s="1"/>
  <c r="V51" i="1"/>
  <c r="V389" i="1" s="1"/>
  <c r="V97" i="1"/>
  <c r="AC99" i="1"/>
  <c r="AC98" i="1"/>
  <c r="AC107" i="1"/>
  <c r="AF94" i="1"/>
  <c r="AF101" i="1"/>
  <c r="AF107" i="1"/>
  <c r="V95" i="1"/>
  <c r="V93" i="1"/>
  <c r="V46" i="1"/>
  <c r="V383" i="1" s="1"/>
  <c r="AC49" i="1"/>
  <c r="AC387" i="1" s="1"/>
  <c r="AC94" i="1"/>
  <c r="AC100" i="1"/>
  <c r="AF12" i="1"/>
  <c r="AF96" i="1"/>
  <c r="AF98" i="1"/>
  <c r="X96" i="1"/>
  <c r="V96" i="1"/>
  <c r="V108" i="1"/>
  <c r="V107" i="1"/>
  <c r="AC92" i="1"/>
  <c r="AC108" i="1"/>
  <c r="AF50" i="1"/>
  <c r="AF388" i="1" s="1"/>
  <c r="AF48" i="1"/>
  <c r="AF386" i="1" s="1"/>
  <c r="X94" i="1"/>
  <c r="V47" i="1"/>
  <c r="V385" i="1" s="1"/>
  <c r="V50" i="1"/>
  <c r="V388" i="1" s="1"/>
  <c r="V12" i="1"/>
  <c r="V13" i="1" s="1"/>
  <c r="Y46" i="1"/>
  <c r="Y384" i="1" s="1"/>
  <c r="X12" i="1"/>
  <c r="X11" i="1"/>
  <c r="X399" i="1" s="1"/>
  <c r="X49" i="1"/>
  <c r="X387" i="1" s="1"/>
  <c r="X100" i="1"/>
  <c r="X93" i="1"/>
  <c r="AM93" i="1" s="1"/>
  <c r="X101" i="1"/>
  <c r="X50" i="1"/>
  <c r="X388" i="1" s="1"/>
  <c r="X259" i="1"/>
  <c r="X336" i="1" s="1"/>
  <c r="BY336" i="1" s="1"/>
  <c r="Y108" i="1"/>
  <c r="U52" i="1"/>
  <c r="U390" i="1" s="1"/>
  <c r="X55" i="1"/>
  <c r="X53" i="1"/>
  <c r="X391" i="1" s="1"/>
  <c r="X107" i="1"/>
  <c r="U101" i="1"/>
  <c r="X99" i="1"/>
  <c r="X92" i="1"/>
  <c r="U49" i="1"/>
  <c r="U387" i="1" s="1"/>
  <c r="U95" i="1"/>
  <c r="X48" i="1"/>
  <c r="X386" i="1" s="1"/>
  <c r="X52" i="1"/>
  <c r="X390" i="1" s="1"/>
  <c r="X47" i="1"/>
  <c r="X385" i="1" s="1"/>
  <c r="X108" i="1"/>
  <c r="U92" i="1"/>
  <c r="X95" i="1"/>
  <c r="X98" i="1"/>
  <c r="U12" i="1"/>
  <c r="U94" i="1"/>
  <c r="U98" i="1"/>
  <c r="U53" i="1"/>
  <c r="U391" i="1" s="1"/>
  <c r="U96" i="1"/>
  <c r="AH47" i="1"/>
  <c r="AO47" i="1" s="1"/>
  <c r="S108" i="1"/>
  <c r="S96" i="1"/>
  <c r="S98" i="1"/>
  <c r="S259" i="1"/>
  <c r="S287" i="1" s="1"/>
  <c r="BT287" i="1" s="1"/>
  <c r="R46" i="1"/>
  <c r="R383" i="1" s="1"/>
  <c r="AH94" i="1"/>
  <c r="AO94" i="1" s="1"/>
  <c r="R93" i="1"/>
  <c r="AH50" i="1"/>
  <c r="AH388" i="1" s="1"/>
  <c r="AO388" i="1" s="1"/>
  <c r="R259" i="1"/>
  <c r="BS259" i="1" s="1"/>
  <c r="R50" i="1"/>
  <c r="R388" i="1" s="1"/>
  <c r="R92" i="1"/>
  <c r="AH46" i="1"/>
  <c r="AH383" i="1" s="1"/>
  <c r="R48" i="1"/>
  <c r="R386" i="1" s="1"/>
  <c r="AH280" i="1"/>
  <c r="AO280" i="1" s="1"/>
  <c r="R11" i="1"/>
  <c r="R399" i="1" s="1"/>
  <c r="AH93" i="1"/>
  <c r="AO93" i="1" s="1"/>
  <c r="U54" i="1"/>
  <c r="U392" i="1" s="1"/>
  <c r="U107" i="1"/>
  <c r="AE259" i="1"/>
  <c r="AE308" i="1" s="1"/>
  <c r="CF308" i="1" s="1"/>
  <c r="U51" i="1"/>
  <c r="U389" i="1" s="1"/>
  <c r="U97" i="1"/>
  <c r="U50" i="1"/>
  <c r="U388" i="1" s="1"/>
  <c r="AE51" i="1"/>
  <c r="AE389" i="1" s="1"/>
  <c r="Y49" i="1"/>
  <c r="Y387" i="1" s="1"/>
  <c r="Y55" i="1"/>
  <c r="Y92" i="1"/>
  <c r="Y94" i="1"/>
  <c r="Y101" i="1"/>
  <c r="Y259" i="1"/>
  <c r="Y322" i="1" s="1"/>
  <c r="BZ322" i="1" s="1"/>
  <c r="AB53" i="1"/>
  <c r="AB391" i="1" s="1"/>
  <c r="Y50" i="1"/>
  <c r="Y388" i="1" s="1"/>
  <c r="Y97" i="1"/>
  <c r="Y51" i="1"/>
  <c r="Y389" i="1" s="1"/>
  <c r="Y100" i="1"/>
  <c r="R107" i="1"/>
  <c r="R110" i="1" s="1"/>
  <c r="R53" i="1"/>
  <c r="R391" i="1" s="1"/>
  <c r="R49" i="1"/>
  <c r="R387" i="1" s="1"/>
  <c r="AH97" i="1"/>
  <c r="AO97" i="1" s="1"/>
  <c r="AH99" i="1"/>
  <c r="AO99" i="1" s="1"/>
  <c r="AH48" i="1"/>
  <c r="AO48" i="1" s="1"/>
  <c r="AH52" i="1"/>
  <c r="AO52" i="1" s="1"/>
  <c r="R51" i="1"/>
  <c r="R389" i="1" s="1"/>
  <c r="R97" i="1"/>
  <c r="R98" i="1"/>
  <c r="AH260" i="1"/>
  <c r="M260" i="1" s="1"/>
  <c r="AH12" i="1"/>
  <c r="AO12" i="1" s="1"/>
  <c r="AH54" i="1"/>
  <c r="AH392" i="1" s="1"/>
  <c r="AO392" i="1" s="1"/>
  <c r="R95" i="1"/>
  <c r="R100" i="1"/>
  <c r="R101" i="1"/>
  <c r="AH51" i="1"/>
  <c r="AH389" i="1" s="1"/>
  <c r="AO389" i="1" s="1"/>
  <c r="AH98" i="1"/>
  <c r="AO98" i="1" s="1"/>
  <c r="AH11" i="1"/>
  <c r="AO11" i="1" s="1"/>
  <c r="R96" i="1"/>
  <c r="R99" i="1"/>
  <c r="R55" i="1"/>
  <c r="AH95" i="1"/>
  <c r="AO95" i="1" s="1"/>
  <c r="AH100" i="1"/>
  <c r="AO100" i="1" s="1"/>
  <c r="AH53" i="1"/>
  <c r="AH391" i="1" s="1"/>
  <c r="AO391" i="1" s="1"/>
  <c r="R54" i="1"/>
  <c r="R392" i="1" s="1"/>
  <c r="R47" i="1"/>
  <c r="R385" i="1" s="1"/>
  <c r="R94" i="1"/>
  <c r="AH55" i="1"/>
  <c r="AO55" i="1" s="1"/>
  <c r="AH96" i="1"/>
  <c r="AO96" i="1" s="1"/>
  <c r="AH92" i="1"/>
  <c r="AO92" i="1" s="1"/>
  <c r="R12" i="1"/>
  <c r="R52" i="1"/>
  <c r="R390" i="1" s="1"/>
  <c r="AH49" i="1"/>
  <c r="AH387" i="1" s="1"/>
  <c r="AO387" i="1" s="1"/>
  <c r="AH101" i="1"/>
  <c r="AO101" i="1" s="1"/>
  <c r="AE52" i="1"/>
  <c r="AE390" i="1" s="1"/>
  <c r="AE54" i="1"/>
  <c r="AE392" i="1" s="1"/>
  <c r="AB101" i="1"/>
  <c r="AE48" i="1"/>
  <c r="AE386" i="1" s="1"/>
  <c r="AB47" i="1"/>
  <c r="AB385" i="1" s="1"/>
  <c r="AB92" i="1"/>
  <c r="U48" i="1"/>
  <c r="U386" i="1" s="1"/>
  <c r="U46" i="1"/>
  <c r="U11" i="1"/>
  <c r="U399" i="1" s="1"/>
  <c r="U108" i="1"/>
  <c r="U47" i="1"/>
  <c r="U385" i="1" s="1"/>
  <c r="AE107" i="1"/>
  <c r="AE99" i="1"/>
  <c r="AE97" i="1"/>
  <c r="AE100" i="1"/>
  <c r="AB94" i="1"/>
  <c r="AB107" i="1"/>
  <c r="AB99" i="1"/>
  <c r="AE96" i="1"/>
  <c r="AB49" i="1"/>
  <c r="AB387" i="1" s="1"/>
  <c r="AB46" i="1"/>
  <c r="AB384" i="1" s="1"/>
  <c r="AB259" i="1"/>
  <c r="AB280" i="1" s="1"/>
  <c r="AB48" i="1"/>
  <c r="AB11" i="1"/>
  <c r="AB401" i="1" s="1"/>
  <c r="AE46" i="1"/>
  <c r="AB95" i="1"/>
  <c r="AE94" i="1"/>
  <c r="AE95" i="1"/>
  <c r="AE92" i="1"/>
  <c r="AE11" i="1"/>
  <c r="AE401" i="1" s="1"/>
  <c r="AB52" i="1"/>
  <c r="AB97" i="1"/>
  <c r="AB55" i="1"/>
  <c r="U93" i="1"/>
  <c r="U259" i="1"/>
  <c r="U315" i="1" s="1"/>
  <c r="BV315" i="1" s="1"/>
  <c r="AB100" i="1"/>
  <c r="AB93" i="1"/>
  <c r="AB54" i="1"/>
  <c r="AB392" i="1" s="1"/>
  <c r="AE49" i="1"/>
  <c r="AE387" i="1" s="1"/>
  <c r="AE98" i="1"/>
  <c r="AE108" i="1"/>
  <c r="AE93" i="1"/>
  <c r="AB12" i="1"/>
  <c r="AB51" i="1"/>
  <c r="AB389" i="1" s="1"/>
  <c r="AB108" i="1"/>
  <c r="AE50" i="1"/>
  <c r="AE388" i="1" s="1"/>
  <c r="AE55" i="1"/>
  <c r="AE53" i="1"/>
  <c r="AE391" i="1" s="1"/>
  <c r="AE12" i="1"/>
  <c r="AE47" i="1"/>
  <c r="AE385" i="1" s="1"/>
  <c r="AB50" i="1"/>
  <c r="AB388" i="1" s="1"/>
  <c r="AB96" i="1"/>
  <c r="U55" i="1"/>
  <c r="U100" i="1"/>
  <c r="T99" i="1"/>
  <c r="S54" i="1"/>
  <c r="S392" i="1" s="1"/>
  <c r="S53" i="1"/>
  <c r="S391" i="1" s="1"/>
  <c r="S97" i="1"/>
  <c r="S100" i="1"/>
  <c r="S95" i="1"/>
  <c r="S101" i="1"/>
  <c r="T46" i="1"/>
  <c r="T384" i="1" s="1"/>
  <c r="S51" i="1"/>
  <c r="S389" i="1" s="1"/>
  <c r="S52" i="1"/>
  <c r="S390" i="1" s="1"/>
  <c r="S107" i="1"/>
  <c r="T100" i="1"/>
  <c r="S48" i="1"/>
  <c r="S386" i="1" s="1"/>
  <c r="S92" i="1"/>
  <c r="S49" i="1"/>
  <c r="S387" i="1" s="1"/>
  <c r="S47" i="1"/>
  <c r="S385" i="1" s="1"/>
  <c r="S99" i="1"/>
  <c r="S94" i="1"/>
  <c r="S12" i="1"/>
  <c r="S11" i="1"/>
  <c r="S399" i="1" s="1"/>
  <c r="S55" i="1"/>
  <c r="AG48" i="1"/>
  <c r="AG386" i="1" s="1"/>
  <c r="T52" i="1"/>
  <c r="T390" i="1" s="1"/>
  <c r="T12" i="1"/>
  <c r="T13" i="1" s="1"/>
  <c r="T107" i="1"/>
  <c r="T50" i="1"/>
  <c r="T388" i="1" s="1"/>
  <c r="Z55" i="1"/>
  <c r="T101" i="1"/>
  <c r="T51" i="1"/>
  <c r="T389" i="1" s="1"/>
  <c r="T98" i="1"/>
  <c r="T95" i="1"/>
  <c r="Z101" i="1"/>
  <c r="T48" i="1"/>
  <c r="T386" i="1" s="1"/>
  <c r="T54" i="1"/>
  <c r="T392" i="1" s="1"/>
  <c r="T93" i="1"/>
  <c r="T259" i="1"/>
  <c r="T301" i="1" s="1"/>
  <c r="BU301" i="1" s="1"/>
  <c r="T92" i="1"/>
  <c r="T53" i="1"/>
  <c r="T391" i="1" s="1"/>
  <c r="T55" i="1"/>
  <c r="T94" i="1"/>
  <c r="T47" i="1"/>
  <c r="T385" i="1" s="1"/>
  <c r="T108" i="1"/>
  <c r="T49" i="1"/>
  <c r="T387" i="1" s="1"/>
  <c r="T97" i="1"/>
  <c r="T96" i="1"/>
  <c r="Z98" i="1"/>
  <c r="Z92" i="1"/>
  <c r="Z51" i="1"/>
  <c r="Z389" i="1" s="1"/>
  <c r="Z47" i="1"/>
  <c r="Z385" i="1" s="1"/>
  <c r="Z100" i="1"/>
  <c r="Z108" i="1"/>
  <c r="Z48" i="1"/>
  <c r="Z386" i="1" s="1"/>
  <c r="Z97" i="1"/>
  <c r="Z94" i="1"/>
  <c r="Z50" i="1"/>
  <c r="Z388" i="1" s="1"/>
  <c r="Z52" i="1"/>
  <c r="Z390" i="1" s="1"/>
  <c r="Z49" i="1"/>
  <c r="Z387" i="1" s="1"/>
  <c r="Z11" i="1"/>
  <c r="Z99" i="1"/>
  <c r="Z107" i="1"/>
  <c r="Z259" i="1"/>
  <c r="Z46" i="1"/>
  <c r="BG46" i="1" s="1"/>
  <c r="Z95" i="1"/>
  <c r="Z54" i="1"/>
  <c r="Z392" i="1" s="1"/>
  <c r="Z96" i="1"/>
  <c r="Z12" i="1"/>
  <c r="Z53" i="1"/>
  <c r="Z391" i="1" s="1"/>
  <c r="AG95" i="1"/>
  <c r="AG93" i="1"/>
  <c r="AG100" i="1"/>
  <c r="AG11" i="1"/>
  <c r="AG399" i="1" s="1"/>
  <c r="AG12" i="1"/>
  <c r="AG52" i="1"/>
  <c r="AG390" i="1" s="1"/>
  <c r="AG99" i="1"/>
  <c r="AG96" i="1"/>
  <c r="AG280" i="1"/>
  <c r="CH280" i="1" s="1"/>
  <c r="AG49" i="1"/>
  <c r="AG387" i="1" s="1"/>
  <c r="AG47" i="1"/>
  <c r="AG385" i="1" s="1"/>
  <c r="AG51" i="1"/>
  <c r="AG389" i="1" s="1"/>
  <c r="AG55" i="1"/>
  <c r="AG94" i="1"/>
  <c r="AG50" i="1"/>
  <c r="AG388" i="1" s="1"/>
  <c r="AG97" i="1"/>
  <c r="AG259" i="1"/>
  <c r="AG322" i="1" s="1"/>
  <c r="CH322" i="1" s="1"/>
  <c r="AG92" i="1"/>
  <c r="AG101" i="1"/>
  <c r="AG54" i="1"/>
  <c r="AG392" i="1" s="1"/>
  <c r="AG98" i="1"/>
  <c r="AG107" i="1"/>
  <c r="AG110" i="1" s="1"/>
  <c r="AD110" i="1"/>
  <c r="W388" i="1"/>
  <c r="CE259" i="1"/>
  <c r="AD336" i="1"/>
  <c r="CE336" i="1" s="1"/>
  <c r="AD301" i="1"/>
  <c r="CE301" i="1" s="1"/>
  <c r="AD266" i="1"/>
  <c r="CE266" i="1" s="1"/>
  <c r="AD287" i="1"/>
  <c r="CE287" i="1" s="1"/>
  <c r="AD294" i="1"/>
  <c r="CE294" i="1" s="1"/>
  <c r="AD280" i="1"/>
  <c r="CE280" i="1" s="1"/>
  <c r="AD329" i="1"/>
  <c r="CE329" i="1" s="1"/>
  <c r="AD273" i="1"/>
  <c r="CE273" i="1" s="1"/>
  <c r="AD315" i="1"/>
  <c r="CE315" i="1" s="1"/>
  <c r="AD308" i="1"/>
  <c r="CE308" i="1" s="1"/>
  <c r="AD322" i="1"/>
  <c r="CE322" i="1" s="1"/>
  <c r="T399" i="1"/>
  <c r="T402" i="1"/>
  <c r="T401" i="1"/>
  <c r="AA13" i="1"/>
  <c r="AA399" i="1"/>
  <c r="AA401" i="1"/>
  <c r="AA402" i="1"/>
  <c r="X384" i="1"/>
  <c r="X383" i="1"/>
  <c r="W387" i="1"/>
  <c r="AC384" i="1"/>
  <c r="AD13" i="1"/>
  <c r="AD399" i="1"/>
  <c r="AD402" i="1"/>
  <c r="AD401" i="1"/>
  <c r="AA56" i="1"/>
  <c r="AA384" i="1"/>
  <c r="AA383" i="1"/>
  <c r="W391" i="1"/>
  <c r="W385" i="1"/>
  <c r="AC301" i="1"/>
  <c r="CD301" i="1" s="1"/>
  <c r="AD102" i="1"/>
  <c r="AD104" i="1" s="1"/>
  <c r="AD384" i="1"/>
  <c r="AD56" i="1"/>
  <c r="AD383" i="1"/>
  <c r="AA102" i="1"/>
  <c r="AA104" i="1" s="1"/>
  <c r="W102" i="1"/>
  <c r="W104" i="1" s="1"/>
  <c r="W392" i="1"/>
  <c r="V402" i="1"/>
  <c r="AA110" i="1"/>
  <c r="AO259" i="1"/>
  <c r="CI259" i="1"/>
  <c r="AH308" i="1"/>
  <c r="AH329" i="1"/>
  <c r="AH273" i="1"/>
  <c r="AH287" i="1"/>
  <c r="AH301" i="1"/>
  <c r="AH330" i="1"/>
  <c r="AH266" i="1"/>
  <c r="AH315" i="1"/>
  <c r="AH336" i="1"/>
  <c r="AH322" i="1"/>
  <c r="AH316" i="1"/>
  <c r="AH288" i="1"/>
  <c r="W110" i="1"/>
  <c r="BW259" i="1"/>
  <c r="V308" i="1"/>
  <c r="BW308" i="1" s="1"/>
  <c r="V322" i="1"/>
  <c r="BW322" i="1" s="1"/>
  <c r="V294" i="1"/>
  <c r="BW294" i="1" s="1"/>
  <c r="V301" i="1"/>
  <c r="BW301" i="1" s="1"/>
  <c r="V280" i="1"/>
  <c r="BW280" i="1" s="1"/>
  <c r="V336" i="1"/>
  <c r="BW336" i="1" s="1"/>
  <c r="V287" i="1"/>
  <c r="BW287" i="1" s="1"/>
  <c r="V329" i="1"/>
  <c r="BW329" i="1" s="1"/>
  <c r="V273" i="1"/>
  <c r="BW273" i="1" s="1"/>
  <c r="V266" i="1"/>
  <c r="BW266" i="1" s="1"/>
  <c r="V315" i="1"/>
  <c r="BW315" i="1" s="1"/>
  <c r="W383" i="1"/>
  <c r="W384" i="1"/>
  <c r="W390" i="1"/>
  <c r="W386" i="1"/>
  <c r="S384" i="1"/>
  <c r="S383" i="1"/>
  <c r="CB259" i="1"/>
  <c r="AA315" i="1"/>
  <c r="CB315" i="1" s="1"/>
  <c r="AA308" i="1"/>
  <c r="CB308" i="1" s="1"/>
  <c r="AA336" i="1"/>
  <c r="CB336" i="1" s="1"/>
  <c r="AA301" i="1"/>
  <c r="CB301" i="1" s="1"/>
  <c r="AA287" i="1"/>
  <c r="CB287" i="1" s="1"/>
  <c r="AA273" i="1"/>
  <c r="CB273" i="1" s="1"/>
  <c r="AA266" i="1"/>
  <c r="CB266" i="1" s="1"/>
  <c r="AA322" i="1"/>
  <c r="CB322" i="1" s="1"/>
  <c r="AA280" i="1"/>
  <c r="CB280" i="1" s="1"/>
  <c r="AA294" i="1"/>
  <c r="CB294" i="1" s="1"/>
  <c r="AA329" i="1"/>
  <c r="CB329" i="1" s="1"/>
  <c r="AG384" i="1"/>
  <c r="AG383" i="1"/>
  <c r="AH399" i="1" l="1"/>
  <c r="V384" i="1"/>
  <c r="AF266" i="1"/>
  <c r="CG266" i="1" s="1"/>
  <c r="AF402" i="1"/>
  <c r="AF13" i="1"/>
  <c r="AF401" i="1"/>
  <c r="AF404" i="1" s="1"/>
  <c r="BD93" i="1"/>
  <c r="BF93" i="1"/>
  <c r="CI260" i="1"/>
  <c r="W273" i="1"/>
  <c r="W322" i="1"/>
  <c r="W329" i="1"/>
  <c r="W315" i="1"/>
  <c r="BX315" i="1" s="1"/>
  <c r="AF383" i="1"/>
  <c r="AF393" i="1" s="1"/>
  <c r="AF395" i="1" s="1"/>
  <c r="W280" i="1"/>
  <c r="BX280" i="1" s="1"/>
  <c r="W266" i="1"/>
  <c r="BX266" i="1" s="1"/>
  <c r="W287" i="1"/>
  <c r="BX259" i="1"/>
  <c r="W308" i="1"/>
  <c r="V401" i="1"/>
  <c r="W294" i="1"/>
  <c r="BX294" i="1" s="1"/>
  <c r="W336" i="1"/>
  <c r="BX336" i="1" s="1"/>
  <c r="W56" i="1"/>
  <c r="W58" i="1" s="1"/>
  <c r="W399" i="1"/>
  <c r="W401" i="1"/>
  <c r="BD97" i="1"/>
  <c r="Y383" i="1"/>
  <c r="W402" i="1"/>
  <c r="Y401" i="1"/>
  <c r="X402" i="1"/>
  <c r="Y399" i="1"/>
  <c r="X13" i="1"/>
  <c r="AC402" i="1"/>
  <c r="Y13" i="1"/>
  <c r="AC401" i="1"/>
  <c r="X401" i="1"/>
  <c r="BC11" i="1"/>
  <c r="AC13" i="1"/>
  <c r="AF110" i="1"/>
  <c r="Y110" i="1"/>
  <c r="AF102" i="1"/>
  <c r="AF104" i="1" s="1"/>
  <c r="V110" i="1"/>
  <c r="V56" i="1"/>
  <c r="V58" i="1" s="1"/>
  <c r="AH385" i="1"/>
  <c r="AO385" i="1" s="1"/>
  <c r="AC287" i="1"/>
  <c r="CD287" i="1" s="1"/>
  <c r="AC266" i="1"/>
  <c r="CD266" i="1" s="1"/>
  <c r="AC315" i="1"/>
  <c r="CD315" i="1" s="1"/>
  <c r="AC329" i="1"/>
  <c r="CD329" i="1" s="1"/>
  <c r="AC273" i="1"/>
  <c r="CD273" i="1" s="1"/>
  <c r="AC280" i="1"/>
  <c r="CD280" i="1" s="1"/>
  <c r="AC308" i="1"/>
  <c r="CD308" i="1" s="1"/>
  <c r="AC336" i="1"/>
  <c r="CD336" i="1" s="1"/>
  <c r="AC322" i="1"/>
  <c r="CD322" i="1" s="1"/>
  <c r="BE12" i="1"/>
  <c r="AC294" i="1"/>
  <c r="CD294" i="1" s="1"/>
  <c r="AF322" i="1"/>
  <c r="CG322" i="1" s="1"/>
  <c r="BG96" i="1"/>
  <c r="Y308" i="1"/>
  <c r="BZ308" i="1" s="1"/>
  <c r="AF294" i="1"/>
  <c r="CG294" i="1" s="1"/>
  <c r="AF273" i="1"/>
  <c r="CG273" i="1" s="1"/>
  <c r="Y301" i="1"/>
  <c r="BZ301" i="1" s="1"/>
  <c r="AF301" i="1"/>
  <c r="CG301" i="1" s="1"/>
  <c r="AF280" i="1"/>
  <c r="CG280" i="1" s="1"/>
  <c r="AF308" i="1"/>
  <c r="CG308" i="1" s="1"/>
  <c r="BZ259" i="1"/>
  <c r="AF336" i="1"/>
  <c r="CG336" i="1" s="1"/>
  <c r="CG259" i="1"/>
  <c r="AF329" i="1"/>
  <c r="CG329" i="1" s="1"/>
  <c r="AF315" i="1"/>
  <c r="CG315" i="1" s="1"/>
  <c r="V102" i="1"/>
  <c r="V104" i="1" s="1"/>
  <c r="J260" i="1"/>
  <c r="AC102" i="1"/>
  <c r="AC104" i="1" s="1"/>
  <c r="AF56" i="1"/>
  <c r="AF58" i="1" s="1"/>
  <c r="AC110" i="1"/>
  <c r="AO54" i="1"/>
  <c r="AC56" i="1"/>
  <c r="CI280" i="1"/>
  <c r="BC93" i="1"/>
  <c r="BD107" i="1"/>
  <c r="BG93" i="1"/>
  <c r="BE93" i="1"/>
  <c r="BB93" i="1"/>
  <c r="Y336" i="1"/>
  <c r="BZ336" i="1" s="1"/>
  <c r="Y287" i="1"/>
  <c r="BZ287" i="1" s="1"/>
  <c r="Y329" i="1"/>
  <c r="BZ329" i="1" s="1"/>
  <c r="AH401" i="1"/>
  <c r="AO401" i="1" s="1"/>
  <c r="AI260" i="1"/>
  <c r="Y266" i="1"/>
  <c r="BZ266" i="1" s="1"/>
  <c r="K260" i="1"/>
  <c r="Y294" i="1"/>
  <c r="BZ294" i="1" s="1"/>
  <c r="Y273" i="1"/>
  <c r="BZ273" i="1" s="1"/>
  <c r="AH402" i="1"/>
  <c r="AO402" i="1" s="1"/>
  <c r="L260" i="1"/>
  <c r="BC99" i="1"/>
  <c r="Y315" i="1"/>
  <c r="BZ315" i="1" s="1"/>
  <c r="AH13" i="1"/>
  <c r="N260" i="1"/>
  <c r="X56" i="1"/>
  <c r="Y280" i="1"/>
  <c r="BZ280" i="1" s="1"/>
  <c r="R384" i="1"/>
  <c r="R393" i="1" s="1"/>
  <c r="AO260" i="1"/>
  <c r="AK260" i="1" s="1"/>
  <c r="I260" i="1"/>
  <c r="X329" i="1"/>
  <c r="BY329" i="1" s="1"/>
  <c r="X301" i="1"/>
  <c r="BY301" i="1" s="1"/>
  <c r="X266" i="1"/>
  <c r="BY266" i="1" s="1"/>
  <c r="BY259" i="1"/>
  <c r="BE259" i="1"/>
  <c r="X322" i="1"/>
  <c r="BY322" i="1" s="1"/>
  <c r="X315" i="1"/>
  <c r="BY315" i="1" s="1"/>
  <c r="X287" i="1"/>
  <c r="BY287" i="1" s="1"/>
  <c r="X308" i="1"/>
  <c r="BY308" i="1" s="1"/>
  <c r="X294" i="1"/>
  <c r="BY294" i="1" s="1"/>
  <c r="X273" i="1"/>
  <c r="BY273" i="1" s="1"/>
  <c r="X280" i="1"/>
  <c r="BY280" i="1" s="1"/>
  <c r="AM92" i="1"/>
  <c r="X110" i="1"/>
  <c r="AE287" i="1"/>
  <c r="CF287" i="1" s="1"/>
  <c r="AE266" i="1"/>
  <c r="CF266" i="1" s="1"/>
  <c r="CF259" i="1"/>
  <c r="R301" i="1"/>
  <c r="BS301" i="1" s="1"/>
  <c r="R273" i="1"/>
  <c r="BS273" i="1" s="1"/>
  <c r="R287" i="1"/>
  <c r="BS287" i="1" s="1"/>
  <c r="R308" i="1"/>
  <c r="BS308" i="1" s="1"/>
  <c r="BC95" i="1"/>
  <c r="X102" i="1"/>
  <c r="X104" i="1" s="1"/>
  <c r="BD98" i="1"/>
  <c r="S294" i="1"/>
  <c r="BT294" i="1" s="1"/>
  <c r="S280" i="1"/>
  <c r="BT280" i="1" s="1"/>
  <c r="BC108" i="1"/>
  <c r="BF48" i="1"/>
  <c r="S110" i="1"/>
  <c r="R266" i="1"/>
  <c r="BS266" i="1" s="1"/>
  <c r="R322" i="1"/>
  <c r="BS322" i="1" s="1"/>
  <c r="R280" i="1"/>
  <c r="BS280" i="1" s="1"/>
  <c r="AH390" i="1"/>
  <c r="AO390" i="1" s="1"/>
  <c r="R315" i="1"/>
  <c r="BS315" i="1" s="1"/>
  <c r="R336" i="1"/>
  <c r="BS336" i="1" s="1"/>
  <c r="AM55" i="1"/>
  <c r="R329" i="1"/>
  <c r="BS329" i="1" s="1"/>
  <c r="R294" i="1"/>
  <c r="BS294" i="1" s="1"/>
  <c r="CH259" i="1"/>
  <c r="U110" i="1"/>
  <c r="T336" i="1"/>
  <c r="BU336" i="1" s="1"/>
  <c r="BC100" i="1"/>
  <c r="AE322" i="1"/>
  <c r="CF322" i="1" s="1"/>
  <c r="CC259" i="1"/>
  <c r="AO51" i="1"/>
  <c r="AE402" i="1"/>
  <c r="AE280" i="1"/>
  <c r="CF280" i="1" s="1"/>
  <c r="AE301" i="1"/>
  <c r="CF301" i="1" s="1"/>
  <c r="AE315" i="1"/>
  <c r="CF315" i="1" s="1"/>
  <c r="AO53" i="1"/>
  <c r="BO48" i="1"/>
  <c r="AY97" i="1"/>
  <c r="AE294" i="1"/>
  <c r="CF294" i="1" s="1"/>
  <c r="S336" i="1"/>
  <c r="BT336" i="1" s="1"/>
  <c r="BT259" i="1"/>
  <c r="AE336" i="1"/>
  <c r="CF336" i="1" s="1"/>
  <c r="AH384" i="1"/>
  <c r="AO384" i="1" s="1"/>
  <c r="S322" i="1"/>
  <c r="BT322" i="1" s="1"/>
  <c r="AO49" i="1"/>
  <c r="AM94" i="1"/>
  <c r="S266" i="1"/>
  <c r="BT266" i="1" s="1"/>
  <c r="AE273" i="1"/>
  <c r="CF273" i="1" s="1"/>
  <c r="AO46" i="1"/>
  <c r="S308" i="1"/>
  <c r="BT308" i="1" s="1"/>
  <c r="AW97" i="1"/>
  <c r="AL97" i="1"/>
  <c r="BJ95" i="1"/>
  <c r="S273" i="1"/>
  <c r="BT273" i="1" s="1"/>
  <c r="S301" i="1"/>
  <c r="BT301" i="1" s="1"/>
  <c r="S329" i="1"/>
  <c r="BT329" i="1" s="1"/>
  <c r="AE329" i="1"/>
  <c r="CF329" i="1" s="1"/>
  <c r="S315" i="1"/>
  <c r="BT315" i="1" s="1"/>
  <c r="AX48" i="1"/>
  <c r="R402" i="1"/>
  <c r="AV97" i="1"/>
  <c r="S402" i="1"/>
  <c r="BG48" i="1"/>
  <c r="AM107" i="1"/>
  <c r="R401" i="1"/>
  <c r="BD48" i="1"/>
  <c r="BE107" i="1"/>
  <c r="BC107" i="1"/>
  <c r="S401" i="1"/>
  <c r="T280" i="1"/>
  <c r="BU280" i="1" s="1"/>
  <c r="BB48" i="1"/>
  <c r="T294" i="1"/>
  <c r="BU294" i="1" s="1"/>
  <c r="R13" i="1"/>
  <c r="T329" i="1"/>
  <c r="BU329" i="1" s="1"/>
  <c r="BE48" i="1"/>
  <c r="T273" i="1"/>
  <c r="BU273" i="1" s="1"/>
  <c r="AG287" i="1"/>
  <c r="CH287" i="1" s="1"/>
  <c r="T287" i="1"/>
  <c r="BU287" i="1" s="1"/>
  <c r="AO50" i="1"/>
  <c r="AL93" i="1"/>
  <c r="Y56" i="1"/>
  <c r="Z266" i="1"/>
  <c r="CA266" i="1" s="1"/>
  <c r="Y102" i="1"/>
  <c r="Y104" i="1" s="1"/>
  <c r="U266" i="1"/>
  <c r="BV266" i="1" s="1"/>
  <c r="AU97" i="1"/>
  <c r="T308" i="1"/>
  <c r="BU308" i="1" s="1"/>
  <c r="T315" i="1"/>
  <c r="BU315" i="1" s="1"/>
  <c r="BB107" i="1"/>
  <c r="AW259" i="1"/>
  <c r="AW99" i="1"/>
  <c r="AX97" i="1"/>
  <c r="T322" i="1"/>
  <c r="BU322" i="1" s="1"/>
  <c r="BU259" i="1"/>
  <c r="BG107" i="1"/>
  <c r="BG110" i="1" s="1"/>
  <c r="AM47" i="1"/>
  <c r="BC48" i="1"/>
  <c r="BE98" i="1"/>
  <c r="AT97" i="1"/>
  <c r="T266" i="1"/>
  <c r="BU266" i="1" s="1"/>
  <c r="BF107" i="1"/>
  <c r="AM48" i="1"/>
  <c r="AG329" i="1"/>
  <c r="CH329" i="1" s="1"/>
  <c r="AL100" i="1"/>
  <c r="AT92" i="1"/>
  <c r="BN95" i="1"/>
  <c r="BN48" i="1"/>
  <c r="BD94" i="1"/>
  <c r="AV92" i="1"/>
  <c r="BK48" i="1"/>
  <c r="BM48" i="1"/>
  <c r="AN48" i="1"/>
  <c r="BL95" i="1"/>
  <c r="AU92" i="1"/>
  <c r="BM95" i="1"/>
  <c r="AN95" i="1"/>
  <c r="AG294" i="1"/>
  <c r="CH294" i="1" s="1"/>
  <c r="AG301" i="1"/>
  <c r="CH301" i="1" s="1"/>
  <c r="AG273" i="1"/>
  <c r="CH273" i="1" s="1"/>
  <c r="AX11" i="1"/>
  <c r="BO95" i="1"/>
  <c r="BK95" i="1"/>
  <c r="AG315" i="1"/>
  <c r="CH315" i="1" s="1"/>
  <c r="AV11" i="1"/>
  <c r="AG336" i="1"/>
  <c r="CH336" i="1" s="1"/>
  <c r="AG266" i="1"/>
  <c r="CH266" i="1" s="1"/>
  <c r="AG308" i="1"/>
  <c r="CH308" i="1" s="1"/>
  <c r="Z110" i="1"/>
  <c r="Z13" i="1"/>
  <c r="AU107" i="1"/>
  <c r="BO100" i="1"/>
  <c r="AW98" i="1"/>
  <c r="BL48" i="1"/>
  <c r="AY11" i="1"/>
  <c r="AY13" i="1" s="1"/>
  <c r="BJ48" i="1"/>
  <c r="AW11" i="1"/>
  <c r="U13" i="1"/>
  <c r="BB47" i="1"/>
  <c r="BE101" i="1"/>
  <c r="AB386" i="1"/>
  <c r="BN386" i="1" s="1"/>
  <c r="AL11" i="1"/>
  <c r="U401" i="1"/>
  <c r="BG53" i="1"/>
  <c r="BL108" i="1"/>
  <c r="BK49" i="1"/>
  <c r="AT11" i="1"/>
  <c r="AU11" i="1"/>
  <c r="U402" i="1"/>
  <c r="AM49" i="1"/>
  <c r="AV98" i="1"/>
  <c r="AU99" i="1"/>
  <c r="AT96" i="1"/>
  <c r="BB55" i="1"/>
  <c r="AV99" i="1"/>
  <c r="AX55" i="1"/>
  <c r="BE96" i="1"/>
  <c r="AM96" i="1"/>
  <c r="J107" i="1"/>
  <c r="F232" i="31" s="1"/>
  <c r="AL259" i="1"/>
  <c r="BD96" i="1"/>
  <c r="BC96" i="1"/>
  <c r="BB96" i="1"/>
  <c r="BF96" i="1"/>
  <c r="AX101" i="1"/>
  <c r="J95" i="1"/>
  <c r="F224" i="31" s="1"/>
  <c r="AT108" i="1"/>
  <c r="AY101" i="1"/>
  <c r="BN52" i="1"/>
  <c r="AG401" i="1"/>
  <c r="M95" i="1"/>
  <c r="I224" i="31" s="1"/>
  <c r="AN92" i="1"/>
  <c r="BK93" i="1"/>
  <c r="BK96" i="1"/>
  <c r="AT95" i="1"/>
  <c r="AB383" i="1"/>
  <c r="BF259" i="1"/>
  <c r="AV96" i="1"/>
  <c r="BG97" i="1"/>
  <c r="AT51" i="1"/>
  <c r="Z336" i="1"/>
  <c r="CA336" i="1" s="1"/>
  <c r="U308" i="1"/>
  <c r="BV308" i="1" s="1"/>
  <c r="AX92" i="1"/>
  <c r="AV48" i="1"/>
  <c r="BE97" i="1"/>
  <c r="AM259" i="1"/>
  <c r="AY96" i="1"/>
  <c r="AY55" i="1"/>
  <c r="AL95" i="1"/>
  <c r="BN93" i="1"/>
  <c r="BO92" i="1"/>
  <c r="AT101" i="1"/>
  <c r="AL51" i="1"/>
  <c r="AN49" i="1"/>
  <c r="U301" i="1"/>
  <c r="BV301" i="1" s="1"/>
  <c r="AL48" i="1"/>
  <c r="AX95" i="1"/>
  <c r="BO49" i="1"/>
  <c r="Z294" i="1"/>
  <c r="CA294" i="1" s="1"/>
  <c r="U280" i="1"/>
  <c r="BV280" i="1" s="1"/>
  <c r="U287" i="1"/>
  <c r="BV287" i="1" s="1"/>
  <c r="R102" i="1"/>
  <c r="R104" i="1" s="1"/>
  <c r="L259" i="1"/>
  <c r="H89" i="31" s="1"/>
  <c r="M48" i="1"/>
  <c r="I187" i="31" s="1"/>
  <c r="BC97" i="1"/>
  <c r="BD259" i="1"/>
  <c r="AU96" i="1"/>
  <c r="BJ101" i="1"/>
  <c r="BL49" i="1"/>
  <c r="Z301" i="1"/>
  <c r="CA301" i="1" s="1"/>
  <c r="Z329" i="1"/>
  <c r="CA329" i="1" s="1"/>
  <c r="U322" i="1"/>
  <c r="BV322" i="1" s="1"/>
  <c r="BV259" i="1"/>
  <c r="M92" i="1"/>
  <c r="I221" i="31" s="1"/>
  <c r="AT259" i="1"/>
  <c r="AV259" i="1"/>
  <c r="AI48" i="1"/>
  <c r="BF97" i="1"/>
  <c r="BG259" i="1"/>
  <c r="AL96" i="1"/>
  <c r="AU95" i="1"/>
  <c r="BM49" i="1"/>
  <c r="Z280" i="1"/>
  <c r="CA280" i="1" s="1"/>
  <c r="Z308" i="1"/>
  <c r="CA308" i="1" s="1"/>
  <c r="U294" i="1"/>
  <c r="BV294" i="1" s="1"/>
  <c r="AL92" i="1"/>
  <c r="AX259" i="1"/>
  <c r="J48" i="1"/>
  <c r="F187" i="31" s="1"/>
  <c r="AM97" i="1"/>
  <c r="AH56" i="1"/>
  <c r="AH349" i="1" s="1"/>
  <c r="BN49" i="1"/>
  <c r="Z315" i="1"/>
  <c r="CA315" i="1" s="1"/>
  <c r="Z322" i="1"/>
  <c r="CA322" i="1" s="1"/>
  <c r="U329" i="1"/>
  <c r="BV329" i="1" s="1"/>
  <c r="AO102" i="1"/>
  <c r="AO104" i="1" s="1"/>
  <c r="AO112" i="1" s="1"/>
  <c r="AY92" i="1"/>
  <c r="AY259" i="1"/>
  <c r="L48" i="1"/>
  <c r="H187" i="31" s="1"/>
  <c r="BB97" i="1"/>
  <c r="AW96" i="1"/>
  <c r="AY100" i="1"/>
  <c r="Z273" i="1"/>
  <c r="CA273" i="1" s="1"/>
  <c r="CA259" i="1"/>
  <c r="U336" i="1"/>
  <c r="BV336" i="1" s="1"/>
  <c r="AW92" i="1"/>
  <c r="AU259" i="1"/>
  <c r="AT48" i="1"/>
  <c r="BO51" i="1"/>
  <c r="BC259" i="1"/>
  <c r="AH386" i="1"/>
  <c r="AO386" i="1" s="1"/>
  <c r="AX96" i="1"/>
  <c r="BO52" i="1"/>
  <c r="BJ49" i="1"/>
  <c r="Z287" i="1"/>
  <c r="CA287" i="1" s="1"/>
  <c r="U273" i="1"/>
  <c r="BV273" i="1" s="1"/>
  <c r="AY48" i="1"/>
  <c r="I48" i="1"/>
  <c r="E187" i="31" s="1"/>
  <c r="BD95" i="1"/>
  <c r="BB259" i="1"/>
  <c r="AG402" i="1"/>
  <c r="AI95" i="1"/>
  <c r="BN92" i="1"/>
  <c r="AY51" i="1"/>
  <c r="AH102" i="1"/>
  <c r="AH104" i="1" s="1"/>
  <c r="AH112" i="1" s="1"/>
  <c r="L92" i="1"/>
  <c r="H221" i="31" s="1"/>
  <c r="R56" i="1"/>
  <c r="BF92" i="1"/>
  <c r="BL51" i="1"/>
  <c r="BE47" i="1"/>
  <c r="BG95" i="1"/>
  <c r="BM93" i="1"/>
  <c r="BG49" i="1"/>
  <c r="AN52" i="1"/>
  <c r="AT55" i="1"/>
  <c r="AL99" i="1"/>
  <c r="BB50" i="1"/>
  <c r="BM100" i="1"/>
  <c r="AG13" i="1"/>
  <c r="AU101" i="1"/>
  <c r="L95" i="1"/>
  <c r="H224" i="31" s="1"/>
  <c r="AW95" i="1"/>
  <c r="BK92" i="1"/>
  <c r="AV51" i="1"/>
  <c r="AB110" i="1"/>
  <c r="AI92" i="1"/>
  <c r="K92" i="1"/>
  <c r="G221" i="31" s="1"/>
  <c r="AW48" i="1"/>
  <c r="K48" i="1"/>
  <c r="G187" i="31" s="1"/>
  <c r="BD92" i="1"/>
  <c r="AN51" i="1"/>
  <c r="BF47" i="1"/>
  <c r="BB95" i="1"/>
  <c r="AN93" i="1"/>
  <c r="BE49" i="1"/>
  <c r="AB390" i="1"/>
  <c r="AL55" i="1"/>
  <c r="AL101" i="1"/>
  <c r="AV101" i="1"/>
  <c r="N95" i="1"/>
  <c r="K95" i="1"/>
  <c r="G224" i="31" s="1"/>
  <c r="BM92" i="1"/>
  <c r="AX51" i="1"/>
  <c r="N48" i="1"/>
  <c r="AU48" i="1"/>
  <c r="BC92" i="1"/>
  <c r="BN51" i="1"/>
  <c r="BG47" i="1"/>
  <c r="BO93" i="1"/>
  <c r="BF49" i="1"/>
  <c r="AY99" i="1"/>
  <c r="AX49" i="1"/>
  <c r="I92" i="1"/>
  <c r="E221" i="31" s="1"/>
  <c r="BE92" i="1"/>
  <c r="BM51" i="1"/>
  <c r="BF95" i="1"/>
  <c r="BL93" i="1"/>
  <c r="BC49" i="1"/>
  <c r="AV55" i="1"/>
  <c r="AT99" i="1"/>
  <c r="I96" i="1"/>
  <c r="E225" i="31" s="1"/>
  <c r="M93" i="1"/>
  <c r="I222" i="31" s="1"/>
  <c r="BL92" i="1"/>
  <c r="AW51" i="1"/>
  <c r="AW101" i="1"/>
  <c r="AV95" i="1"/>
  <c r="I95" i="1"/>
  <c r="E224" i="31" s="1"/>
  <c r="BJ92" i="1"/>
  <c r="AU51" i="1"/>
  <c r="L49" i="1"/>
  <c r="H188" i="31" s="1"/>
  <c r="J92" i="1"/>
  <c r="F221" i="31" s="1"/>
  <c r="N92" i="1"/>
  <c r="BG92" i="1"/>
  <c r="BK51" i="1"/>
  <c r="BC47" i="1"/>
  <c r="BE95" i="1"/>
  <c r="BJ93" i="1"/>
  <c r="BD49" i="1"/>
  <c r="AW55" i="1"/>
  <c r="AX99" i="1"/>
  <c r="BM99" i="1"/>
  <c r="S102" i="1"/>
  <c r="S104" i="1" s="1"/>
  <c r="BM94" i="1"/>
  <c r="U56" i="1"/>
  <c r="J93" i="1"/>
  <c r="F222" i="31" s="1"/>
  <c r="BB92" i="1"/>
  <c r="AM95" i="1"/>
  <c r="AU55" i="1"/>
  <c r="BF50" i="1"/>
  <c r="AY95" i="1"/>
  <c r="BJ51" i="1"/>
  <c r="BD47" i="1"/>
  <c r="BB49" i="1"/>
  <c r="AM50" i="1"/>
  <c r="AU100" i="1"/>
  <c r="AB102" i="1"/>
  <c r="AB104" i="1" s="1"/>
  <c r="AN53" i="1"/>
  <c r="AM100" i="1"/>
  <c r="BO94" i="1"/>
  <c r="I108" i="1"/>
  <c r="E233" i="31" s="1"/>
  <c r="BJ11" i="1"/>
  <c r="BC12" i="1"/>
  <c r="AL54" i="1"/>
  <c r="AV50" i="1"/>
  <c r="BL99" i="1"/>
  <c r="S13" i="1"/>
  <c r="AN11" i="1"/>
  <c r="BL53" i="1"/>
  <c r="BD100" i="1"/>
  <c r="BJ99" i="1"/>
  <c r="BJ94" i="1"/>
  <c r="AI11" i="1"/>
  <c r="BB12" i="1"/>
  <c r="Z399" i="1"/>
  <c r="BN50" i="1"/>
  <c r="AL108" i="1"/>
  <c r="AT52" i="1"/>
  <c r="AX54" i="1"/>
  <c r="BB11" i="1"/>
  <c r="BM53" i="1"/>
  <c r="BF100" i="1"/>
  <c r="AU50" i="1"/>
  <c r="M108" i="1"/>
  <c r="I233" i="31" s="1"/>
  <c r="AV52" i="1"/>
  <c r="AV54" i="1"/>
  <c r="AM11" i="1"/>
  <c r="BL98" i="1"/>
  <c r="AT94" i="1"/>
  <c r="BJ54" i="1"/>
  <c r="M259" i="1"/>
  <c r="I89" i="31" s="1"/>
  <c r="BN97" i="1"/>
  <c r="AN99" i="1"/>
  <c r="BN94" i="1"/>
  <c r="AW50" i="1"/>
  <c r="AV108" i="1"/>
  <c r="AW52" i="1"/>
  <c r="AU54" i="1"/>
  <c r="BD11" i="1"/>
  <c r="BN53" i="1"/>
  <c r="BE100" i="1"/>
  <c r="AB402" i="1"/>
  <c r="BK53" i="1"/>
  <c r="BB100" i="1"/>
  <c r="BN99" i="1"/>
  <c r="AN94" i="1"/>
  <c r="BF12" i="1"/>
  <c r="AY50" i="1"/>
  <c r="T110" i="1"/>
  <c r="AU108" i="1"/>
  <c r="AU52" i="1"/>
  <c r="AY54" i="1"/>
  <c r="U383" i="1"/>
  <c r="BG11" i="1"/>
  <c r="BG13" i="1" s="1"/>
  <c r="BO53" i="1"/>
  <c r="BK99" i="1"/>
  <c r="BK94" i="1"/>
  <c r="AM12" i="1"/>
  <c r="AT50" i="1"/>
  <c r="AW108" i="1"/>
  <c r="AY52" i="1"/>
  <c r="AW54" i="1"/>
  <c r="U384" i="1"/>
  <c r="BF11" i="1"/>
  <c r="AB399" i="1"/>
  <c r="AB13" i="1"/>
  <c r="BG100" i="1"/>
  <c r="BO99" i="1"/>
  <c r="BL94" i="1"/>
  <c r="BD12" i="1"/>
  <c r="Z401" i="1"/>
  <c r="AL50" i="1"/>
  <c r="AX108" i="1"/>
  <c r="AX52" i="1"/>
  <c r="BE11" i="1"/>
  <c r="BJ53" i="1"/>
  <c r="M53" i="1"/>
  <c r="I192" i="31" s="1"/>
  <c r="Z402" i="1"/>
  <c r="AX50" i="1"/>
  <c r="AL52" i="1"/>
  <c r="AT54" i="1"/>
  <c r="L108" i="1"/>
  <c r="H233" i="31" s="1"/>
  <c r="L107" i="1"/>
  <c r="BJ108" i="1"/>
  <c r="BM46" i="1"/>
  <c r="BL11" i="1"/>
  <c r="AV100" i="1"/>
  <c r="AE399" i="1"/>
  <c r="AB273" i="1"/>
  <c r="AN259" i="1"/>
  <c r="AI259" i="1"/>
  <c r="J259" i="1"/>
  <c r="I11" i="1"/>
  <c r="BJ50" i="1"/>
  <c r="BK54" i="1"/>
  <c r="BG99" i="1"/>
  <c r="BL259" i="1"/>
  <c r="N259" i="1"/>
  <c r="M11" i="1"/>
  <c r="I160" i="31" s="1"/>
  <c r="BM50" i="1"/>
  <c r="I50" i="1"/>
  <c r="BO54" i="1"/>
  <c r="AX100" i="1"/>
  <c r="AE102" i="1"/>
  <c r="AE104" i="1" s="1"/>
  <c r="AB322" i="1"/>
  <c r="BO11" i="1"/>
  <c r="BO13" i="1" s="1"/>
  <c r="AW100" i="1"/>
  <c r="AM52" i="1"/>
  <c r="AB301" i="1"/>
  <c r="BK259" i="1"/>
  <c r="N11" i="1"/>
  <c r="N13" i="1" s="1"/>
  <c r="BL50" i="1"/>
  <c r="N50" i="1"/>
  <c r="BN54" i="1"/>
  <c r="L99" i="1"/>
  <c r="H228" i="31" s="1"/>
  <c r="BK11" i="1"/>
  <c r="J100" i="1"/>
  <c r="F229" i="31" s="1"/>
  <c r="AB287" i="1"/>
  <c r="BN259" i="1"/>
  <c r="J11" i="1"/>
  <c r="F160" i="31" s="1"/>
  <c r="BO50" i="1"/>
  <c r="AI50" i="1"/>
  <c r="BM54" i="1"/>
  <c r="BO259" i="1"/>
  <c r="I259" i="1"/>
  <c r="E89" i="31" s="1"/>
  <c r="K11" i="1"/>
  <c r="G160" i="31" s="1"/>
  <c r="G162" i="31" s="1"/>
  <c r="L50" i="1"/>
  <c r="H189" i="31" s="1"/>
  <c r="J50" i="1"/>
  <c r="F189" i="31" s="1"/>
  <c r="AN54" i="1"/>
  <c r="U102" i="1"/>
  <c r="U104" i="1" s="1"/>
  <c r="BK97" i="1"/>
  <c r="AE13" i="1"/>
  <c r="AB56" i="1"/>
  <c r="BN107" i="1"/>
  <c r="AB266" i="1"/>
  <c r="AT100" i="1"/>
  <c r="AB336" i="1"/>
  <c r="CC336" i="1" s="1"/>
  <c r="AB294" i="1"/>
  <c r="BJ259" i="1"/>
  <c r="K259" i="1"/>
  <c r="G89" i="31" s="1"/>
  <c r="L11" i="1"/>
  <c r="H160" i="31" s="1"/>
  <c r="AN50" i="1"/>
  <c r="M50" i="1"/>
  <c r="I189" i="31" s="1"/>
  <c r="BL54" i="1"/>
  <c r="AB315" i="1"/>
  <c r="BN11" i="1"/>
  <c r="BM11" i="1"/>
  <c r="AB329" i="1"/>
  <c r="AB308" i="1"/>
  <c r="BM259" i="1"/>
  <c r="BK50" i="1"/>
  <c r="K50" i="1"/>
  <c r="G189" i="31" s="1"/>
  <c r="BF108" i="1"/>
  <c r="AE383" i="1"/>
  <c r="BO46" i="1"/>
  <c r="M49" i="1"/>
  <c r="I188" i="31" s="1"/>
  <c r="AT49" i="1"/>
  <c r="AI107" i="1"/>
  <c r="AT107" i="1"/>
  <c r="BK107" i="1"/>
  <c r="AX93" i="1"/>
  <c r="AY93" i="1"/>
  <c r="BD55" i="1"/>
  <c r="N108" i="1"/>
  <c r="BC53" i="1"/>
  <c r="BB99" i="1"/>
  <c r="BD108" i="1"/>
  <c r="AN46" i="1"/>
  <c r="AV49" i="1"/>
  <c r="L53" i="1"/>
  <c r="H192" i="31" s="1"/>
  <c r="AL107" i="1"/>
  <c r="M107" i="1"/>
  <c r="I232" i="31" s="1"/>
  <c r="BO107" i="1"/>
  <c r="BO110" i="1" s="1"/>
  <c r="AU93" i="1"/>
  <c r="AW93" i="1"/>
  <c r="BG55" i="1"/>
  <c r="K108" i="1"/>
  <c r="G233" i="31" s="1"/>
  <c r="BB53" i="1"/>
  <c r="K99" i="1"/>
  <c r="G228" i="31" s="1"/>
  <c r="M96" i="1"/>
  <c r="I225" i="31" s="1"/>
  <c r="BD99" i="1"/>
  <c r="BB108" i="1"/>
  <c r="BL46" i="1"/>
  <c r="N49" i="1"/>
  <c r="AU49" i="1"/>
  <c r="AW107" i="1"/>
  <c r="BL107" i="1"/>
  <c r="AT93" i="1"/>
  <c r="I93" i="1"/>
  <c r="E222" i="31" s="1"/>
  <c r="BN108" i="1"/>
  <c r="I99" i="1"/>
  <c r="E228" i="31" s="1"/>
  <c r="BE99" i="1"/>
  <c r="AM108" i="1"/>
  <c r="BJ46" i="1"/>
  <c r="AI49" i="1"/>
  <c r="K49" i="1"/>
  <c r="G188" i="31" s="1"/>
  <c r="N107" i="1"/>
  <c r="BM107" i="1"/>
  <c r="AV93" i="1"/>
  <c r="BC55" i="1"/>
  <c r="BK108" i="1"/>
  <c r="BD53" i="1"/>
  <c r="N99" i="1"/>
  <c r="BF99" i="1"/>
  <c r="BE108" i="1"/>
  <c r="N97" i="1"/>
  <c r="BK46" i="1"/>
  <c r="AY49" i="1"/>
  <c r="AL49" i="1"/>
  <c r="AY107" i="1"/>
  <c r="AY110" i="1" s="1"/>
  <c r="AV107" i="1"/>
  <c r="BJ107" i="1"/>
  <c r="AI93" i="1"/>
  <c r="BE55" i="1"/>
  <c r="BM108" i="1"/>
  <c r="J108" i="1"/>
  <c r="F233" i="31" s="1"/>
  <c r="BE53" i="1"/>
  <c r="M99" i="1"/>
  <c r="I228" i="31" s="1"/>
  <c r="AM99" i="1"/>
  <c r="BM55" i="1"/>
  <c r="BJ12" i="1"/>
  <c r="AE56" i="1"/>
  <c r="BN46" i="1"/>
  <c r="AW49" i="1"/>
  <c r="K107" i="1"/>
  <c r="G232" i="31" s="1"/>
  <c r="G235" i="31" s="1"/>
  <c r="I107" i="1"/>
  <c r="E232" i="31" s="1"/>
  <c r="AN107" i="1"/>
  <c r="K93" i="1"/>
  <c r="G222" i="31" s="1"/>
  <c r="L93" i="1"/>
  <c r="H222" i="31" s="1"/>
  <c r="BF55" i="1"/>
  <c r="AN108" i="1"/>
  <c r="BF53" i="1"/>
  <c r="AE110" i="1"/>
  <c r="AE384" i="1"/>
  <c r="AN384" i="1" s="1"/>
  <c r="J49" i="1"/>
  <c r="F188" i="31" s="1"/>
  <c r="I49" i="1"/>
  <c r="E188" i="31" s="1"/>
  <c r="AX107" i="1"/>
  <c r="N93" i="1"/>
  <c r="AM53" i="1"/>
  <c r="J99" i="1"/>
  <c r="F228" i="31" s="1"/>
  <c r="AI99" i="1"/>
  <c r="BD50" i="1"/>
  <c r="BE50" i="1"/>
  <c r="BC50" i="1"/>
  <c r="BC52" i="1"/>
  <c r="J51" i="1"/>
  <c r="F190" i="31" s="1"/>
  <c r="S56" i="1"/>
  <c r="S58" i="1" s="1"/>
  <c r="AL94" i="1"/>
  <c r="BG50" i="1"/>
  <c r="BG52" i="1"/>
  <c r="AI51" i="1"/>
  <c r="I51" i="1"/>
  <c r="E190" i="31" s="1"/>
  <c r="K12" i="1"/>
  <c r="BF52" i="1"/>
  <c r="N51" i="1"/>
  <c r="AX12" i="1"/>
  <c r="K51" i="1"/>
  <c r="G190" i="31" s="1"/>
  <c r="AM101" i="1"/>
  <c r="BJ98" i="1"/>
  <c r="BG51" i="1"/>
  <c r="I54" i="1"/>
  <c r="E193" i="31" s="1"/>
  <c r="N55" i="1"/>
  <c r="BE52" i="1"/>
  <c r="BK12" i="1"/>
  <c r="AI52" i="1"/>
  <c r="I101" i="1"/>
  <c r="E230" i="31" s="1"/>
  <c r="BD52" i="1"/>
  <c r="K54" i="1"/>
  <c r="G193" i="31" s="1"/>
  <c r="M55" i="1"/>
  <c r="I194" i="31" s="1"/>
  <c r="AN55" i="1"/>
  <c r="BB52" i="1"/>
  <c r="L51" i="1"/>
  <c r="H190" i="31" s="1"/>
  <c r="AL46" i="1"/>
  <c r="BG54" i="1"/>
  <c r="AY94" i="1"/>
  <c r="BG101" i="1"/>
  <c r="AU46" i="1"/>
  <c r="BC54" i="1"/>
  <c r="AN12" i="1"/>
  <c r="M52" i="1"/>
  <c r="I191" i="31" s="1"/>
  <c r="N12" i="1"/>
  <c r="L12" i="1"/>
  <c r="H161" i="31" s="1"/>
  <c r="BD51" i="1"/>
  <c r="L94" i="1"/>
  <c r="H223" i="31" s="1"/>
  <c r="AU47" i="1"/>
  <c r="AT47" i="1"/>
  <c r="BJ55" i="1"/>
  <c r="J55" i="1"/>
  <c r="F194" i="31" s="1"/>
  <c r="I55" i="1"/>
  <c r="E194" i="31" s="1"/>
  <c r="BB101" i="1"/>
  <c r="AN98" i="1"/>
  <c r="BD54" i="1"/>
  <c r="BN12" i="1"/>
  <c r="AW12" i="1"/>
  <c r="J12" i="1"/>
  <c r="F161" i="31" s="1"/>
  <c r="BE51" i="1"/>
  <c r="AU94" i="1"/>
  <c r="AV47" i="1"/>
  <c r="J54" i="1"/>
  <c r="F193" i="31" s="1"/>
  <c r="N54" i="1"/>
  <c r="L55" i="1"/>
  <c r="H194" i="31" s="1"/>
  <c r="AI55" i="1"/>
  <c r="M46" i="1"/>
  <c r="I185" i="31" s="1"/>
  <c r="BO98" i="1"/>
  <c r="AW46" i="1"/>
  <c r="AX46" i="1"/>
  <c r="BB54" i="1"/>
  <c r="BL12" i="1"/>
  <c r="M12" i="1"/>
  <c r="I161" i="31" s="1"/>
  <c r="AT12" i="1"/>
  <c r="AX94" i="1"/>
  <c r="AX47" i="1"/>
  <c r="M54" i="1"/>
  <c r="I193" i="31" s="1"/>
  <c r="L54" i="1"/>
  <c r="H193" i="31" s="1"/>
  <c r="BN55" i="1"/>
  <c r="K55" i="1"/>
  <c r="G194" i="31" s="1"/>
  <c r="BF101" i="1"/>
  <c r="BN98" i="1"/>
  <c r="AI46" i="1"/>
  <c r="AY46" i="1"/>
  <c r="BM12" i="1"/>
  <c r="AV12" i="1"/>
  <c r="AL12" i="1"/>
  <c r="AM51" i="1"/>
  <c r="AV94" i="1"/>
  <c r="N47" i="1"/>
  <c r="AI54" i="1"/>
  <c r="BK55" i="1"/>
  <c r="BC101" i="1"/>
  <c r="BM98" i="1"/>
  <c r="BF54" i="1"/>
  <c r="J52" i="1"/>
  <c r="F191" i="31" s="1"/>
  <c r="L52" i="1"/>
  <c r="H191" i="31" s="1"/>
  <c r="AU12" i="1"/>
  <c r="I12" i="1"/>
  <c r="E161" i="31" s="1"/>
  <c r="BB51" i="1"/>
  <c r="AW94" i="1"/>
  <c r="AW47" i="1"/>
  <c r="BL55" i="1"/>
  <c r="BD101" i="1"/>
  <c r="BK98" i="1"/>
  <c r="AV46" i="1"/>
  <c r="T383" i="1"/>
  <c r="T393" i="1" s="1"/>
  <c r="T395" i="1" s="1"/>
  <c r="AM54" i="1"/>
  <c r="K52" i="1"/>
  <c r="G191" i="31" s="1"/>
  <c r="AI12" i="1"/>
  <c r="BF51" i="1"/>
  <c r="I94" i="1"/>
  <c r="E223" i="31" s="1"/>
  <c r="AY47" i="1"/>
  <c r="BO55" i="1"/>
  <c r="M51" i="1"/>
  <c r="I190" i="31" s="1"/>
  <c r="AT46" i="1"/>
  <c r="BE54" i="1"/>
  <c r="N52" i="1"/>
  <c r="I52" i="1"/>
  <c r="E191" i="31" s="1"/>
  <c r="BC51" i="1"/>
  <c r="AL47" i="1"/>
  <c r="K98" i="1"/>
  <c r="G227" i="31" s="1"/>
  <c r="J101" i="1"/>
  <c r="F230" i="31" s="1"/>
  <c r="AI100" i="1"/>
  <c r="AM98" i="1"/>
  <c r="BE46" i="1"/>
  <c r="BO47" i="1"/>
  <c r="BL101" i="1"/>
  <c r="AY98" i="1"/>
  <c r="N98" i="1"/>
  <c r="AW53" i="1"/>
  <c r="AN100" i="1"/>
  <c r="L47" i="1"/>
  <c r="H186" i="31" s="1"/>
  <c r="BF94" i="1"/>
  <c r="AI53" i="1"/>
  <c r="AT53" i="1"/>
  <c r="BL100" i="1"/>
  <c r="K94" i="1"/>
  <c r="G223" i="31" s="1"/>
  <c r="BC94" i="1"/>
  <c r="M100" i="1"/>
  <c r="I229" i="31" s="1"/>
  <c r="AG56" i="1"/>
  <c r="K100" i="1"/>
  <c r="G229" i="31" s="1"/>
  <c r="BB46" i="1"/>
  <c r="BM47" i="1"/>
  <c r="BO101" i="1"/>
  <c r="AI98" i="1"/>
  <c r="AU98" i="1"/>
  <c r="Z383" i="1"/>
  <c r="BB383" i="1" s="1"/>
  <c r="K53" i="1"/>
  <c r="G192" i="31" s="1"/>
  <c r="I53" i="1"/>
  <c r="E192" i="31" s="1"/>
  <c r="K46" i="1"/>
  <c r="G185" i="31" s="1"/>
  <c r="BK100" i="1"/>
  <c r="BB94" i="1"/>
  <c r="N100" i="1"/>
  <c r="BB98" i="1"/>
  <c r="I98" i="1"/>
  <c r="E227" i="31" s="1"/>
  <c r="L101" i="1"/>
  <c r="H230" i="31" s="1"/>
  <c r="BF98" i="1"/>
  <c r="BC46" i="1"/>
  <c r="BL47" i="1"/>
  <c r="BK101" i="1"/>
  <c r="L98" i="1"/>
  <c r="H227" i="31" s="1"/>
  <c r="AL98" i="1"/>
  <c r="Z56" i="1"/>
  <c r="AX53" i="1"/>
  <c r="AL53" i="1"/>
  <c r="I46" i="1"/>
  <c r="E185" i="31" s="1"/>
  <c r="L46" i="1"/>
  <c r="T56" i="1"/>
  <c r="T58" i="1" s="1"/>
  <c r="BJ100" i="1"/>
  <c r="N94" i="1"/>
  <c r="J47" i="1"/>
  <c r="F186" i="31" s="1"/>
  <c r="M47" i="1"/>
  <c r="I186" i="31" s="1"/>
  <c r="AN47" i="1"/>
  <c r="K101" i="1"/>
  <c r="G230" i="31" s="1"/>
  <c r="T102" i="1"/>
  <c r="T104" i="1" s="1"/>
  <c r="BC98" i="1"/>
  <c r="AM46" i="1"/>
  <c r="BK47" i="1"/>
  <c r="AN101" i="1"/>
  <c r="AX98" i="1"/>
  <c r="AT98" i="1"/>
  <c r="Z384" i="1"/>
  <c r="BD384" i="1" s="1"/>
  <c r="AY53" i="1"/>
  <c r="N46" i="1"/>
  <c r="AI94" i="1"/>
  <c r="K47" i="1"/>
  <c r="G186" i="31" s="1"/>
  <c r="BE94" i="1"/>
  <c r="BD46" i="1"/>
  <c r="M98" i="1"/>
  <c r="I227" i="31" s="1"/>
  <c r="N101" i="1"/>
  <c r="AI101" i="1"/>
  <c r="L100" i="1"/>
  <c r="H229" i="31" s="1"/>
  <c r="I100" i="1"/>
  <c r="BG98" i="1"/>
  <c r="BN47" i="1"/>
  <c r="BN101" i="1"/>
  <c r="J98" i="1"/>
  <c r="F227" i="31" s="1"/>
  <c r="Z102" i="1"/>
  <c r="Z104" i="1" s="1"/>
  <c r="N53" i="1"/>
  <c r="AU53" i="1"/>
  <c r="J46" i="1"/>
  <c r="F185" i="31" s="1"/>
  <c r="BN100" i="1"/>
  <c r="I47" i="1"/>
  <c r="BG94" i="1"/>
  <c r="BM101" i="1"/>
  <c r="M101" i="1"/>
  <c r="I230" i="31" s="1"/>
  <c r="BF46" i="1"/>
  <c r="BJ47" i="1"/>
  <c r="J53" i="1"/>
  <c r="F192" i="31" s="1"/>
  <c r="AV53" i="1"/>
  <c r="J94" i="1"/>
  <c r="F223" i="31" s="1"/>
  <c r="M94" i="1"/>
  <c r="I223" i="31" s="1"/>
  <c r="AI47" i="1"/>
  <c r="AG102" i="1"/>
  <c r="AG104" i="1" s="1"/>
  <c r="AG112" i="1" s="1"/>
  <c r="J96" i="1"/>
  <c r="F225" i="31" s="1"/>
  <c r="L97" i="1"/>
  <c r="H226" i="31" s="1"/>
  <c r="BN96" i="1"/>
  <c r="BM97" i="1"/>
  <c r="BM52" i="1"/>
  <c r="BO96" i="1"/>
  <c r="AN97" i="1"/>
  <c r="J97" i="1"/>
  <c r="F226" i="31" s="1"/>
  <c r="I97" i="1"/>
  <c r="BL96" i="1"/>
  <c r="BO97" i="1"/>
  <c r="N96" i="1"/>
  <c r="AI96" i="1"/>
  <c r="AI97" i="1"/>
  <c r="AN96" i="1"/>
  <c r="BL97" i="1"/>
  <c r="BL52" i="1"/>
  <c r="L96" i="1"/>
  <c r="H225" i="31" s="1"/>
  <c r="M97" i="1"/>
  <c r="I226" i="31" s="1"/>
  <c r="BM96" i="1"/>
  <c r="BJ97" i="1"/>
  <c r="BJ52" i="1"/>
  <c r="BJ96" i="1"/>
  <c r="BK52" i="1"/>
  <c r="K96" i="1"/>
  <c r="G225" i="31" s="1"/>
  <c r="K97" i="1"/>
  <c r="G226" i="31" s="1"/>
  <c r="AD112" i="1"/>
  <c r="V404" i="1"/>
  <c r="AA393" i="1"/>
  <c r="AA395" i="1" s="1"/>
  <c r="T404" i="1"/>
  <c r="AG393" i="1"/>
  <c r="AG395" i="1" s="1"/>
  <c r="AD393" i="1"/>
  <c r="AD395" i="1" s="1"/>
  <c r="AC393" i="1"/>
  <c r="AC395" i="1" s="1"/>
  <c r="AA404" i="1"/>
  <c r="X393" i="1"/>
  <c r="X395" i="1" s="1"/>
  <c r="BC392" i="1"/>
  <c r="BB392" i="1"/>
  <c r="BG392" i="1"/>
  <c r="BD392" i="1"/>
  <c r="BE392" i="1"/>
  <c r="AM392" i="1"/>
  <c r="BF392" i="1"/>
  <c r="BB389" i="1"/>
  <c r="BE389" i="1"/>
  <c r="AM389" i="1"/>
  <c r="BC389" i="1"/>
  <c r="BG389" i="1"/>
  <c r="BF389" i="1"/>
  <c r="BD389" i="1"/>
  <c r="Y393" i="1"/>
  <c r="Y395" i="1" s="1"/>
  <c r="I330" i="1"/>
  <c r="CI330" i="1"/>
  <c r="AO330" i="1"/>
  <c r="AK330" i="1" s="1"/>
  <c r="K330" i="1"/>
  <c r="L330" i="1"/>
  <c r="AI330" i="1"/>
  <c r="N330" i="1"/>
  <c r="M330" i="1"/>
  <c r="J330" i="1"/>
  <c r="AT387" i="1"/>
  <c r="AW387" i="1"/>
  <c r="J387" i="1"/>
  <c r="F132" i="31" s="1"/>
  <c r="AX387" i="1"/>
  <c r="AI387" i="1"/>
  <c r="AV387" i="1"/>
  <c r="K387" i="1"/>
  <c r="G132" i="31" s="1"/>
  <c r="I387" i="1"/>
  <c r="AU387" i="1"/>
  <c r="AL387" i="1"/>
  <c r="M387" i="1"/>
  <c r="I132" i="31" s="1"/>
  <c r="AY387" i="1"/>
  <c r="L387" i="1"/>
  <c r="H132" i="31" s="1"/>
  <c r="N387" i="1"/>
  <c r="V393" i="1"/>
  <c r="V395" i="1" s="1"/>
  <c r="W112" i="1"/>
  <c r="AO399" i="1"/>
  <c r="BB387" i="1"/>
  <c r="BG387" i="1"/>
  <c r="BD387" i="1"/>
  <c r="BC387" i="1"/>
  <c r="BE387" i="1"/>
  <c r="BF387" i="1"/>
  <c r="AM387" i="1"/>
  <c r="BX301" i="1"/>
  <c r="BB386" i="1"/>
  <c r="BG386" i="1"/>
  <c r="AM386" i="1"/>
  <c r="BC386" i="1"/>
  <c r="BD386" i="1"/>
  <c r="BE386" i="1"/>
  <c r="BF386" i="1"/>
  <c r="AO383" i="1"/>
  <c r="W393" i="1"/>
  <c r="W395" i="1" s="1"/>
  <c r="AO301" i="1"/>
  <c r="CI301" i="1"/>
  <c r="AA112" i="1"/>
  <c r="BJ389" i="1"/>
  <c r="BK389" i="1"/>
  <c r="AN389" i="1"/>
  <c r="BN389" i="1"/>
  <c r="BO389" i="1"/>
  <c r="BL389" i="1"/>
  <c r="BM389" i="1"/>
  <c r="AL390" i="1"/>
  <c r="AT390" i="1"/>
  <c r="AX390" i="1"/>
  <c r="AW390" i="1"/>
  <c r="AV390" i="1"/>
  <c r="AY390" i="1"/>
  <c r="AU390" i="1"/>
  <c r="BB391" i="1"/>
  <c r="BC391" i="1"/>
  <c r="BE391" i="1"/>
  <c r="BD391" i="1"/>
  <c r="AM391" i="1"/>
  <c r="BG391" i="1"/>
  <c r="BF391" i="1"/>
  <c r="I388" i="1"/>
  <c r="AT388" i="1"/>
  <c r="AL388" i="1"/>
  <c r="AV388" i="1"/>
  <c r="AU388" i="1"/>
  <c r="K388" i="1"/>
  <c r="G133" i="31" s="1"/>
  <c r="AW388" i="1"/>
  <c r="AY388" i="1"/>
  <c r="L388" i="1"/>
  <c r="H133" i="31" s="1"/>
  <c r="AX388" i="1"/>
  <c r="AI388" i="1"/>
  <c r="J388" i="1"/>
  <c r="F133" i="31" s="1"/>
  <c r="M388" i="1"/>
  <c r="I133" i="31" s="1"/>
  <c r="N388" i="1"/>
  <c r="AO13" i="1"/>
  <c r="CR260" i="1"/>
  <c r="CP260" i="1"/>
  <c r="CQ260" i="1"/>
  <c r="CO260" i="1"/>
  <c r="CL260" i="1"/>
  <c r="CM260" i="1"/>
  <c r="CN260" i="1"/>
  <c r="BX322" i="1"/>
  <c r="BN391" i="1"/>
  <c r="BO391" i="1"/>
  <c r="BM391" i="1"/>
  <c r="BK391" i="1"/>
  <c r="BJ391" i="1"/>
  <c r="BL391" i="1"/>
  <c r="AN391" i="1"/>
  <c r="AL389" i="1"/>
  <c r="I389" i="1"/>
  <c r="AT389" i="1"/>
  <c r="AI389" i="1"/>
  <c r="K389" i="1"/>
  <c r="G134" i="31" s="1"/>
  <c r="AV389" i="1"/>
  <c r="AY389" i="1"/>
  <c r="L389" i="1"/>
  <c r="H134" i="31" s="1"/>
  <c r="AW389" i="1"/>
  <c r="J389" i="1"/>
  <c r="F134" i="31" s="1"/>
  <c r="M389" i="1"/>
  <c r="I134" i="31" s="1"/>
  <c r="AX389" i="1"/>
  <c r="N389" i="1"/>
  <c r="AU389" i="1"/>
  <c r="CI316" i="1"/>
  <c r="M316" i="1"/>
  <c r="L316" i="1"/>
  <c r="N316" i="1"/>
  <c r="AO316" i="1"/>
  <c r="AK316" i="1" s="1"/>
  <c r="K316" i="1"/>
  <c r="J316" i="1"/>
  <c r="AI316" i="1"/>
  <c r="I316" i="1"/>
  <c r="AO273" i="1"/>
  <c r="CI273" i="1"/>
  <c r="I392" i="1"/>
  <c r="AT392" i="1"/>
  <c r="AL392" i="1"/>
  <c r="AI392" i="1"/>
  <c r="N392" i="1"/>
  <c r="AU392" i="1"/>
  <c r="J392" i="1"/>
  <c r="F137" i="31" s="1"/>
  <c r="AW392" i="1"/>
  <c r="L392" i="1"/>
  <c r="H137" i="31" s="1"/>
  <c r="AV392" i="1"/>
  <c r="AY392" i="1"/>
  <c r="K392" i="1"/>
  <c r="G137" i="31" s="1"/>
  <c r="M392" i="1"/>
  <c r="I137" i="31" s="1"/>
  <c r="AX392" i="1"/>
  <c r="BX329" i="1"/>
  <c r="BB388" i="1"/>
  <c r="AM388" i="1"/>
  <c r="BF388" i="1"/>
  <c r="BC388" i="1"/>
  <c r="BD388" i="1"/>
  <c r="BE388" i="1"/>
  <c r="BG388" i="1"/>
  <c r="BJ385" i="1"/>
  <c r="BN385" i="1"/>
  <c r="AN385" i="1"/>
  <c r="BO385" i="1"/>
  <c r="BL385" i="1"/>
  <c r="BM385" i="1"/>
  <c r="BK385" i="1"/>
  <c r="CI322" i="1"/>
  <c r="AO322" i="1"/>
  <c r="AO329" i="1"/>
  <c r="CI329" i="1"/>
  <c r="AT386" i="1"/>
  <c r="AL386" i="1"/>
  <c r="AY386" i="1"/>
  <c r="AX386" i="1"/>
  <c r="AV386" i="1"/>
  <c r="AW386" i="1"/>
  <c r="AU386" i="1"/>
  <c r="BJ392" i="1"/>
  <c r="BK392" i="1"/>
  <c r="BM392" i="1"/>
  <c r="BL392" i="1"/>
  <c r="BO392" i="1"/>
  <c r="BN392" i="1"/>
  <c r="AN392" i="1"/>
  <c r="AD404" i="1"/>
  <c r="BX273" i="1"/>
  <c r="AO266" i="1"/>
  <c r="CI266" i="1"/>
  <c r="BJ387" i="1"/>
  <c r="BK387" i="1"/>
  <c r="BN387" i="1"/>
  <c r="BL387" i="1"/>
  <c r="BM387" i="1"/>
  <c r="AN387" i="1"/>
  <c r="BO387" i="1"/>
  <c r="AO336" i="1"/>
  <c r="CI336" i="1"/>
  <c r="AO308" i="1"/>
  <c r="CI308" i="1"/>
  <c r="BJ388" i="1"/>
  <c r="BO388" i="1"/>
  <c r="BN388" i="1"/>
  <c r="AN388" i="1"/>
  <c r="BM388" i="1"/>
  <c r="BL388" i="1"/>
  <c r="BK388" i="1"/>
  <c r="BB385" i="1"/>
  <c r="BG385" i="1"/>
  <c r="BF385" i="1"/>
  <c r="AM385" i="1"/>
  <c r="BD385" i="1"/>
  <c r="BC385" i="1"/>
  <c r="BE385" i="1"/>
  <c r="AD58" i="1"/>
  <c r="AD349" i="1"/>
  <c r="AD352" i="1" s="1"/>
  <c r="BX308" i="1"/>
  <c r="AA349" i="1"/>
  <c r="AA352" i="1" s="1"/>
  <c r="AA58" i="1"/>
  <c r="I288" i="1"/>
  <c r="CI288" i="1"/>
  <c r="AO288" i="1"/>
  <c r="AK288" i="1" s="1"/>
  <c r="L288" i="1"/>
  <c r="AI288" i="1"/>
  <c r="J288" i="1"/>
  <c r="N288" i="1"/>
  <c r="K288" i="1"/>
  <c r="M288" i="1"/>
  <c r="AO287" i="1"/>
  <c r="CI287" i="1"/>
  <c r="AL399" i="1"/>
  <c r="AT399" i="1"/>
  <c r="AX399" i="1"/>
  <c r="AV399" i="1"/>
  <c r="AW399" i="1"/>
  <c r="AY399" i="1"/>
  <c r="AU399" i="1"/>
  <c r="S393" i="1"/>
  <c r="S395" i="1" s="1"/>
  <c r="BB390" i="1"/>
  <c r="BG390" i="1"/>
  <c r="BF390" i="1"/>
  <c r="BC390" i="1"/>
  <c r="AM390" i="1"/>
  <c r="BE390" i="1"/>
  <c r="BD390" i="1"/>
  <c r="AO315" i="1"/>
  <c r="CI315" i="1"/>
  <c r="CC280" i="1"/>
  <c r="I391" i="1"/>
  <c r="AT391" i="1"/>
  <c r="N391" i="1"/>
  <c r="AX391" i="1"/>
  <c r="AU391" i="1"/>
  <c r="AL391" i="1"/>
  <c r="AV391" i="1"/>
  <c r="AW391" i="1"/>
  <c r="J391" i="1"/>
  <c r="F136" i="31" s="1"/>
  <c r="M391" i="1"/>
  <c r="I136" i="31" s="1"/>
  <c r="AY391" i="1"/>
  <c r="L391" i="1"/>
  <c r="H136" i="31" s="1"/>
  <c r="AI391" i="1"/>
  <c r="K391" i="1"/>
  <c r="G136" i="31" s="1"/>
  <c r="AT385" i="1"/>
  <c r="L385" i="1"/>
  <c r="H130" i="31" s="1"/>
  <c r="AY385" i="1"/>
  <c r="M385" i="1"/>
  <c r="I130" i="31" s="1"/>
  <c r="AI385" i="1"/>
  <c r="AL385" i="1"/>
  <c r="AU385" i="1"/>
  <c r="AW385" i="1"/>
  <c r="AV385" i="1"/>
  <c r="AX385" i="1"/>
  <c r="BX287" i="1"/>
  <c r="V349" i="1" l="1"/>
  <c r="V352" i="1" s="1"/>
  <c r="BK401" i="1"/>
  <c r="Y404" i="1"/>
  <c r="BM322" i="1"/>
  <c r="AC404" i="1"/>
  <c r="W404" i="1"/>
  <c r="AC112" i="1"/>
  <c r="Y112" i="1"/>
  <c r="W349" i="1"/>
  <c r="AF349" i="1"/>
  <c r="AF352" i="1" s="1"/>
  <c r="BB301" i="1"/>
  <c r="X349" i="1"/>
  <c r="X352" i="1" s="1"/>
  <c r="BB402" i="1"/>
  <c r="AF112" i="1"/>
  <c r="BC13" i="1"/>
  <c r="BE399" i="1"/>
  <c r="V112" i="1"/>
  <c r="V114" i="1" s="1"/>
  <c r="Y58" i="1"/>
  <c r="Y296" i="1" s="1"/>
  <c r="X404" i="1"/>
  <c r="I385" i="1"/>
  <c r="E130" i="31" s="1"/>
  <c r="K385" i="1"/>
  <c r="G130" i="31" s="1"/>
  <c r="J385" i="1"/>
  <c r="F130" i="31" s="1"/>
  <c r="BD401" i="1"/>
  <c r="N385" i="1"/>
  <c r="BE13" i="1"/>
  <c r="AC58" i="1"/>
  <c r="AC331" i="1" s="1"/>
  <c r="AC349" i="1"/>
  <c r="AC352" i="1" s="1"/>
  <c r="AO404" i="1"/>
  <c r="AH404" i="1"/>
  <c r="AL384" i="1"/>
  <c r="H260" i="1"/>
  <c r="BA93" i="1"/>
  <c r="BD110" i="1"/>
  <c r="X112" i="1"/>
  <c r="BC110" i="1"/>
  <c r="X58" i="1"/>
  <c r="X282" i="1" s="1"/>
  <c r="BF322" i="1"/>
  <c r="R404" i="1"/>
  <c r="S112" i="1"/>
  <c r="S114" i="1" s="1"/>
  <c r="BJ280" i="1"/>
  <c r="BJ401" i="1"/>
  <c r="BO280" i="1"/>
  <c r="BL280" i="1"/>
  <c r="R58" i="1"/>
  <c r="BS275" i="1" s="1"/>
  <c r="BL401" i="1"/>
  <c r="Y349" i="1"/>
  <c r="Y352" i="1" s="1"/>
  <c r="BN280" i="1"/>
  <c r="BM280" i="1"/>
  <c r="BE273" i="1"/>
  <c r="BF301" i="1"/>
  <c r="AN280" i="1"/>
  <c r="BM401" i="1"/>
  <c r="R349" i="1"/>
  <c r="R352" i="1" s="1"/>
  <c r="AM273" i="1"/>
  <c r="BC301" i="1"/>
  <c r="AU110" i="1"/>
  <c r="BO401" i="1"/>
  <c r="BC273" i="1"/>
  <c r="BG301" i="1"/>
  <c r="BK280" i="1"/>
  <c r="BN401" i="1"/>
  <c r="BG273" i="1"/>
  <c r="AX401" i="1"/>
  <c r="AN401" i="1"/>
  <c r="BF273" i="1"/>
  <c r="BE301" i="1"/>
  <c r="AM301" i="1"/>
  <c r="BD273" i="1"/>
  <c r="BB273" i="1"/>
  <c r="BD301" i="1"/>
  <c r="BF266" i="1"/>
  <c r="BE266" i="1"/>
  <c r="BB266" i="1"/>
  <c r="BD266" i="1"/>
  <c r="BC266" i="1"/>
  <c r="U112" i="1"/>
  <c r="AM266" i="1"/>
  <c r="BG266" i="1"/>
  <c r="AU13" i="1"/>
  <c r="AH393" i="1"/>
  <c r="AH395" i="1" s="1"/>
  <c r="AX336" i="1"/>
  <c r="AO393" i="1"/>
  <c r="AO395" i="1" s="1"/>
  <c r="AT266" i="1"/>
  <c r="BM315" i="1"/>
  <c r="AI390" i="1"/>
  <c r="S404" i="1"/>
  <c r="S406" i="1" s="1"/>
  <c r="AY329" i="1"/>
  <c r="BI95" i="1"/>
  <c r="AX329" i="1"/>
  <c r="AW329" i="1"/>
  <c r="AM110" i="1"/>
  <c r="BN273" i="1"/>
  <c r="U349" i="1"/>
  <c r="U352" i="1" s="1"/>
  <c r="AU329" i="1"/>
  <c r="AV329" i="1"/>
  <c r="AK93" i="1"/>
  <c r="AT329" i="1"/>
  <c r="AL329" i="1"/>
  <c r="AT384" i="1"/>
  <c r="AO56" i="1"/>
  <c r="AO58" i="1" s="1"/>
  <c r="AO114" i="1" s="1"/>
  <c r="AW280" i="1"/>
  <c r="BN287" i="1"/>
  <c r="AV402" i="1"/>
  <c r="K386" i="1"/>
  <c r="G131" i="31" s="1"/>
  <c r="AS97" i="1"/>
  <c r="AL266" i="1"/>
  <c r="BJ386" i="1"/>
  <c r="BE110" i="1"/>
  <c r="AM402" i="1"/>
  <c r="AU266" i="1"/>
  <c r="BA48" i="1"/>
  <c r="AW266" i="1"/>
  <c r="AV13" i="1"/>
  <c r="AY266" i="1"/>
  <c r="AX266" i="1"/>
  <c r="AV266" i="1"/>
  <c r="CC287" i="1"/>
  <c r="CR287" i="1" s="1"/>
  <c r="BK386" i="1"/>
  <c r="AT110" i="1"/>
  <c r="BM266" i="1"/>
  <c r="BL390" i="1"/>
  <c r="BE287" i="1"/>
  <c r="BD294" i="1"/>
  <c r="BF287" i="1"/>
  <c r="CC315" i="1"/>
  <c r="CN315" i="1" s="1"/>
  <c r="L273" i="1"/>
  <c r="H91" i="31" s="1"/>
  <c r="AN322" i="1"/>
  <c r="BG294" i="1"/>
  <c r="N273" i="1"/>
  <c r="BK322" i="1"/>
  <c r="AY273" i="1"/>
  <c r="BM273" i="1"/>
  <c r="I273" i="1"/>
  <c r="E91" i="31" s="1"/>
  <c r="BG280" i="1"/>
  <c r="I390" i="1"/>
  <c r="E135" i="31" s="1"/>
  <c r="BF280" i="1"/>
  <c r="CC273" i="1"/>
  <c r="CM273" i="1" s="1"/>
  <c r="BO390" i="1"/>
  <c r="BF315" i="1"/>
  <c r="AV315" i="1"/>
  <c r="AY315" i="1"/>
  <c r="AN383" i="1"/>
  <c r="BF308" i="1"/>
  <c r="AW315" i="1"/>
  <c r="BE315" i="1"/>
  <c r="BD308" i="1"/>
  <c r="AU315" i="1"/>
  <c r="AX13" i="1"/>
  <c r="BB308" i="1"/>
  <c r="BL384" i="1"/>
  <c r="AX315" i="1"/>
  <c r="BG315" i="1"/>
  <c r="BB315" i="1"/>
  <c r="AT315" i="1"/>
  <c r="AM308" i="1"/>
  <c r="AL315" i="1"/>
  <c r="Z112" i="1"/>
  <c r="U58" i="1"/>
  <c r="BV310" i="1" s="1"/>
  <c r="AM294" i="1"/>
  <c r="BC384" i="1"/>
  <c r="BK273" i="1"/>
  <c r="BK390" i="1"/>
  <c r="AV273" i="1"/>
  <c r="AU273" i="1"/>
  <c r="BD280" i="1"/>
  <c r="N390" i="1"/>
  <c r="BO322" i="1"/>
  <c r="AS48" i="1"/>
  <c r="BJ390" i="1"/>
  <c r="AN315" i="1"/>
  <c r="M280" i="1"/>
  <c r="I92" i="31" s="1"/>
  <c r="Z58" i="1"/>
  <c r="Z331" i="1" s="1"/>
  <c r="BL399" i="1"/>
  <c r="AL273" i="1"/>
  <c r="AY294" i="1"/>
  <c r="M390" i="1"/>
  <c r="I135" i="31" s="1"/>
  <c r="BL322" i="1"/>
  <c r="BF294" i="1"/>
  <c r="AV308" i="1"/>
  <c r="BJ273" i="1"/>
  <c r="AI273" i="1"/>
  <c r="AT273" i="1"/>
  <c r="BC280" i="1"/>
  <c r="L390" i="1"/>
  <c r="H135" i="31" s="1"/>
  <c r="CC322" i="1"/>
  <c r="CR322" i="1" s="1"/>
  <c r="AK108" i="1"/>
  <c r="BA107" i="1"/>
  <c r="BC294" i="1"/>
  <c r="AU308" i="1"/>
  <c r="BE294" i="1"/>
  <c r="AY308" i="1"/>
  <c r="BO273" i="1"/>
  <c r="BN390" i="1"/>
  <c r="J273" i="1"/>
  <c r="F91" i="31" s="1"/>
  <c r="BJ322" i="1"/>
  <c r="BB110" i="1"/>
  <c r="AN273" i="1"/>
  <c r="AW287" i="1"/>
  <c r="BE280" i="1"/>
  <c r="BM390" i="1"/>
  <c r="AW273" i="1"/>
  <c r="K110" i="1"/>
  <c r="F15" i="4" s="1"/>
  <c r="BB280" i="1"/>
  <c r="K390" i="1"/>
  <c r="G135" i="31" s="1"/>
  <c r="J390" i="1"/>
  <c r="F135" i="31" s="1"/>
  <c r="BN322" i="1"/>
  <c r="BN308" i="1"/>
  <c r="AX273" i="1"/>
  <c r="AL308" i="1"/>
  <c r="BL273" i="1"/>
  <c r="BB294" i="1"/>
  <c r="AN390" i="1"/>
  <c r="AK390" i="1" s="1"/>
  <c r="M273" i="1"/>
  <c r="I91" i="31" s="1"/>
  <c r="K273" i="1"/>
  <c r="G91" i="31" s="1"/>
  <c r="AM280" i="1"/>
  <c r="BN329" i="1"/>
  <c r="BI92" i="1"/>
  <c r="AK95" i="1"/>
  <c r="AK49" i="1"/>
  <c r="AK11" i="1"/>
  <c r="AM399" i="1"/>
  <c r="BF336" i="1"/>
  <c r="BB401" i="1"/>
  <c r="BF110" i="1"/>
  <c r="BF401" i="1"/>
  <c r="K266" i="1"/>
  <c r="G90" i="31" s="1"/>
  <c r="BB399" i="1"/>
  <c r="BN336" i="1"/>
  <c r="AY384" i="1"/>
  <c r="BB336" i="1"/>
  <c r="J13" i="1"/>
  <c r="E8" i="4" s="1"/>
  <c r="BG401" i="1"/>
  <c r="BC399" i="1"/>
  <c r="AN336" i="1"/>
  <c r="BG336" i="1"/>
  <c r="BM336" i="1"/>
  <c r="AX384" i="1"/>
  <c r="BC336" i="1"/>
  <c r="BC401" i="1"/>
  <c r="AM401" i="1"/>
  <c r="BF399" i="1"/>
  <c r="BL294" i="1"/>
  <c r="BJ336" i="1"/>
  <c r="AU384" i="1"/>
  <c r="BD336" i="1"/>
  <c r="AL13" i="1"/>
  <c r="BE401" i="1"/>
  <c r="BG399" i="1"/>
  <c r="BO336" i="1"/>
  <c r="AW384" i="1"/>
  <c r="BL266" i="1"/>
  <c r="BE336" i="1"/>
  <c r="AK97" i="1"/>
  <c r="BN294" i="1"/>
  <c r="BD399" i="1"/>
  <c r="BL336" i="1"/>
  <c r="AV384" i="1"/>
  <c r="CC266" i="1"/>
  <c r="CN266" i="1" s="1"/>
  <c r="BK336" i="1"/>
  <c r="J336" i="1"/>
  <c r="F100" i="31" s="1"/>
  <c r="AM336" i="1"/>
  <c r="AK100" i="1"/>
  <c r="BF13" i="1"/>
  <c r="N401" i="1"/>
  <c r="BI48" i="1"/>
  <c r="BC287" i="1"/>
  <c r="M399" i="1"/>
  <c r="I139" i="31" s="1"/>
  <c r="I266" i="1"/>
  <c r="E90" i="31" s="1"/>
  <c r="AW401" i="1"/>
  <c r="I401" i="1"/>
  <c r="E141" i="31" s="1"/>
  <c r="K399" i="1"/>
  <c r="G139" i="31" s="1"/>
  <c r="BM399" i="1"/>
  <c r="L401" i="1"/>
  <c r="H141" i="31" s="1"/>
  <c r="AL401" i="1"/>
  <c r="AH125" i="1"/>
  <c r="AO125" i="1" s="1"/>
  <c r="AM287" i="1"/>
  <c r="AX308" i="1"/>
  <c r="N266" i="1"/>
  <c r="BK399" i="1"/>
  <c r="BJ266" i="1"/>
  <c r="M401" i="1"/>
  <c r="I141" i="31" s="1"/>
  <c r="AI401" i="1"/>
  <c r="BD287" i="1"/>
  <c r="AT308" i="1"/>
  <c r="AI399" i="1"/>
  <c r="I399" i="1"/>
  <c r="E139" i="31" s="1"/>
  <c r="AU401" i="1"/>
  <c r="AV401" i="1"/>
  <c r="BG287" i="1"/>
  <c r="AE404" i="1"/>
  <c r="L399" i="1"/>
  <c r="AY401" i="1"/>
  <c r="K401" i="1"/>
  <c r="G141" i="31" s="1"/>
  <c r="N399" i="1"/>
  <c r="BB287" i="1"/>
  <c r="J401" i="1"/>
  <c r="F141" i="31" s="1"/>
  <c r="AT401" i="1"/>
  <c r="J399" i="1"/>
  <c r="F139" i="31" s="1"/>
  <c r="AW308" i="1"/>
  <c r="AX110" i="1"/>
  <c r="T112" i="1"/>
  <c r="T114" i="1" s="1"/>
  <c r="AH58" i="1"/>
  <c r="CI338" i="1" s="1"/>
  <c r="AK48" i="1"/>
  <c r="AH124" i="1"/>
  <c r="AO124" i="1" s="1"/>
  <c r="AE112" i="1"/>
  <c r="BJ399" i="1"/>
  <c r="AV102" i="1"/>
  <c r="AV104" i="1" s="1"/>
  <c r="AN301" i="1"/>
  <c r="AS99" i="1"/>
  <c r="I235" i="31"/>
  <c r="BO399" i="1"/>
  <c r="AN399" i="1"/>
  <c r="AG58" i="1"/>
  <c r="AG331" i="1" s="1"/>
  <c r="BN399" i="1"/>
  <c r="AN13" i="1"/>
  <c r="BK266" i="1"/>
  <c r="AG404" i="1"/>
  <c r="AG406" i="1" s="1"/>
  <c r="AK259" i="1"/>
  <c r="BG383" i="1"/>
  <c r="BN315" i="1"/>
  <c r="BJ315" i="1"/>
  <c r="F162" i="31"/>
  <c r="L266" i="1"/>
  <c r="H90" i="31" s="1"/>
  <c r="BO266" i="1"/>
  <c r="BL315" i="1"/>
  <c r="K315" i="1"/>
  <c r="G97" i="31" s="1"/>
  <c r="S349" i="1"/>
  <c r="S352" i="1" s="1"/>
  <c r="J266" i="1"/>
  <c r="F90" i="31" s="1"/>
  <c r="BN266" i="1"/>
  <c r="BK315" i="1"/>
  <c r="M266" i="1"/>
  <c r="I90" i="31" s="1"/>
  <c r="AN266" i="1"/>
  <c r="BO315" i="1"/>
  <c r="AI266" i="1"/>
  <c r="AE393" i="1"/>
  <c r="AE395" i="1" s="1"/>
  <c r="AI13" i="1"/>
  <c r="AB404" i="1"/>
  <c r="BJ383" i="1"/>
  <c r="AS11" i="1"/>
  <c r="BC315" i="1"/>
  <c r="BC308" i="1"/>
  <c r="BL383" i="1"/>
  <c r="BK294" i="1"/>
  <c r="BN384" i="1"/>
  <c r="I402" i="1"/>
  <c r="M315" i="1"/>
  <c r="I97" i="31" s="1"/>
  <c r="K280" i="1"/>
  <c r="G92" i="31" s="1"/>
  <c r="I280" i="1"/>
  <c r="E92" i="31" s="1"/>
  <c r="BE308" i="1"/>
  <c r="BK383" i="1"/>
  <c r="BM294" i="1"/>
  <c r="BK384" i="1"/>
  <c r="J315" i="1"/>
  <c r="F97" i="31" s="1"/>
  <c r="N315" i="1"/>
  <c r="L280" i="1"/>
  <c r="H92" i="31" s="1"/>
  <c r="BM383" i="1"/>
  <c r="CC294" i="1"/>
  <c r="CN294" i="1" s="1"/>
  <c r="BO384" i="1"/>
  <c r="L315" i="1"/>
  <c r="H97" i="31" s="1"/>
  <c r="J280" i="1"/>
  <c r="F92" i="31" s="1"/>
  <c r="AL280" i="1"/>
  <c r="BD315" i="1"/>
  <c r="BG308" i="1"/>
  <c r="I110" i="1"/>
  <c r="D15" i="4" s="1"/>
  <c r="BO383" i="1"/>
  <c r="AN294" i="1"/>
  <c r="BM384" i="1"/>
  <c r="AI280" i="1"/>
  <c r="AT280" i="1"/>
  <c r="AS12" i="1"/>
  <c r="AW13" i="1"/>
  <c r="AK55" i="1"/>
  <c r="BM110" i="1"/>
  <c r="BN110" i="1"/>
  <c r="BD13" i="1"/>
  <c r="BB13" i="1"/>
  <c r="AK53" i="1"/>
  <c r="AS101" i="1"/>
  <c r="BI93" i="1"/>
  <c r="AI110" i="1"/>
  <c r="BI51" i="1"/>
  <c r="AS92" i="1"/>
  <c r="AK92" i="1"/>
  <c r="L402" i="1"/>
  <c r="AI386" i="1"/>
  <c r="BN383" i="1"/>
  <c r="BO294" i="1"/>
  <c r="BJ384" i="1"/>
  <c r="AI315" i="1"/>
  <c r="AY280" i="1"/>
  <c r="BN13" i="1"/>
  <c r="BJ13" i="1"/>
  <c r="AB58" i="1"/>
  <c r="AB127" i="1" s="1"/>
  <c r="AS96" i="1"/>
  <c r="BM402" i="1"/>
  <c r="I315" i="1"/>
  <c r="E97" i="31" s="1"/>
  <c r="AV280" i="1"/>
  <c r="AX280" i="1"/>
  <c r="BJ294" i="1"/>
  <c r="AM315" i="1"/>
  <c r="N280" i="1"/>
  <c r="AU280" i="1"/>
  <c r="BL110" i="1"/>
  <c r="AT322" i="1"/>
  <c r="M336" i="1"/>
  <c r="I100" i="31" s="1"/>
  <c r="K13" i="1"/>
  <c r="F8" i="4" s="1"/>
  <c r="AY402" i="1"/>
  <c r="BJ402" i="1"/>
  <c r="L336" i="1"/>
  <c r="H100" i="31" s="1"/>
  <c r="U404" i="1"/>
  <c r="BG402" i="1"/>
  <c r="BM386" i="1"/>
  <c r="AU322" i="1"/>
  <c r="M386" i="1"/>
  <c r="I131" i="31" s="1"/>
  <c r="AB393" i="1"/>
  <c r="AB395" i="1" s="1"/>
  <c r="M402" i="1"/>
  <c r="AX402" i="1"/>
  <c r="BJ287" i="1"/>
  <c r="K336" i="1"/>
  <c r="G100" i="31" s="1"/>
  <c r="AY336" i="1"/>
  <c r="BL13" i="1"/>
  <c r="AY322" i="1"/>
  <c r="N402" i="1"/>
  <c r="AN287" i="1"/>
  <c r="Z404" i="1"/>
  <c r="BC402" i="1"/>
  <c r="BL386" i="1"/>
  <c r="AX322" i="1"/>
  <c r="K402" i="1"/>
  <c r="AL402" i="1"/>
  <c r="BL287" i="1"/>
  <c r="N336" i="1"/>
  <c r="AL336" i="1"/>
  <c r="L110" i="1"/>
  <c r="G15" i="4" s="1"/>
  <c r="BA49" i="1"/>
  <c r="BE402" i="1"/>
  <c r="BD402" i="1"/>
  <c r="AT13" i="1"/>
  <c r="AN386" i="1"/>
  <c r="AL322" i="1"/>
  <c r="J386" i="1"/>
  <c r="F131" i="31" s="1"/>
  <c r="AU402" i="1"/>
  <c r="AT402" i="1"/>
  <c r="BN402" i="1"/>
  <c r="BM287" i="1"/>
  <c r="AU336" i="1"/>
  <c r="I336" i="1"/>
  <c r="E100" i="31" s="1"/>
  <c r="AK96" i="1"/>
  <c r="AW322" i="1"/>
  <c r="L386" i="1"/>
  <c r="H131" i="31" s="1"/>
  <c r="J402" i="1"/>
  <c r="AN402" i="1"/>
  <c r="BO287" i="1"/>
  <c r="AW336" i="1"/>
  <c r="AT336" i="1"/>
  <c r="BF402" i="1"/>
  <c r="M322" i="1"/>
  <c r="I98" i="31" s="1"/>
  <c r="N386" i="1"/>
  <c r="I386" i="1"/>
  <c r="E131" i="31" s="1"/>
  <c r="AW402" i="1"/>
  <c r="BK402" i="1"/>
  <c r="BK287" i="1"/>
  <c r="AI336" i="1"/>
  <c r="AK94" i="1"/>
  <c r="BO386" i="1"/>
  <c r="AV322" i="1"/>
  <c r="AI402" i="1"/>
  <c r="BL402" i="1"/>
  <c r="AV336" i="1"/>
  <c r="AS55" i="1"/>
  <c r="AN110" i="1"/>
  <c r="BI54" i="1"/>
  <c r="AS100" i="1"/>
  <c r="AM13" i="1"/>
  <c r="BA98" i="1"/>
  <c r="AT383" i="1"/>
  <c r="AS50" i="1"/>
  <c r="CR259" i="1"/>
  <c r="AS259" i="1"/>
  <c r="BA96" i="1"/>
  <c r="BM13" i="1"/>
  <c r="J187" i="31"/>
  <c r="CP259" i="1"/>
  <c r="BG329" i="1"/>
  <c r="CN259" i="1"/>
  <c r="AL301" i="1"/>
  <c r="AV301" i="1"/>
  <c r="AK107" i="1"/>
  <c r="BI46" i="1"/>
  <c r="AK50" i="1"/>
  <c r="BA92" i="1"/>
  <c r="AL102" i="1"/>
  <c r="AL104" i="1" s="1"/>
  <c r="AS95" i="1"/>
  <c r="BA259" i="1"/>
  <c r="BI49" i="1"/>
  <c r="BA97" i="1"/>
  <c r="N308" i="1"/>
  <c r="BL308" i="1"/>
  <c r="BB329" i="1"/>
  <c r="CL259" i="1"/>
  <c r="AX301" i="1"/>
  <c r="BC329" i="1"/>
  <c r="J224" i="31"/>
  <c r="AM329" i="1"/>
  <c r="CM259" i="1"/>
  <c r="AW301" i="1"/>
  <c r="BJ301" i="1"/>
  <c r="BF329" i="1"/>
  <c r="CO259" i="1"/>
  <c r="AU301" i="1"/>
  <c r="L308" i="1"/>
  <c r="BE329" i="1"/>
  <c r="CQ259" i="1"/>
  <c r="AY301" i="1"/>
  <c r="BD329" i="1"/>
  <c r="AT301" i="1"/>
  <c r="AM384" i="1"/>
  <c r="AK384" i="1" s="1"/>
  <c r="AX287" i="1"/>
  <c r="L384" i="1"/>
  <c r="H129" i="31" s="1"/>
  <c r="BD322" i="1"/>
  <c r="AW294" i="1"/>
  <c r="N294" i="1"/>
  <c r="AV294" i="1"/>
  <c r="K294" i="1"/>
  <c r="G94" i="31" s="1"/>
  <c r="AW102" i="1"/>
  <c r="AW104" i="1" s="1"/>
  <c r="BB384" i="1"/>
  <c r="BB393" i="1" s="1"/>
  <c r="BB395" i="1" s="1"/>
  <c r="K287" i="1"/>
  <c r="AV287" i="1"/>
  <c r="H232" i="31"/>
  <c r="H235" i="31" s="1"/>
  <c r="L322" i="1"/>
  <c r="H98" i="31" s="1"/>
  <c r="I322" i="1"/>
  <c r="E98" i="31" s="1"/>
  <c r="N384" i="1"/>
  <c r="AI384" i="1"/>
  <c r="BO56" i="1"/>
  <c r="BO58" i="1" s="1"/>
  <c r="BE322" i="1"/>
  <c r="AI294" i="1"/>
  <c r="AU294" i="1"/>
  <c r="AK101" i="1"/>
  <c r="AL287" i="1"/>
  <c r="K322" i="1"/>
  <c r="G98" i="31" s="1"/>
  <c r="BE384" i="1"/>
  <c r="H48" i="1"/>
  <c r="J287" i="1"/>
  <c r="AY287" i="1"/>
  <c r="AI322" i="1"/>
  <c r="AL110" i="1"/>
  <c r="J384" i="1"/>
  <c r="F129" i="31" s="1"/>
  <c r="BC322" i="1"/>
  <c r="M294" i="1"/>
  <c r="I94" i="31" s="1"/>
  <c r="AL294" i="1"/>
  <c r="BF384" i="1"/>
  <c r="AI287" i="1"/>
  <c r="AT287" i="1"/>
  <c r="N322" i="1"/>
  <c r="K384" i="1"/>
  <c r="G129" i="31" s="1"/>
  <c r="BB322" i="1"/>
  <c r="L294" i="1"/>
  <c r="H94" i="31" s="1"/>
  <c r="AT294" i="1"/>
  <c r="BA12" i="1"/>
  <c r="L287" i="1"/>
  <c r="BG384" i="1"/>
  <c r="I287" i="1"/>
  <c r="AU287" i="1"/>
  <c r="J322" i="1"/>
  <c r="F98" i="31" s="1"/>
  <c r="M384" i="1"/>
  <c r="I129" i="31" s="1"/>
  <c r="I384" i="1"/>
  <c r="E129" i="31" s="1"/>
  <c r="BG322" i="1"/>
  <c r="J294" i="1"/>
  <c r="F94" i="31" s="1"/>
  <c r="AK12" i="1"/>
  <c r="AU56" i="1"/>
  <c r="AY102" i="1"/>
  <c r="AY104" i="1" s="1"/>
  <c r="AY112" i="1" s="1"/>
  <c r="AK47" i="1"/>
  <c r="N287" i="1"/>
  <c r="M287" i="1"/>
  <c r="AM322" i="1"/>
  <c r="AX294" i="1"/>
  <c r="I294" i="1"/>
  <c r="E94" i="31" s="1"/>
  <c r="AK51" i="1"/>
  <c r="AK52" i="1"/>
  <c r="BA52" i="1"/>
  <c r="H162" i="31"/>
  <c r="H50" i="1"/>
  <c r="H11" i="1"/>
  <c r="AU383" i="1"/>
  <c r="AS52" i="1"/>
  <c r="BI53" i="1"/>
  <c r="AB112" i="1"/>
  <c r="H92" i="1"/>
  <c r="BA95" i="1"/>
  <c r="H95" i="1"/>
  <c r="BA47" i="1"/>
  <c r="AS51" i="1"/>
  <c r="AK99" i="1"/>
  <c r="AS93" i="1"/>
  <c r="AS54" i="1"/>
  <c r="AM102" i="1"/>
  <c r="AM104" i="1" s="1"/>
  <c r="BN56" i="1"/>
  <c r="E189" i="31"/>
  <c r="J189" i="31" s="1"/>
  <c r="M308" i="1"/>
  <c r="AS107" i="1"/>
  <c r="CC308" i="1"/>
  <c r="CM308" i="1" s="1"/>
  <c r="I13" i="1"/>
  <c r="D8" i="4" s="1"/>
  <c r="N301" i="1"/>
  <c r="M383" i="1"/>
  <c r="BO301" i="1"/>
  <c r="L13" i="1"/>
  <c r="G8" i="4" s="1"/>
  <c r="BF56" i="1"/>
  <c r="BF58" i="1" s="1"/>
  <c r="BK102" i="1"/>
  <c r="BK104" i="1" s="1"/>
  <c r="BD102" i="1"/>
  <c r="BD104" i="1" s="1"/>
  <c r="BD112" i="1" s="1"/>
  <c r="BA50" i="1"/>
  <c r="J188" i="31"/>
  <c r="BI107" i="1"/>
  <c r="BF102" i="1"/>
  <c r="BF104" i="1" s="1"/>
  <c r="N110" i="1"/>
  <c r="I15" i="4" s="1"/>
  <c r="AE349" i="1"/>
  <c r="AE352" i="1" s="1"/>
  <c r="BI259" i="1"/>
  <c r="BK13" i="1"/>
  <c r="BI50" i="1"/>
  <c r="BI108" i="1"/>
  <c r="BI99" i="1"/>
  <c r="AW110" i="1"/>
  <c r="AW112" i="1" s="1"/>
  <c r="BA100" i="1"/>
  <c r="AV110" i="1"/>
  <c r="BA11" i="1"/>
  <c r="BI94" i="1"/>
  <c r="AL56" i="1"/>
  <c r="BA108" i="1"/>
  <c r="BO308" i="1"/>
  <c r="E160" i="31"/>
  <c r="E162" i="31" s="1"/>
  <c r="L301" i="1"/>
  <c r="J301" i="1"/>
  <c r="AX383" i="1"/>
  <c r="BK301" i="1"/>
  <c r="AI308" i="1"/>
  <c r="BM308" i="1"/>
  <c r="AB349" i="1"/>
  <c r="AB352" i="1" s="1"/>
  <c r="M13" i="1"/>
  <c r="H8" i="4" s="1"/>
  <c r="AI383" i="1"/>
  <c r="AL383" i="1"/>
  <c r="AL393" i="1" s="1"/>
  <c r="AL395" i="1" s="1"/>
  <c r="BM301" i="1"/>
  <c r="U393" i="1"/>
  <c r="U395" i="1" s="1"/>
  <c r="J308" i="1"/>
  <c r="K308" i="1"/>
  <c r="I308" i="1"/>
  <c r="BJ308" i="1"/>
  <c r="I162" i="31"/>
  <c r="M301" i="1"/>
  <c r="AV383" i="1"/>
  <c r="AY383" i="1"/>
  <c r="CC301" i="1"/>
  <c r="CR301" i="1" s="1"/>
  <c r="AX102" i="1"/>
  <c r="AX104" i="1" s="1"/>
  <c r="BK308" i="1"/>
  <c r="AI301" i="1"/>
  <c r="K301" i="1"/>
  <c r="AW383" i="1"/>
  <c r="BN301" i="1"/>
  <c r="AS47" i="1"/>
  <c r="AS49" i="1"/>
  <c r="BA55" i="1"/>
  <c r="AN308" i="1"/>
  <c r="T349" i="1"/>
  <c r="T352" i="1" s="1"/>
  <c r="BL301" i="1"/>
  <c r="J161" i="31"/>
  <c r="AV56" i="1"/>
  <c r="I301" i="1"/>
  <c r="H259" i="1"/>
  <c r="BB102" i="1"/>
  <c r="BB104" i="1" s="1"/>
  <c r="F89" i="31"/>
  <c r="J89" i="31" s="1"/>
  <c r="I329" i="1"/>
  <c r="E99" i="31" s="1"/>
  <c r="M329" i="1"/>
  <c r="I99" i="31" s="1"/>
  <c r="BK329" i="1"/>
  <c r="AN329" i="1"/>
  <c r="BA94" i="1"/>
  <c r="AK54" i="1"/>
  <c r="BA53" i="1"/>
  <c r="BO329" i="1"/>
  <c r="AE58" i="1"/>
  <c r="AE127" i="1" s="1"/>
  <c r="BM102" i="1"/>
  <c r="BM104" i="1" s="1"/>
  <c r="BJ110" i="1"/>
  <c r="BL329" i="1"/>
  <c r="AS108" i="1"/>
  <c r="M110" i="1"/>
  <c r="H15" i="4" s="1"/>
  <c r="K329" i="1"/>
  <c r="G99" i="31" s="1"/>
  <c r="BJ329" i="1"/>
  <c r="H107" i="1"/>
  <c r="N329" i="1"/>
  <c r="BI11" i="1"/>
  <c r="J193" i="31"/>
  <c r="CC329" i="1"/>
  <c r="CM329" i="1" s="1"/>
  <c r="AT102" i="1"/>
  <c r="AT104" i="1" s="1"/>
  <c r="BM329" i="1"/>
  <c r="H93" i="1"/>
  <c r="J222" i="31"/>
  <c r="J329" i="1"/>
  <c r="F99" i="31" s="1"/>
  <c r="AI329" i="1"/>
  <c r="L329" i="1"/>
  <c r="H99" i="31" s="1"/>
  <c r="BI55" i="1"/>
  <c r="BI98" i="1"/>
  <c r="BA51" i="1"/>
  <c r="BA99" i="1"/>
  <c r="H49" i="1"/>
  <c r="AN56" i="1"/>
  <c r="BK110" i="1"/>
  <c r="BD383" i="1"/>
  <c r="BD393" i="1" s="1"/>
  <c r="BD395" i="1" s="1"/>
  <c r="Z349" i="1"/>
  <c r="Z352" i="1" s="1"/>
  <c r="BO102" i="1"/>
  <c r="BO104" i="1" s="1"/>
  <c r="BO112" i="1" s="1"/>
  <c r="BF383" i="1"/>
  <c r="H99" i="1"/>
  <c r="J383" i="1"/>
  <c r="F128" i="31" s="1"/>
  <c r="L383" i="1"/>
  <c r="BE383" i="1"/>
  <c r="J228" i="31"/>
  <c r="J110" i="1"/>
  <c r="E15" i="4" s="1"/>
  <c r="N56" i="1"/>
  <c r="I9" i="4" s="1"/>
  <c r="AY56" i="1"/>
  <c r="AY58" i="1" s="1"/>
  <c r="AY114" i="1" s="1"/>
  <c r="I231" i="31"/>
  <c r="BE102" i="1"/>
  <c r="BE104" i="1" s="1"/>
  <c r="I383" i="1"/>
  <c r="E128" i="31" s="1"/>
  <c r="AM383" i="1"/>
  <c r="F235" i="31"/>
  <c r="J233" i="31"/>
  <c r="BB56" i="1"/>
  <c r="K383" i="1"/>
  <c r="N383" i="1"/>
  <c r="BC383" i="1"/>
  <c r="Z393" i="1"/>
  <c r="Z395" i="1" s="1"/>
  <c r="H108" i="1"/>
  <c r="H47" i="1"/>
  <c r="AT56" i="1"/>
  <c r="AN102" i="1"/>
  <c r="AN104" i="1" s="1"/>
  <c r="H100" i="1"/>
  <c r="BE56" i="1"/>
  <c r="H46" i="1"/>
  <c r="BM56" i="1"/>
  <c r="BC56" i="1"/>
  <c r="BC58" i="1" s="1"/>
  <c r="BG102" i="1"/>
  <c r="BG104" i="1" s="1"/>
  <c r="BG112" i="1" s="1"/>
  <c r="BG56" i="1"/>
  <c r="BG58" i="1" s="1"/>
  <c r="H185" i="31"/>
  <c r="H195" i="31" s="1"/>
  <c r="BI101" i="1"/>
  <c r="BD56" i="1"/>
  <c r="AS53" i="1"/>
  <c r="BA101" i="1"/>
  <c r="BI12" i="1"/>
  <c r="AW56" i="1"/>
  <c r="AS94" i="1"/>
  <c r="J194" i="31"/>
  <c r="H12" i="1"/>
  <c r="J56" i="1"/>
  <c r="E9" i="4" s="1"/>
  <c r="F195" i="31"/>
  <c r="H54" i="1"/>
  <c r="AI102" i="1"/>
  <c r="AM56" i="1"/>
  <c r="H231" i="31"/>
  <c r="M102" i="1"/>
  <c r="H16" i="4" s="1"/>
  <c r="BL56" i="1"/>
  <c r="L102" i="1"/>
  <c r="L104" i="1" s="1"/>
  <c r="J230" i="31"/>
  <c r="BA46" i="1"/>
  <c r="H55" i="1"/>
  <c r="AX56" i="1"/>
  <c r="AG124" i="1"/>
  <c r="H101" i="1"/>
  <c r="AU102" i="1"/>
  <c r="AU104" i="1" s="1"/>
  <c r="J191" i="31"/>
  <c r="AI56" i="1"/>
  <c r="BN102" i="1"/>
  <c r="BN104" i="1" s="1"/>
  <c r="BN112" i="1" s="1"/>
  <c r="L56" i="1"/>
  <c r="G9" i="4" s="1"/>
  <c r="H52" i="1"/>
  <c r="AK98" i="1"/>
  <c r="AG125" i="1"/>
  <c r="BA54" i="1"/>
  <c r="AG349" i="1"/>
  <c r="AG352" i="1" s="1"/>
  <c r="I56" i="1"/>
  <c r="D9" i="4" s="1"/>
  <c r="H51" i="1"/>
  <c r="BC102" i="1"/>
  <c r="BC104" i="1" s="1"/>
  <c r="BC112" i="1" s="1"/>
  <c r="AS46" i="1"/>
  <c r="AS98" i="1"/>
  <c r="E186" i="31"/>
  <c r="J186" i="31" s="1"/>
  <c r="J190" i="31"/>
  <c r="K56" i="1"/>
  <c r="F9" i="4" s="1"/>
  <c r="F231" i="31"/>
  <c r="M56" i="1"/>
  <c r="H9" i="4" s="1"/>
  <c r="G195" i="31"/>
  <c r="G197" i="31" s="1"/>
  <c r="I195" i="31"/>
  <c r="BK56" i="1"/>
  <c r="BK58" i="1" s="1"/>
  <c r="J192" i="31"/>
  <c r="H53" i="1"/>
  <c r="BI96" i="1"/>
  <c r="BJ56" i="1"/>
  <c r="BJ102" i="1"/>
  <c r="BJ104" i="1" s="1"/>
  <c r="N102" i="1"/>
  <c r="N104" i="1" s="1"/>
  <c r="BI47" i="1"/>
  <c r="BL102" i="1"/>
  <c r="BL104" i="1" s="1"/>
  <c r="E229" i="31"/>
  <c r="J229" i="31" s="1"/>
  <c r="J223" i="31"/>
  <c r="J227" i="31"/>
  <c r="BI100" i="1"/>
  <c r="H94" i="1"/>
  <c r="H98" i="1"/>
  <c r="AK46" i="1"/>
  <c r="H97" i="1"/>
  <c r="BI97" i="1"/>
  <c r="H96" i="1"/>
  <c r="J102" i="1"/>
  <c r="E16" i="4" s="1"/>
  <c r="J225" i="31"/>
  <c r="G231" i="31"/>
  <c r="BI52" i="1"/>
  <c r="K102" i="1"/>
  <c r="K104" i="1" s="1"/>
  <c r="E226" i="31"/>
  <c r="J226" i="31" s="1"/>
  <c r="I102" i="1"/>
  <c r="D16" i="4" s="1"/>
  <c r="X406" i="1"/>
  <c r="T406" i="1"/>
  <c r="V406" i="1"/>
  <c r="AK391" i="1"/>
  <c r="AC406" i="1"/>
  <c r="AA406" i="1"/>
  <c r="AD406" i="1"/>
  <c r="AK389" i="1"/>
  <c r="H316" i="1"/>
  <c r="BA388" i="1"/>
  <c r="BI392" i="1"/>
  <c r="AK392" i="1"/>
  <c r="AS399" i="1"/>
  <c r="AA114" i="1"/>
  <c r="AA119" i="1"/>
  <c r="AA317" i="1"/>
  <c r="AA338" i="1"/>
  <c r="CB289" i="1"/>
  <c r="CB261" i="1"/>
  <c r="CB268" i="1"/>
  <c r="AA124" i="1"/>
  <c r="CB296" i="1"/>
  <c r="CB282" i="1"/>
  <c r="AA324" i="1"/>
  <c r="AA125" i="1"/>
  <c r="CB324" i="1"/>
  <c r="AA296" i="1"/>
  <c r="CB303" i="1"/>
  <c r="AA289" i="1"/>
  <c r="AA268" i="1"/>
  <c r="AA127" i="1"/>
  <c r="AA261" i="1"/>
  <c r="CB310" i="1"/>
  <c r="AA331" i="1"/>
  <c r="AA126" i="1"/>
  <c r="CB275" i="1"/>
  <c r="CB338" i="1"/>
  <c r="AA310" i="1"/>
  <c r="AA303" i="1"/>
  <c r="CB331" i="1"/>
  <c r="CB317" i="1"/>
  <c r="AA275" i="1"/>
  <c r="AA282" i="1"/>
  <c r="BI387" i="1"/>
  <c r="AS386" i="1"/>
  <c r="W352" i="1"/>
  <c r="T119" i="1"/>
  <c r="T282" i="1"/>
  <c r="BU282" i="1"/>
  <c r="T296" i="1"/>
  <c r="T261" i="1"/>
  <c r="T324" i="1"/>
  <c r="BU317" i="1"/>
  <c r="BU275" i="1"/>
  <c r="BU310" i="1"/>
  <c r="BU289" i="1"/>
  <c r="T289" i="1"/>
  <c r="T310" i="1"/>
  <c r="BU296" i="1"/>
  <c r="T124" i="1"/>
  <c r="T127" i="1"/>
  <c r="T275" i="1"/>
  <c r="BU261" i="1"/>
  <c r="T126" i="1"/>
  <c r="T303" i="1"/>
  <c r="BU268" i="1"/>
  <c r="BU331" i="1"/>
  <c r="BU303" i="1"/>
  <c r="T268" i="1"/>
  <c r="T125" i="1"/>
  <c r="T338" i="1"/>
  <c r="T317" i="1"/>
  <c r="T331" i="1"/>
  <c r="BU324" i="1"/>
  <c r="BU338" i="1"/>
  <c r="BA391" i="1"/>
  <c r="AH352" i="1"/>
  <c r="AO349" i="1"/>
  <c r="AO352" i="1" s="1"/>
  <c r="CL280" i="1"/>
  <c r="CP280" i="1"/>
  <c r="CO280" i="1"/>
  <c r="CQ280" i="1"/>
  <c r="CM280" i="1"/>
  <c r="CN280" i="1"/>
  <c r="CR280" i="1"/>
  <c r="CL336" i="1"/>
  <c r="CO336" i="1"/>
  <c r="CM336" i="1"/>
  <c r="CP336" i="1"/>
  <c r="CQ336" i="1"/>
  <c r="CN336" i="1"/>
  <c r="CR336" i="1"/>
  <c r="W114" i="1"/>
  <c r="W317" i="1"/>
  <c r="W324" i="1"/>
  <c r="W268" i="1"/>
  <c r="W338" i="1"/>
  <c r="W310" i="1"/>
  <c r="W303" i="1"/>
  <c r="W124" i="1"/>
  <c r="W261" i="1"/>
  <c r="W119" i="1"/>
  <c r="W126" i="1"/>
  <c r="W127" i="1"/>
  <c r="W331" i="1"/>
  <c r="W282" i="1"/>
  <c r="W289" i="1"/>
  <c r="W296" i="1"/>
  <c r="W125" i="1"/>
  <c r="W275" i="1"/>
  <c r="BX282" i="1"/>
  <c r="BX268" i="1"/>
  <c r="BX289" i="1"/>
  <c r="BX275" i="1"/>
  <c r="BX331" i="1"/>
  <c r="BX310" i="1"/>
  <c r="BX303" i="1"/>
  <c r="BX261" i="1"/>
  <c r="BX338" i="1"/>
  <c r="BX296" i="1"/>
  <c r="BX317" i="1"/>
  <c r="BX324" i="1"/>
  <c r="AF406" i="1"/>
  <c r="R395" i="1"/>
  <c r="AS385" i="1"/>
  <c r="AK385" i="1"/>
  <c r="AS391" i="1"/>
  <c r="BA390" i="1"/>
  <c r="AF114" i="1"/>
  <c r="AF125" i="1"/>
  <c r="CG296" i="1"/>
  <c r="CG338" i="1"/>
  <c r="CG324" i="1"/>
  <c r="AF268" i="1"/>
  <c r="CG310" i="1"/>
  <c r="AF127" i="1"/>
  <c r="AF126" i="1"/>
  <c r="AF275" i="1"/>
  <c r="CG282" i="1"/>
  <c r="AF282" i="1"/>
  <c r="AF303" i="1"/>
  <c r="AF331" i="1"/>
  <c r="AF317" i="1"/>
  <c r="AF324" i="1"/>
  <c r="AF119" i="1"/>
  <c r="AF338" i="1"/>
  <c r="CG317" i="1"/>
  <c r="CG261" i="1"/>
  <c r="CG331" i="1"/>
  <c r="AF124" i="1"/>
  <c r="CG303" i="1"/>
  <c r="AF296" i="1"/>
  <c r="CG268" i="1"/>
  <c r="AF289" i="1"/>
  <c r="CG289" i="1"/>
  <c r="AF310" i="1"/>
  <c r="AF261" i="1"/>
  <c r="CG275" i="1"/>
  <c r="BI385" i="1"/>
  <c r="AS392" i="1"/>
  <c r="J221" i="31"/>
  <c r="E136" i="31"/>
  <c r="J136" i="31" s="1"/>
  <c r="H391" i="1"/>
  <c r="CN288" i="1"/>
  <c r="CP288" i="1"/>
  <c r="CQ288" i="1"/>
  <c r="CO288" i="1"/>
  <c r="CR288" i="1"/>
  <c r="CM288" i="1"/>
  <c r="CL288" i="1"/>
  <c r="E137" i="31"/>
  <c r="J137" i="31" s="1"/>
  <c r="H392" i="1"/>
  <c r="AS389" i="1"/>
  <c r="BI391" i="1"/>
  <c r="BA386" i="1"/>
  <c r="BA387" i="1"/>
  <c r="CQ330" i="1"/>
  <c r="CR330" i="1"/>
  <c r="CN330" i="1"/>
  <c r="CO330" i="1"/>
  <c r="CP330" i="1"/>
  <c r="CL330" i="1"/>
  <c r="CM330" i="1"/>
  <c r="S119" i="1"/>
  <c r="BT296" i="1"/>
  <c r="S125" i="1"/>
  <c r="BT282" i="1"/>
  <c r="S303" i="1"/>
  <c r="BT310" i="1"/>
  <c r="BT324" i="1"/>
  <c r="S331" i="1"/>
  <c r="S282" i="1"/>
  <c r="S296" i="1"/>
  <c r="S310" i="1"/>
  <c r="BT289" i="1"/>
  <c r="BT331" i="1"/>
  <c r="BT303" i="1"/>
  <c r="S124" i="1"/>
  <c r="BT268" i="1"/>
  <c r="BT317" i="1"/>
  <c r="S126" i="1"/>
  <c r="S338" i="1"/>
  <c r="S324" i="1"/>
  <c r="BT275" i="1"/>
  <c r="S275" i="1"/>
  <c r="S268" i="1"/>
  <c r="S261" i="1"/>
  <c r="S127" i="1"/>
  <c r="BT338" i="1"/>
  <c r="S289" i="1"/>
  <c r="S317" i="1"/>
  <c r="BT261" i="1"/>
  <c r="BA389" i="1"/>
  <c r="H288" i="1"/>
  <c r="I8" i="4"/>
  <c r="H389" i="1"/>
  <c r="E134" i="31"/>
  <c r="J134" i="31" s="1"/>
  <c r="AK388" i="1"/>
  <c r="W406" i="1"/>
  <c r="H330" i="1"/>
  <c r="CN316" i="1"/>
  <c r="CO316" i="1"/>
  <c r="CR316" i="1"/>
  <c r="CM316" i="1"/>
  <c r="CP316" i="1"/>
  <c r="CL316" i="1"/>
  <c r="CQ316" i="1"/>
  <c r="AS388" i="1"/>
  <c r="AK387" i="1"/>
  <c r="BA392" i="1"/>
  <c r="AD114" i="1"/>
  <c r="AD119" i="1"/>
  <c r="AD282" i="1"/>
  <c r="AD125" i="1"/>
  <c r="CE317" i="1"/>
  <c r="CE275" i="1"/>
  <c r="AD303" i="1"/>
  <c r="AD275" i="1"/>
  <c r="AD289" i="1"/>
  <c r="AD127" i="1"/>
  <c r="AD261" i="1"/>
  <c r="AD331" i="1"/>
  <c r="CE324" i="1"/>
  <c r="AD324" i="1"/>
  <c r="CE261" i="1"/>
  <c r="CE310" i="1"/>
  <c r="CE303" i="1"/>
  <c r="CE331" i="1"/>
  <c r="CE296" i="1"/>
  <c r="CE338" i="1"/>
  <c r="AD124" i="1"/>
  <c r="CE282" i="1"/>
  <c r="CE268" i="1"/>
  <c r="CE289" i="1"/>
  <c r="AD296" i="1"/>
  <c r="AD317" i="1"/>
  <c r="AD310" i="1"/>
  <c r="AD338" i="1"/>
  <c r="AD268" i="1"/>
  <c r="AD126" i="1"/>
  <c r="R112" i="1"/>
  <c r="AI104" i="1"/>
  <c r="E133" i="31"/>
  <c r="J133" i="31" s="1"/>
  <c r="H388" i="1"/>
  <c r="BW317" i="1"/>
  <c r="V127" i="1"/>
  <c r="BW324" i="1"/>
  <c r="V275" i="1"/>
  <c r="BW268" i="1"/>
  <c r="BW261" i="1"/>
  <c r="V268" i="1"/>
  <c r="BW331" i="1"/>
  <c r="V261" i="1"/>
  <c r="V124" i="1"/>
  <c r="BW310" i="1"/>
  <c r="BW289" i="1"/>
  <c r="V303" i="1"/>
  <c r="V324" i="1"/>
  <c r="V317" i="1"/>
  <c r="V289" i="1"/>
  <c r="BW275" i="1"/>
  <c r="BW303" i="1"/>
  <c r="V119" i="1"/>
  <c r="V338" i="1"/>
  <c r="V282" i="1"/>
  <c r="BW282" i="1"/>
  <c r="V126" i="1"/>
  <c r="V331" i="1"/>
  <c r="V310" i="1"/>
  <c r="BW338" i="1"/>
  <c r="V125" i="1"/>
  <c r="BW296" i="1"/>
  <c r="V296" i="1"/>
  <c r="AS387" i="1"/>
  <c r="Y275" i="1"/>
  <c r="BZ317" i="1"/>
  <c r="BA385" i="1"/>
  <c r="BI388" i="1"/>
  <c r="E235" i="31"/>
  <c r="AS390" i="1"/>
  <c r="BI389" i="1"/>
  <c r="H387" i="1"/>
  <c r="E132" i="31"/>
  <c r="J132" i="31" s="1"/>
  <c r="Y406" i="1"/>
  <c r="AC289" i="1" l="1"/>
  <c r="BZ338" i="1"/>
  <c r="BZ324" i="1"/>
  <c r="Y324" i="1"/>
  <c r="CD338" i="1"/>
  <c r="Y126" i="1"/>
  <c r="CD310" i="1"/>
  <c r="Y303" i="1"/>
  <c r="AC303" i="1"/>
  <c r="Y338" i="1"/>
  <c r="Y331" i="1"/>
  <c r="Y317" i="1"/>
  <c r="BZ268" i="1"/>
  <c r="CD275" i="1"/>
  <c r="AC124" i="1"/>
  <c r="CD289" i="1"/>
  <c r="CD324" i="1"/>
  <c r="BZ296" i="1"/>
  <c r="BZ282" i="1"/>
  <c r="Y119" i="1"/>
  <c r="Y261" i="1"/>
  <c r="Y114" i="1"/>
  <c r="AC317" i="1"/>
  <c r="AC310" i="1"/>
  <c r="AC275" i="1"/>
  <c r="AC119" i="1"/>
  <c r="BZ303" i="1"/>
  <c r="BZ310" i="1"/>
  <c r="CD303" i="1"/>
  <c r="AC324" i="1"/>
  <c r="AC296" i="1"/>
  <c r="AC114" i="1"/>
  <c r="BZ289" i="1"/>
  <c r="Y124" i="1"/>
  <c r="Y127" i="1"/>
  <c r="Y125" i="1"/>
  <c r="CD317" i="1"/>
  <c r="AC338" i="1"/>
  <c r="AC282" i="1"/>
  <c r="BZ261" i="1"/>
  <c r="Y282" i="1"/>
  <c r="Y289" i="1"/>
  <c r="BZ275" i="1"/>
  <c r="AC268" i="1"/>
  <c r="CD282" i="1"/>
  <c r="CD268" i="1"/>
  <c r="CD261" i="1"/>
  <c r="CD331" i="1"/>
  <c r="AC261" i="1"/>
  <c r="AC125" i="1"/>
  <c r="Y268" i="1"/>
  <c r="BZ331" i="1"/>
  <c r="Y310" i="1"/>
  <c r="CD296" i="1"/>
  <c r="AC127" i="1"/>
  <c r="BK127" i="1" s="1"/>
  <c r="AC126" i="1"/>
  <c r="AH406" i="1"/>
  <c r="BE58" i="1"/>
  <c r="J130" i="31"/>
  <c r="AU112" i="1"/>
  <c r="BY289" i="1"/>
  <c r="X331" i="1"/>
  <c r="BC331" i="1" s="1"/>
  <c r="X310" i="1"/>
  <c r="BY324" i="1"/>
  <c r="AO406" i="1"/>
  <c r="X125" i="1"/>
  <c r="X303" i="1"/>
  <c r="X324" i="1"/>
  <c r="X261" i="1"/>
  <c r="BY275" i="1"/>
  <c r="H385" i="1"/>
  <c r="X126" i="1"/>
  <c r="BY310" i="1"/>
  <c r="X275" i="1"/>
  <c r="X268" i="1"/>
  <c r="BY261" i="1"/>
  <c r="X338" i="1"/>
  <c r="X124" i="1"/>
  <c r="X296" i="1"/>
  <c r="BY282" i="1"/>
  <c r="BY317" i="1"/>
  <c r="BY331" i="1"/>
  <c r="X127" i="1"/>
  <c r="BY303" i="1"/>
  <c r="X119" i="1"/>
  <c r="BY296" i="1"/>
  <c r="BY338" i="1"/>
  <c r="X289" i="1"/>
  <c r="BY268" i="1"/>
  <c r="X317" i="1"/>
  <c r="X114" i="1"/>
  <c r="R296" i="1"/>
  <c r="R261" i="1"/>
  <c r="R338" i="1"/>
  <c r="R303" i="1"/>
  <c r="R127" i="1"/>
  <c r="BS310" i="1"/>
  <c r="R310" i="1"/>
  <c r="R124" i="1"/>
  <c r="BS261" i="1"/>
  <c r="R125" i="1"/>
  <c r="BS303" i="1"/>
  <c r="BS282" i="1"/>
  <c r="R275" i="1"/>
  <c r="R268" i="1"/>
  <c r="BS296" i="1"/>
  <c r="R331" i="1"/>
  <c r="R126" i="1"/>
  <c r="BS338" i="1"/>
  <c r="R317" i="1"/>
  <c r="BS289" i="1"/>
  <c r="BS324" i="1"/>
  <c r="BS317" i="1"/>
  <c r="R282" i="1"/>
  <c r="R119" i="1"/>
  <c r="R324" i="1"/>
  <c r="BS331" i="1"/>
  <c r="BS268" i="1"/>
  <c r="R289" i="1"/>
  <c r="CL273" i="1"/>
  <c r="CH289" i="1"/>
  <c r="BE112" i="1"/>
  <c r="BE114" i="1" s="1"/>
  <c r="BI280" i="1"/>
  <c r="BI401" i="1"/>
  <c r="BA273" i="1"/>
  <c r="CO273" i="1"/>
  <c r="AO139" i="1"/>
  <c r="AB324" i="1"/>
  <c r="BO404" i="1"/>
  <c r="BA301" i="1"/>
  <c r="CQ322" i="1"/>
  <c r="AG119" i="1"/>
  <c r="AG130" i="1" s="1"/>
  <c r="AM112" i="1"/>
  <c r="AT393" i="1"/>
  <c r="AT395" i="1" s="1"/>
  <c r="BA266" i="1"/>
  <c r="AU58" i="1"/>
  <c r="AU114" i="1" s="1"/>
  <c r="AX404" i="1"/>
  <c r="AT112" i="1"/>
  <c r="CM315" i="1"/>
  <c r="CO287" i="1"/>
  <c r="CP315" i="1"/>
  <c r="CL315" i="1"/>
  <c r="CP287" i="1"/>
  <c r="CO294" i="1"/>
  <c r="CR315" i="1"/>
  <c r="CM287" i="1"/>
  <c r="CM294" i="1"/>
  <c r="CQ315" i="1"/>
  <c r="CQ287" i="1"/>
  <c r="CP294" i="1"/>
  <c r="CN287" i="1"/>
  <c r="CR294" i="1"/>
  <c r="AY393" i="1"/>
  <c r="AY395" i="1" s="1"/>
  <c r="AX393" i="1"/>
  <c r="AX395" i="1" s="1"/>
  <c r="CO315" i="1"/>
  <c r="CQ294" i="1"/>
  <c r="AS329" i="1"/>
  <c r="CL294" i="1"/>
  <c r="CL287" i="1"/>
  <c r="BL404" i="1"/>
  <c r="AK294" i="1"/>
  <c r="AK280" i="1"/>
  <c r="AV404" i="1"/>
  <c r="AM404" i="1"/>
  <c r="BJ58" i="1"/>
  <c r="BC393" i="1"/>
  <c r="BC395" i="1" s="1"/>
  <c r="BF112" i="1"/>
  <c r="BF114" i="1" s="1"/>
  <c r="AS266" i="1"/>
  <c r="J160" i="31"/>
  <c r="J162" i="31" s="1"/>
  <c r="AE331" i="1"/>
  <c r="AK399" i="1"/>
  <c r="BM112" i="1"/>
  <c r="AW404" i="1"/>
  <c r="Z114" i="1"/>
  <c r="CM266" i="1"/>
  <c r="AK266" i="1"/>
  <c r="BA308" i="1"/>
  <c r="BF404" i="1"/>
  <c r="CN273" i="1"/>
  <c r="CL322" i="1"/>
  <c r="AG324" i="1"/>
  <c r="AG114" i="1"/>
  <c r="AB310" i="1"/>
  <c r="AV58" i="1"/>
  <c r="AV393" i="1"/>
  <c r="AV395" i="1" s="1"/>
  <c r="CN322" i="1"/>
  <c r="CH338" i="1"/>
  <c r="CP273" i="1"/>
  <c r="CP322" i="1"/>
  <c r="CH331" i="1"/>
  <c r="BI322" i="1"/>
  <c r="CQ273" i="1"/>
  <c r="CM322" i="1"/>
  <c r="CH296" i="1"/>
  <c r="AG303" i="1"/>
  <c r="AK308" i="1"/>
  <c r="CO322" i="1"/>
  <c r="BB404" i="1"/>
  <c r="BB406" i="1" s="1"/>
  <c r="CR273" i="1"/>
  <c r="CH317" i="1"/>
  <c r="CH324" i="1"/>
  <c r="BA280" i="1"/>
  <c r="I145" i="31"/>
  <c r="U324" i="1"/>
  <c r="AL324" i="1" s="1"/>
  <c r="U289" i="1"/>
  <c r="BV317" i="1"/>
  <c r="BV324" i="1"/>
  <c r="AK383" i="1"/>
  <c r="J135" i="31"/>
  <c r="Z125" i="1"/>
  <c r="BD125" i="1" s="1"/>
  <c r="AS315" i="1"/>
  <c r="Z317" i="1"/>
  <c r="Z119" i="1"/>
  <c r="BF119" i="1" s="1"/>
  <c r="AX58" i="1"/>
  <c r="CA324" i="1"/>
  <c r="AK301" i="1"/>
  <c r="CA303" i="1"/>
  <c r="CA289" i="1"/>
  <c r="G16" i="4"/>
  <c r="AE338" i="1"/>
  <c r="CF289" i="1"/>
  <c r="AE289" i="1"/>
  <c r="BE393" i="1"/>
  <c r="BE395" i="1" s="1"/>
  <c r="BL58" i="1"/>
  <c r="AK315" i="1"/>
  <c r="BI390" i="1"/>
  <c r="K112" i="1"/>
  <c r="F17" i="4" s="1"/>
  <c r="J92" i="31"/>
  <c r="AK402" i="1"/>
  <c r="BA336" i="1"/>
  <c r="AS273" i="1"/>
  <c r="AK273" i="1"/>
  <c r="AH317" i="1"/>
  <c r="AO317" i="1" s="1"/>
  <c r="U275" i="1"/>
  <c r="U310" i="1"/>
  <c r="U127" i="1"/>
  <c r="U261" i="1"/>
  <c r="AL261" i="1" s="1"/>
  <c r="U296" i="1"/>
  <c r="BV289" i="1"/>
  <c r="U331" i="1"/>
  <c r="BV268" i="1"/>
  <c r="BI336" i="1"/>
  <c r="BA294" i="1"/>
  <c r="BI273" i="1"/>
  <c r="BV261" i="1"/>
  <c r="BV331" i="1"/>
  <c r="U125" i="1"/>
  <c r="U119" i="1"/>
  <c r="BV338" i="1"/>
  <c r="U303" i="1"/>
  <c r="U124" i="1"/>
  <c r="AY124" i="1" s="1"/>
  <c r="U114" i="1"/>
  <c r="BV303" i="1"/>
  <c r="U282" i="1"/>
  <c r="U338" i="1"/>
  <c r="U317" i="1"/>
  <c r="BV282" i="1"/>
  <c r="U268" i="1"/>
  <c r="BV296" i="1"/>
  <c r="U126" i="1"/>
  <c r="AX126" i="1" s="1"/>
  <c r="BV275" i="1"/>
  <c r="H390" i="1"/>
  <c r="AH296" i="1"/>
  <c r="AO296" i="1" s="1"/>
  <c r="CA275" i="1"/>
  <c r="Z127" i="1"/>
  <c r="Z124" i="1"/>
  <c r="CA310" i="1"/>
  <c r="K393" i="1"/>
  <c r="F42" i="4" s="1"/>
  <c r="BB112" i="1"/>
  <c r="AX112" i="1"/>
  <c r="BA110" i="1"/>
  <c r="AK287" i="1"/>
  <c r="CI324" i="1"/>
  <c r="Z310" i="1"/>
  <c r="CA331" i="1"/>
  <c r="Z303" i="1"/>
  <c r="CI289" i="1"/>
  <c r="Z289" i="1"/>
  <c r="Z282" i="1"/>
  <c r="BB282" i="1" s="1"/>
  <c r="Z275" i="1"/>
  <c r="BB275" i="1" s="1"/>
  <c r="Z261" i="1"/>
  <c r="AL58" i="1"/>
  <c r="U406" i="1"/>
  <c r="BN393" i="1"/>
  <c r="BN395" i="1" s="1"/>
  <c r="AS13" i="1"/>
  <c r="BA315" i="1"/>
  <c r="AS384" i="1"/>
  <c r="CI331" i="1"/>
  <c r="Z338" i="1"/>
  <c r="Z296" i="1"/>
  <c r="CA338" i="1"/>
  <c r="Z126" i="1"/>
  <c r="AT58" i="1"/>
  <c r="M393" i="1"/>
  <c r="M395" i="1" s="1"/>
  <c r="AH261" i="1"/>
  <c r="AO261" i="1" s="1"/>
  <c r="CA268" i="1"/>
  <c r="CA261" i="1"/>
  <c r="CA296" i="1"/>
  <c r="I197" i="31"/>
  <c r="I237" i="31" s="1"/>
  <c r="AU393" i="1"/>
  <c r="AU395" i="1" s="1"/>
  <c r="BM404" i="1"/>
  <c r="J91" i="31"/>
  <c r="Z324" i="1"/>
  <c r="H273" i="1"/>
  <c r="CA317" i="1"/>
  <c r="Z268" i="1"/>
  <c r="CA282" i="1"/>
  <c r="N112" i="1"/>
  <c r="I17" i="4" s="1"/>
  <c r="AS336" i="1"/>
  <c r="AN393" i="1"/>
  <c r="AN395" i="1" s="1"/>
  <c r="N404" i="1"/>
  <c r="I43" i="4" s="1"/>
  <c r="AY404" i="1"/>
  <c r="BA399" i="1"/>
  <c r="AN404" i="1"/>
  <c r="I404" i="1"/>
  <c r="D43" i="4" s="1"/>
  <c r="AT404" i="1"/>
  <c r="BG404" i="1"/>
  <c r="F145" i="31"/>
  <c r="AK401" i="1"/>
  <c r="BN404" i="1"/>
  <c r="BJ404" i="1"/>
  <c r="CM301" i="1"/>
  <c r="CO266" i="1"/>
  <c r="AL404" i="1"/>
  <c r="AL406" i="1" s="1"/>
  <c r="AK336" i="1"/>
  <c r="L112" i="1"/>
  <c r="G17" i="4" s="1"/>
  <c r="CN301" i="1"/>
  <c r="CP266" i="1"/>
  <c r="AM58" i="1"/>
  <c r="CQ301" i="1"/>
  <c r="CL266" i="1"/>
  <c r="AW393" i="1"/>
  <c r="AW395" i="1" s="1"/>
  <c r="AE406" i="1"/>
  <c r="M104" i="1"/>
  <c r="M112" i="1" s="1"/>
  <c r="H17" i="4" s="1"/>
  <c r="H18" i="4" s="1"/>
  <c r="CL301" i="1"/>
  <c r="CR266" i="1"/>
  <c r="CO301" i="1"/>
  <c r="CQ266" i="1"/>
  <c r="F197" i="31"/>
  <c r="F237" i="31" s="1"/>
  <c r="CP301" i="1"/>
  <c r="BJ393" i="1"/>
  <c r="BJ395" i="1" s="1"/>
  <c r="J404" i="1"/>
  <c r="E43" i="4" s="1"/>
  <c r="BI287" i="1"/>
  <c r="AU404" i="1"/>
  <c r="BK404" i="1"/>
  <c r="G145" i="31"/>
  <c r="BC404" i="1"/>
  <c r="AK386" i="1"/>
  <c r="BI399" i="1"/>
  <c r="H399" i="1"/>
  <c r="BD58" i="1"/>
  <c r="BD114" i="1" s="1"/>
  <c r="BE404" i="1"/>
  <c r="BD404" i="1"/>
  <c r="BD406" i="1" s="1"/>
  <c r="K404" i="1"/>
  <c r="F43" i="4" s="1"/>
  <c r="BA401" i="1"/>
  <c r="BI294" i="1"/>
  <c r="AS308" i="1"/>
  <c r="AU349" i="1"/>
  <c r="AU352" i="1" s="1"/>
  <c r="BG393" i="1"/>
  <c r="BG395" i="1" s="1"/>
  <c r="AI404" i="1"/>
  <c r="AS301" i="1"/>
  <c r="BI402" i="1"/>
  <c r="L404" i="1"/>
  <c r="G43" i="4" s="1"/>
  <c r="BA287" i="1"/>
  <c r="AS401" i="1"/>
  <c r="CH268" i="1"/>
  <c r="AG296" i="1"/>
  <c r="CH261" i="1"/>
  <c r="H266" i="1"/>
  <c r="AW58" i="1"/>
  <c r="AW114" i="1" s="1"/>
  <c r="CH282" i="1"/>
  <c r="J141" i="31"/>
  <c r="AV112" i="1"/>
  <c r="J90" i="31"/>
  <c r="CH275" i="1"/>
  <c r="AG261" i="1"/>
  <c r="AG310" i="1"/>
  <c r="AB275" i="1"/>
  <c r="H401" i="1"/>
  <c r="H139" i="31"/>
  <c r="H145" i="31" s="1"/>
  <c r="AN58" i="1"/>
  <c r="AG282" i="1"/>
  <c r="CH310" i="1"/>
  <c r="CH303" i="1"/>
  <c r="AG338" i="1"/>
  <c r="AG268" i="1"/>
  <c r="AG289" i="1"/>
  <c r="AB119" i="1"/>
  <c r="AG317" i="1"/>
  <c r="AG275" i="1"/>
  <c r="M404" i="1"/>
  <c r="H43" i="4" s="1"/>
  <c r="BM393" i="1"/>
  <c r="BM395" i="1" s="1"/>
  <c r="BB58" i="1"/>
  <c r="BN58" i="1"/>
  <c r="BN114" i="1" s="1"/>
  <c r="I128" i="31"/>
  <c r="I138" i="31" s="1"/>
  <c r="I146" i="31" s="1"/>
  <c r="L393" i="1"/>
  <c r="G42" i="4" s="1"/>
  <c r="BI383" i="1"/>
  <c r="BI384" i="1"/>
  <c r="BK393" i="1"/>
  <c r="BK395" i="1" s="1"/>
  <c r="N393" i="1"/>
  <c r="I42" i="4" s="1"/>
  <c r="BL393" i="1"/>
  <c r="BL395" i="1" s="1"/>
  <c r="AI393" i="1"/>
  <c r="BO393" i="1"/>
  <c r="BO395" i="1" s="1"/>
  <c r="H128" i="31"/>
  <c r="H138" i="31" s="1"/>
  <c r="H146" i="31" s="1"/>
  <c r="BO114" i="1"/>
  <c r="CI296" i="1"/>
  <c r="AH303" i="1"/>
  <c r="AO303" i="1" s="1"/>
  <c r="AH282" i="1"/>
  <c r="AO282" i="1" s="1"/>
  <c r="AH119" i="1"/>
  <c r="AO119" i="1" s="1"/>
  <c r="N58" i="1"/>
  <c r="CI303" i="1"/>
  <c r="AH338" i="1"/>
  <c r="AO338" i="1" s="1"/>
  <c r="AH275" i="1"/>
  <c r="AO275" i="1" s="1"/>
  <c r="AH114" i="1"/>
  <c r="J185" i="31"/>
  <c r="J195" i="31" s="1"/>
  <c r="CI268" i="1"/>
  <c r="CI261" i="1"/>
  <c r="AH310" i="1"/>
  <c r="AO310" i="1" s="1"/>
  <c r="CI275" i="1"/>
  <c r="CI310" i="1"/>
  <c r="AH289" i="1"/>
  <c r="AO289" i="1" s="1"/>
  <c r="AH324" i="1"/>
  <c r="AO324" i="1" s="1"/>
  <c r="AH331" i="1"/>
  <c r="AO331" i="1" s="1"/>
  <c r="CI282" i="1"/>
  <c r="CI317" i="1"/>
  <c r="AH268" i="1"/>
  <c r="AO268" i="1" s="1"/>
  <c r="AE303" i="1"/>
  <c r="AE317" i="1"/>
  <c r="AV349" i="1"/>
  <c r="AV352" i="1" s="1"/>
  <c r="AE125" i="1"/>
  <c r="AE275" i="1"/>
  <c r="CF324" i="1"/>
  <c r="AE268" i="1"/>
  <c r="K58" i="1"/>
  <c r="F10" i="4" s="1"/>
  <c r="CF275" i="1"/>
  <c r="AE124" i="1"/>
  <c r="CF296" i="1"/>
  <c r="AE310" i="1"/>
  <c r="I58" i="1"/>
  <c r="D10" i="4" s="1"/>
  <c r="AT349" i="1"/>
  <c r="AT352" i="1" s="1"/>
  <c r="AL349" i="1"/>
  <c r="AL352" i="1" s="1"/>
  <c r="CF282" i="1"/>
  <c r="CF338" i="1"/>
  <c r="CF303" i="1"/>
  <c r="AE119" i="1"/>
  <c r="CF317" i="1"/>
  <c r="AE282" i="1"/>
  <c r="CF310" i="1"/>
  <c r="AE114" i="1"/>
  <c r="CF261" i="1"/>
  <c r="AY349" i="1"/>
  <c r="AY352" i="1" s="1"/>
  <c r="BL349" i="1"/>
  <c r="BL352" i="1" s="1"/>
  <c r="AE126" i="1"/>
  <c r="AE261" i="1"/>
  <c r="AE324" i="1"/>
  <c r="AW349" i="1"/>
  <c r="AW352" i="1" s="1"/>
  <c r="CF268" i="1"/>
  <c r="AX349" i="1"/>
  <c r="AX352" i="1" s="1"/>
  <c r="CF331" i="1"/>
  <c r="AE296" i="1"/>
  <c r="AN112" i="1"/>
  <c r="I16" i="4"/>
  <c r="AK13" i="1"/>
  <c r="BI315" i="1"/>
  <c r="AS322" i="1"/>
  <c r="BI266" i="1"/>
  <c r="BL112" i="1"/>
  <c r="H280" i="1"/>
  <c r="AS280" i="1"/>
  <c r="AB406" i="1"/>
  <c r="AK322" i="1"/>
  <c r="CO308" i="1"/>
  <c r="CC296" i="1"/>
  <c r="AB124" i="1"/>
  <c r="AB289" i="1"/>
  <c r="CR329" i="1"/>
  <c r="CR308" i="1"/>
  <c r="AI58" i="1"/>
  <c r="CN308" i="1"/>
  <c r="AB296" i="1"/>
  <c r="CC282" i="1"/>
  <c r="CC268" i="1"/>
  <c r="BI386" i="1"/>
  <c r="BM58" i="1"/>
  <c r="BM114" i="1" s="1"/>
  <c r="Z406" i="1"/>
  <c r="AB282" i="1"/>
  <c r="CC338" i="1"/>
  <c r="CL308" i="1"/>
  <c r="CC310" i="1"/>
  <c r="CC289" i="1"/>
  <c r="AB317" i="1"/>
  <c r="AB338" i="1"/>
  <c r="J97" i="31"/>
  <c r="H386" i="1"/>
  <c r="CQ308" i="1"/>
  <c r="CC331" i="1"/>
  <c r="CC303" i="1"/>
  <c r="CC275" i="1"/>
  <c r="AB268" i="1"/>
  <c r="H315" i="1"/>
  <c r="CC261" i="1"/>
  <c r="CP308" i="1"/>
  <c r="CC324" i="1"/>
  <c r="AB331" i="1"/>
  <c r="AB126" i="1"/>
  <c r="AB303" i="1"/>
  <c r="AB114" i="1"/>
  <c r="H402" i="1"/>
  <c r="N349" i="1"/>
  <c r="N352" i="1" s="1"/>
  <c r="I38" i="4" s="1"/>
  <c r="J100" i="31"/>
  <c r="J232" i="31"/>
  <c r="J235" i="31" s="1"/>
  <c r="CC317" i="1"/>
  <c r="AB261" i="1"/>
  <c r="AB125" i="1"/>
  <c r="AL112" i="1"/>
  <c r="J131" i="31"/>
  <c r="H197" i="31"/>
  <c r="H237" i="31" s="1"/>
  <c r="AS402" i="1"/>
  <c r="I393" i="1"/>
  <c r="D42" i="4" s="1"/>
  <c r="BA402" i="1"/>
  <c r="H336" i="1"/>
  <c r="BI13" i="1"/>
  <c r="BA384" i="1"/>
  <c r="BN349" i="1"/>
  <c r="BN352" i="1" s="1"/>
  <c r="AN349" i="1"/>
  <c r="AN352" i="1" s="1"/>
  <c r="BJ349" i="1"/>
  <c r="BJ352" i="1" s="1"/>
  <c r="H13" i="1"/>
  <c r="C8" i="4" s="1"/>
  <c r="BF393" i="1"/>
  <c r="BF395" i="1" s="1"/>
  <c r="H308" i="1"/>
  <c r="BO349" i="1"/>
  <c r="BO352" i="1" s="1"/>
  <c r="L58" i="1"/>
  <c r="BM349" i="1"/>
  <c r="BM352" i="1" s="1"/>
  <c r="BK349" i="1"/>
  <c r="BK352" i="1" s="1"/>
  <c r="BA13" i="1"/>
  <c r="BJ112" i="1"/>
  <c r="AS383" i="1"/>
  <c r="H287" i="1"/>
  <c r="BA322" i="1"/>
  <c r="AK329" i="1"/>
  <c r="AK110" i="1"/>
  <c r="BK112" i="1"/>
  <c r="BK114" i="1" s="1"/>
  <c r="J94" i="31"/>
  <c r="H294" i="1"/>
  <c r="BI308" i="1"/>
  <c r="BI110" i="1"/>
  <c r="H301" i="1"/>
  <c r="AS287" i="1"/>
  <c r="J98" i="31"/>
  <c r="AS294" i="1"/>
  <c r="BI301" i="1"/>
  <c r="BA329" i="1"/>
  <c r="J58" i="1"/>
  <c r="E10" i="4" s="1"/>
  <c r="BG114" i="1"/>
  <c r="AS110" i="1"/>
  <c r="H322" i="1"/>
  <c r="J99" i="31"/>
  <c r="AK56" i="1"/>
  <c r="H384" i="1"/>
  <c r="AI112" i="1"/>
  <c r="J129" i="31"/>
  <c r="F138" i="31"/>
  <c r="J393" i="1"/>
  <c r="E42" i="4" s="1"/>
  <c r="I349" i="1"/>
  <c r="I352" i="1" s="1"/>
  <c r="CN329" i="1"/>
  <c r="BG349" i="1"/>
  <c r="BG352" i="1" s="1"/>
  <c r="K349" i="1"/>
  <c r="K352" i="1" s="1"/>
  <c r="F38" i="4" s="1"/>
  <c r="CQ329" i="1"/>
  <c r="BC349" i="1"/>
  <c r="BC352" i="1" s="1"/>
  <c r="H110" i="1"/>
  <c r="C15" i="4" s="1"/>
  <c r="CO329" i="1"/>
  <c r="BE349" i="1"/>
  <c r="BE352" i="1" s="1"/>
  <c r="L349" i="1"/>
  <c r="L352" i="1" s="1"/>
  <c r="H148" i="31" s="1"/>
  <c r="J349" i="1"/>
  <c r="J352" i="1" s="1"/>
  <c r="E38" i="4" s="1"/>
  <c r="AM349" i="1"/>
  <c r="AM352" i="1" s="1"/>
  <c r="M349" i="1"/>
  <c r="M352" i="1" s="1"/>
  <c r="H38" i="4" s="1"/>
  <c r="CP329" i="1"/>
  <c r="BF349" i="1"/>
  <c r="BF352" i="1" s="1"/>
  <c r="BI329" i="1"/>
  <c r="AI349" i="1"/>
  <c r="CL329" i="1"/>
  <c r="BD349" i="1"/>
  <c r="BD352" i="1" s="1"/>
  <c r="BB349" i="1"/>
  <c r="BB352" i="1" s="1"/>
  <c r="E195" i="31"/>
  <c r="E197" i="31" s="1"/>
  <c r="H383" i="1"/>
  <c r="AK102" i="1"/>
  <c r="AK104" i="1" s="1"/>
  <c r="AS102" i="1"/>
  <c r="AS104" i="1" s="1"/>
  <c r="G128" i="31"/>
  <c r="G138" i="31" s="1"/>
  <c r="H329" i="1"/>
  <c r="BA102" i="1"/>
  <c r="BA104" i="1" s="1"/>
  <c r="H56" i="1"/>
  <c r="C9" i="4" s="1"/>
  <c r="M58" i="1"/>
  <c r="H10" i="4" s="1"/>
  <c r="BA383" i="1"/>
  <c r="J104" i="1"/>
  <c r="J112" i="1" s="1"/>
  <c r="E17" i="4" s="1"/>
  <c r="E18" i="4" s="1"/>
  <c r="AM393" i="1"/>
  <c r="AM395" i="1" s="1"/>
  <c r="AS56" i="1"/>
  <c r="BA56" i="1"/>
  <c r="BI102" i="1"/>
  <c r="BI104" i="1" s="1"/>
  <c r="BI56" i="1"/>
  <c r="E231" i="31"/>
  <c r="F16" i="4"/>
  <c r="G237" i="31"/>
  <c r="J231" i="31"/>
  <c r="H102" i="1"/>
  <c r="C16" i="4" s="1"/>
  <c r="I104" i="1"/>
  <c r="I112" i="1" s="1"/>
  <c r="D17" i="4" s="1"/>
  <c r="D18" i="4" s="1"/>
  <c r="BC114" i="1"/>
  <c r="T130" i="1"/>
  <c r="T132" i="1" s="1"/>
  <c r="AI352" i="1"/>
  <c r="S130" i="1"/>
  <c r="S132" i="1" s="1"/>
  <c r="S140" i="1" s="1" a="1"/>
  <c r="S140" i="1" s="1"/>
  <c r="BX342" i="1"/>
  <c r="BX344" i="1" s="1"/>
  <c r="W130" i="1"/>
  <c r="V130" i="1"/>
  <c r="V132" i="1" s="1"/>
  <c r="V136" i="1" s="1" a="1"/>
  <c r="V136" i="1" s="1"/>
  <c r="R114" i="1"/>
  <c r="CE342" i="1"/>
  <c r="CE344" i="1" s="1"/>
  <c r="BU342" i="1"/>
  <c r="BU344" i="1" s="1"/>
  <c r="AA130" i="1"/>
  <c r="BT342" i="1"/>
  <c r="BT344" i="1" s="1"/>
  <c r="E138" i="31"/>
  <c r="CG342" i="1"/>
  <c r="CG344" i="1" s="1"/>
  <c r="E145" i="31"/>
  <c r="BW342" i="1"/>
  <c r="BW344" i="1" s="1"/>
  <c r="AI395" i="1"/>
  <c r="R406" i="1"/>
  <c r="CB342" i="1"/>
  <c r="CB344" i="1" s="1"/>
  <c r="AD130" i="1"/>
  <c r="AD132" i="1" s="1"/>
  <c r="AF130" i="1"/>
  <c r="AF132" i="1" s="1"/>
  <c r="BD331" i="1" l="1"/>
  <c r="AM331" i="1"/>
  <c r="BJ127" i="1"/>
  <c r="BL127" i="1"/>
  <c r="CD342" i="1"/>
  <c r="CD344" i="1" s="1"/>
  <c r="AN127" i="1"/>
  <c r="BN127" i="1"/>
  <c r="BM127" i="1"/>
  <c r="BZ342" i="1"/>
  <c r="BZ344" i="1" s="1"/>
  <c r="BG331" i="1"/>
  <c r="Y130" i="1"/>
  <c r="Y132" i="1" s="1"/>
  <c r="Y137" i="1" s="1" a="1"/>
  <c r="Y137" i="1" s="1"/>
  <c r="AC130" i="1"/>
  <c r="AC132" i="1" s="1"/>
  <c r="AC136" i="1" s="1" a="1"/>
  <c r="AC136" i="1" s="1"/>
  <c r="BE331" i="1"/>
  <c r="BF331" i="1"/>
  <c r="BB331" i="1"/>
  <c r="BF303" i="1"/>
  <c r="BC317" i="1"/>
  <c r="BL406" i="1"/>
  <c r="AL289" i="1"/>
  <c r="BD296" i="1"/>
  <c r="BC310" i="1"/>
  <c r="AY303" i="1"/>
  <c r="BE126" i="1"/>
  <c r="AU126" i="1"/>
  <c r="BF324" i="1"/>
  <c r="BF268" i="1"/>
  <c r="AL126" i="1"/>
  <c r="BD127" i="1"/>
  <c r="L395" i="1"/>
  <c r="L406" i="1" s="1"/>
  <c r="G44" i="4" s="1"/>
  <c r="BB324" i="1"/>
  <c r="AW338" i="1"/>
  <c r="X130" i="1"/>
  <c r="X132" i="1" s="1"/>
  <c r="X136" i="1" s="1" a="1"/>
  <c r="X136" i="1" s="1"/>
  <c r="BD126" i="1"/>
  <c r="BD124" i="1"/>
  <c r="BD139" i="1" s="1"/>
  <c r="BB338" i="1"/>
  <c r="BB261" i="1"/>
  <c r="AY289" i="1"/>
  <c r="BY342" i="1"/>
  <c r="BY344" i="1" s="1"/>
  <c r="X299" i="1" s="1"/>
  <c r="BE289" i="1"/>
  <c r="AU282" i="1"/>
  <c r="AY275" i="1"/>
  <c r="AW289" i="1"/>
  <c r="AT127" i="1"/>
  <c r="BF282" i="1"/>
  <c r="AV310" i="1"/>
  <c r="AV317" i="1"/>
  <c r="AT338" i="1"/>
  <c r="AT406" i="1"/>
  <c r="R130" i="1"/>
  <c r="R132" i="1" s="1"/>
  <c r="R140" i="1" s="1" a="1"/>
  <c r="R140" i="1" s="1"/>
  <c r="AY296" i="1"/>
  <c r="BO406" i="1"/>
  <c r="AX268" i="1"/>
  <c r="AW310" i="1"/>
  <c r="BS342" i="1"/>
  <c r="BS344" i="1" s="1"/>
  <c r="AY119" i="1"/>
  <c r="AY140" i="1" s="1"/>
  <c r="AT331" i="1"/>
  <c r="AU125" i="1"/>
  <c r="AU261" i="1"/>
  <c r="BE119" i="1"/>
  <c r="BE140" i="1" s="1"/>
  <c r="AX289" i="1"/>
  <c r="AY261" i="1"/>
  <c r="BB119" i="1"/>
  <c r="BB140" i="1" s="1"/>
  <c r="AV289" i="1"/>
  <c r="AW125" i="1"/>
  <c r="AX261" i="1"/>
  <c r="BC119" i="1"/>
  <c r="BC140" i="1" s="1"/>
  <c r="AT289" i="1"/>
  <c r="AU289" i="1"/>
  <c r="AW261" i="1"/>
  <c r="AM119" i="1"/>
  <c r="AM140" i="1" s="1"/>
  <c r="AM114" i="1"/>
  <c r="AV261" i="1"/>
  <c r="BD119" i="1"/>
  <c r="BD140" i="1" s="1"/>
  <c r="BJ114" i="1"/>
  <c r="BL324" i="1"/>
  <c r="AX125" i="1"/>
  <c r="AT261" i="1"/>
  <c r="BG119" i="1"/>
  <c r="BG140" i="1" s="1"/>
  <c r="AW282" i="1"/>
  <c r="AT114" i="1"/>
  <c r="AX406" i="1"/>
  <c r="AT310" i="1"/>
  <c r="AU124" i="1"/>
  <c r="BF126" i="1"/>
  <c r="AV324" i="1"/>
  <c r="BG303" i="1"/>
  <c r="AW324" i="1"/>
  <c r="AW127" i="1"/>
  <c r="AM406" i="1"/>
  <c r="AM303" i="1"/>
  <c r="BG317" i="1"/>
  <c r="AW126" i="1"/>
  <c r="BE303" i="1"/>
  <c r="AM317" i="1"/>
  <c r="AT126" i="1"/>
  <c r="J139" i="31"/>
  <c r="J145" i="31" s="1"/>
  <c r="BC126" i="1"/>
  <c r="AV126" i="1"/>
  <c r="BC303" i="1"/>
  <c r="K395" i="1"/>
  <c r="K406" i="1" s="1"/>
  <c r="F44" i="4" s="1"/>
  <c r="AU127" i="1"/>
  <c r="AM126" i="1"/>
  <c r="BD303" i="1"/>
  <c r="AU324" i="1"/>
  <c r="BF317" i="1"/>
  <c r="BB126" i="1"/>
  <c r="BB303" i="1"/>
  <c r="AX324" i="1"/>
  <c r="BD317" i="1"/>
  <c r="AY324" i="1"/>
  <c r="BB317" i="1"/>
  <c r="AL127" i="1"/>
  <c r="AY406" i="1"/>
  <c r="M338" i="1"/>
  <c r="BF406" i="1"/>
  <c r="BJ317" i="1"/>
  <c r="AL310" i="1"/>
  <c r="BN303" i="1"/>
  <c r="AV124" i="1"/>
  <c r="AX310" i="1"/>
  <c r="AX124" i="1"/>
  <c r="F18" i="4"/>
  <c r="AW124" i="1"/>
  <c r="AT124" i="1"/>
  <c r="G18" i="4"/>
  <c r="AY310" i="1"/>
  <c r="AL124" i="1"/>
  <c r="AW406" i="1"/>
  <c r="AU310" i="1"/>
  <c r="F19" i="4"/>
  <c r="BG406" i="1"/>
  <c r="BC406" i="1"/>
  <c r="BG289" i="1"/>
  <c r="AV406" i="1"/>
  <c r="BG324" i="1"/>
  <c r="AX338" i="1"/>
  <c r="BE282" i="1"/>
  <c r="AT125" i="1"/>
  <c r="AL338" i="1"/>
  <c r="BD324" i="1"/>
  <c r="AM282" i="1"/>
  <c r="AV338" i="1"/>
  <c r="BC324" i="1"/>
  <c r="BC282" i="1"/>
  <c r="AL125" i="1"/>
  <c r="AY338" i="1"/>
  <c r="BE324" i="1"/>
  <c r="BD282" i="1"/>
  <c r="AY125" i="1"/>
  <c r="AY139" i="1" s="1"/>
  <c r="BK324" i="1"/>
  <c r="AM324" i="1"/>
  <c r="BG282" i="1"/>
  <c r="AV125" i="1"/>
  <c r="AU338" i="1"/>
  <c r="AT324" i="1"/>
  <c r="AX127" i="1"/>
  <c r="BE317" i="1"/>
  <c r="AV127" i="1"/>
  <c r="M124" i="1"/>
  <c r="I244" i="31" s="1"/>
  <c r="AS393" i="1"/>
  <c r="AS395" i="1" s="1"/>
  <c r="N127" i="1"/>
  <c r="BE406" i="1"/>
  <c r="AU406" i="1"/>
  <c r="BA112" i="1"/>
  <c r="I18" i="4"/>
  <c r="BN119" i="1"/>
  <c r="BN140" i="1" s="1"/>
  <c r="N114" i="1"/>
  <c r="BM324" i="1"/>
  <c r="AN324" i="1"/>
  <c r="BJ324" i="1"/>
  <c r="BN324" i="1"/>
  <c r="BO324" i="1"/>
  <c r="BK331" i="1"/>
  <c r="BM296" i="1"/>
  <c r="BJ275" i="1"/>
  <c r="BG125" i="1"/>
  <c r="BC125" i="1"/>
  <c r="AI124" i="1"/>
  <c r="AL296" i="1"/>
  <c r="AY282" i="1"/>
  <c r="BF289" i="1"/>
  <c r="AV296" i="1"/>
  <c r="BM282" i="1"/>
  <c r="BD261" i="1"/>
  <c r="AV114" i="1"/>
  <c r="AI338" i="1"/>
  <c r="BF127" i="1"/>
  <c r="BG338" i="1"/>
  <c r="M406" i="1"/>
  <c r="H44" i="4" s="1"/>
  <c r="BL289" i="1"/>
  <c r="AX114" i="1"/>
  <c r="AT282" i="1"/>
  <c r="AT296" i="1"/>
  <c r="H42" i="4"/>
  <c r="AL282" i="1"/>
  <c r="AU296" i="1"/>
  <c r="BD289" i="1"/>
  <c r="AG132" i="1"/>
  <c r="AG137" i="1" s="1" a="1"/>
  <c r="AG137" i="1" s="1"/>
  <c r="L114" i="1"/>
  <c r="BN289" i="1"/>
  <c r="BB289" i="1"/>
  <c r="AW296" i="1"/>
  <c r="F146" i="31"/>
  <c r="BL125" i="1"/>
  <c r="AM289" i="1"/>
  <c r="AV282" i="1"/>
  <c r="AX296" i="1"/>
  <c r="BC289" i="1"/>
  <c r="AX282" i="1"/>
  <c r="CO331" i="1"/>
  <c r="BM338" i="1"/>
  <c r="CP338" i="1"/>
  <c r="BV342" i="1"/>
  <c r="BV344" i="1" s="1"/>
  <c r="U313" i="1" s="1"/>
  <c r="BC127" i="1"/>
  <c r="AM338" i="1"/>
  <c r="BE261" i="1"/>
  <c r="L127" i="1"/>
  <c r="H247" i="31" s="1"/>
  <c r="CL317" i="1"/>
  <c r="BC338" i="1"/>
  <c r="BF261" i="1"/>
  <c r="M127" i="1"/>
  <c r="I247" i="31" s="1"/>
  <c r="J127" i="1"/>
  <c r="F247" i="31" s="1"/>
  <c r="AK58" i="1"/>
  <c r="BF338" i="1"/>
  <c r="BG261" i="1"/>
  <c r="BB127" i="1"/>
  <c r="BE338" i="1"/>
  <c r="BC261" i="1"/>
  <c r="K127" i="1"/>
  <c r="I127" i="1"/>
  <c r="E247" i="31" s="1"/>
  <c r="BE127" i="1"/>
  <c r="BD338" i="1"/>
  <c r="AM261" i="1"/>
  <c r="AM127" i="1"/>
  <c r="BK268" i="1"/>
  <c r="AW268" i="1"/>
  <c r="BB125" i="1"/>
  <c r="BB268" i="1"/>
  <c r="AV303" i="1"/>
  <c r="AL275" i="1"/>
  <c r="AM125" i="1"/>
  <c r="BE125" i="1"/>
  <c r="BF125" i="1"/>
  <c r="BB310" i="1"/>
  <c r="BF124" i="1"/>
  <c r="BC296" i="1"/>
  <c r="BL114" i="1"/>
  <c r="F148" i="31"/>
  <c r="BM268" i="1"/>
  <c r="AV119" i="1"/>
  <c r="N395" i="1"/>
  <c r="N406" i="1" s="1"/>
  <c r="I44" i="4" s="1"/>
  <c r="U130" i="1"/>
  <c r="U132" i="1" s="1"/>
  <c r="U140" i="1" s="1" a="1"/>
  <c r="U140" i="1" s="1"/>
  <c r="I331" i="1"/>
  <c r="CO268" i="1"/>
  <c r="BO296" i="1"/>
  <c r="AY317" i="1"/>
  <c r="BO275" i="1"/>
  <c r="AK404" i="1"/>
  <c r="AY268" i="1"/>
  <c r="Z130" i="1"/>
  <c r="Z132" i="1" s="1"/>
  <c r="BF310" i="1"/>
  <c r="BN124" i="1"/>
  <c r="AU303" i="1"/>
  <c r="AT275" i="1"/>
  <c r="AM124" i="1"/>
  <c r="BB296" i="1"/>
  <c r="AN406" i="1"/>
  <c r="BG296" i="1"/>
  <c r="BK275" i="1"/>
  <c r="BI58" i="1"/>
  <c r="BL124" i="1"/>
  <c r="AU268" i="1"/>
  <c r="BE268" i="1"/>
  <c r="AU275" i="1"/>
  <c r="AT268" i="1"/>
  <c r="BG268" i="1"/>
  <c r="BD310" i="1"/>
  <c r="AX275" i="1"/>
  <c r="BE124" i="1"/>
  <c r="AM296" i="1"/>
  <c r="BL275" i="1"/>
  <c r="BJ331" i="1"/>
  <c r="AV268" i="1"/>
  <c r="AN275" i="1"/>
  <c r="AN124" i="1"/>
  <c r="AL268" i="1"/>
  <c r="AW303" i="1"/>
  <c r="AW275" i="1"/>
  <c r="BC124" i="1"/>
  <c r="BF296" i="1"/>
  <c r="BN275" i="1"/>
  <c r="AM268" i="1"/>
  <c r="BG310" i="1"/>
  <c r="AL303" i="1"/>
  <c r="BB124" i="1"/>
  <c r="BE310" i="1"/>
  <c r="AT303" i="1"/>
  <c r="BD268" i="1"/>
  <c r="L268" i="1"/>
  <c r="BC268" i="1"/>
  <c r="AM310" i="1"/>
  <c r="AX303" i="1"/>
  <c r="AV275" i="1"/>
  <c r="BG124" i="1"/>
  <c r="BE296" i="1"/>
  <c r="BM275" i="1"/>
  <c r="AL114" i="1"/>
  <c r="K268" i="1"/>
  <c r="J303" i="1"/>
  <c r="CN324" i="1"/>
  <c r="CN268" i="1"/>
  <c r="L331" i="1"/>
  <c r="BJ406" i="1"/>
  <c r="L296" i="1"/>
  <c r="BL296" i="1"/>
  <c r="AT317" i="1"/>
  <c r="AM275" i="1"/>
  <c r="CQ324" i="1"/>
  <c r="BG275" i="1"/>
  <c r="BL331" i="1"/>
  <c r="CL331" i="1"/>
  <c r="AU331" i="1"/>
  <c r="J296" i="1"/>
  <c r="BN296" i="1"/>
  <c r="I317" i="1"/>
  <c r="CP331" i="1"/>
  <c r="N331" i="1"/>
  <c r="M331" i="1"/>
  <c r="AT119" i="1"/>
  <c r="BJ296" i="1"/>
  <c r="AW317" i="1"/>
  <c r="AL317" i="1"/>
  <c r="BF275" i="1"/>
  <c r="BN331" i="1"/>
  <c r="BM406" i="1"/>
  <c r="CP289" i="1"/>
  <c r="AY331" i="1"/>
  <c r="AW119" i="1"/>
  <c r="AW140" i="1" s="1"/>
  <c r="AI331" i="1"/>
  <c r="J331" i="1"/>
  <c r="AX119" i="1"/>
  <c r="N282" i="1"/>
  <c r="CR324" i="1"/>
  <c r="AI317" i="1"/>
  <c r="BE275" i="1"/>
  <c r="BO331" i="1"/>
  <c r="I282" i="1"/>
  <c r="BD275" i="1"/>
  <c r="AN331" i="1"/>
  <c r="L317" i="1"/>
  <c r="CO275" i="1"/>
  <c r="CA342" i="1"/>
  <c r="CA344" i="1" s="1"/>
  <c r="Z271" i="1" s="1"/>
  <c r="CM331" i="1"/>
  <c r="AL119" i="1"/>
  <c r="AL140" i="1" s="1"/>
  <c r="AV331" i="1"/>
  <c r="N296" i="1"/>
  <c r="AX317" i="1"/>
  <c r="AW331" i="1"/>
  <c r="AU119" i="1"/>
  <c r="BC275" i="1"/>
  <c r="BM331" i="1"/>
  <c r="AX331" i="1"/>
  <c r="AL331" i="1"/>
  <c r="M282" i="1"/>
  <c r="AU317" i="1"/>
  <c r="K331" i="1"/>
  <c r="L289" i="1"/>
  <c r="H93" i="31" s="1"/>
  <c r="K289" i="1"/>
  <c r="G93" i="31" s="1"/>
  <c r="CQ331" i="1"/>
  <c r="BL268" i="1"/>
  <c r="AI268" i="1"/>
  <c r="K303" i="1"/>
  <c r="I289" i="1"/>
  <c r="E93" i="31" s="1"/>
  <c r="N268" i="1"/>
  <c r="BO303" i="1"/>
  <c r="CQ289" i="1"/>
  <c r="CR331" i="1"/>
  <c r="J119" i="1"/>
  <c r="F239" i="31" s="1"/>
  <c r="CR289" i="1"/>
  <c r="BJ268" i="1"/>
  <c r="I119" i="1"/>
  <c r="I140" i="1" s="1"/>
  <c r="BN317" i="1"/>
  <c r="CM289" i="1"/>
  <c r="D19" i="4"/>
  <c r="CO303" i="1"/>
  <c r="CR268" i="1"/>
  <c r="BO268" i="1"/>
  <c r="CN317" i="1"/>
  <c r="CL261" i="1"/>
  <c r="BB114" i="1"/>
  <c r="BL338" i="1"/>
  <c r="N310" i="1"/>
  <c r="BN268" i="1"/>
  <c r="BL317" i="1"/>
  <c r="J317" i="1"/>
  <c r="CN331" i="1"/>
  <c r="I268" i="1"/>
  <c r="N289" i="1"/>
  <c r="AN317" i="1"/>
  <c r="CN289" i="1"/>
  <c r="BK289" i="1"/>
  <c r="I114" i="1"/>
  <c r="AN119" i="1"/>
  <c r="AN140" i="1" s="1"/>
  <c r="BI404" i="1"/>
  <c r="AI289" i="1"/>
  <c r="AE130" i="1"/>
  <c r="AE132" i="1" s="1"/>
  <c r="AE136" i="1" s="1" a="1"/>
  <c r="AE136" i="1" s="1"/>
  <c r="N119" i="1"/>
  <c r="I20" i="4" s="1"/>
  <c r="BO317" i="1"/>
  <c r="CQ275" i="1"/>
  <c r="AS58" i="1"/>
  <c r="AS404" i="1"/>
  <c r="BN406" i="1"/>
  <c r="G146" i="31"/>
  <c r="I148" i="31"/>
  <c r="E19" i="4"/>
  <c r="H19" i="4"/>
  <c r="N338" i="1"/>
  <c r="AN268" i="1"/>
  <c r="J268" i="1"/>
  <c r="BK406" i="1"/>
  <c r="CP317" i="1"/>
  <c r="BL310" i="1"/>
  <c r="I310" i="1"/>
  <c r="E96" i="31" s="1"/>
  <c r="AH130" i="1"/>
  <c r="AH132" i="1" s="1"/>
  <c r="AN338" i="1"/>
  <c r="CH342" i="1"/>
  <c r="CH344" i="1" s="1"/>
  <c r="AG278" i="1" s="1"/>
  <c r="AN310" i="1"/>
  <c r="CL268" i="1"/>
  <c r="BO289" i="1"/>
  <c r="BA404" i="1"/>
  <c r="CM275" i="1"/>
  <c r="CM268" i="1"/>
  <c r="CO289" i="1"/>
  <c r="BM289" i="1"/>
  <c r="AN303" i="1"/>
  <c r="CQ268" i="1"/>
  <c r="CL289" i="1"/>
  <c r="AN289" i="1"/>
  <c r="N303" i="1"/>
  <c r="I303" i="1"/>
  <c r="CL275" i="1"/>
  <c r="BK303" i="1"/>
  <c r="BM303" i="1"/>
  <c r="CN275" i="1"/>
  <c r="BJ303" i="1"/>
  <c r="BJ282" i="1"/>
  <c r="AI303" i="1"/>
  <c r="CP275" i="1"/>
  <c r="J289" i="1"/>
  <c r="F93" i="31" s="1"/>
  <c r="CP268" i="1"/>
  <c r="I10" i="4"/>
  <c r="I19" i="4" s="1"/>
  <c r="M114" i="1"/>
  <c r="BJ289" i="1"/>
  <c r="L303" i="1"/>
  <c r="CR275" i="1"/>
  <c r="BL303" i="1"/>
  <c r="H404" i="1"/>
  <c r="C43" i="4" s="1"/>
  <c r="M268" i="1"/>
  <c r="M303" i="1"/>
  <c r="BK296" i="1"/>
  <c r="BM317" i="1"/>
  <c r="CR317" i="1"/>
  <c r="BO125" i="1"/>
  <c r="L124" i="1"/>
  <c r="H244" i="31" s="1"/>
  <c r="AN114" i="1"/>
  <c r="J338" i="1"/>
  <c r="BK317" i="1"/>
  <c r="K296" i="1"/>
  <c r="N317" i="1"/>
  <c r="BO124" i="1"/>
  <c r="K124" i="1"/>
  <c r="G244" i="31" s="1"/>
  <c r="CR303" i="1"/>
  <c r="CM310" i="1"/>
  <c r="M317" i="1"/>
  <c r="BK124" i="1"/>
  <c r="BM124" i="1"/>
  <c r="N124" i="1"/>
  <c r="J124" i="1"/>
  <c r="F244" i="31" s="1"/>
  <c r="M296" i="1"/>
  <c r="AN296" i="1"/>
  <c r="K317" i="1"/>
  <c r="BJ124" i="1"/>
  <c r="I124" i="1"/>
  <c r="E244" i="31" s="1"/>
  <c r="CI342" i="1"/>
  <c r="CI344" i="1" s="1"/>
  <c r="AH264" i="1" s="1"/>
  <c r="AI296" i="1"/>
  <c r="I296" i="1"/>
  <c r="J114" i="1"/>
  <c r="CO317" i="1"/>
  <c r="BK282" i="1"/>
  <c r="AI125" i="1"/>
  <c r="BJ310" i="1"/>
  <c r="AN125" i="1"/>
  <c r="M324" i="1"/>
  <c r="J282" i="1"/>
  <c r="AI406" i="1"/>
  <c r="M310" i="1"/>
  <c r="I96" i="31" s="1"/>
  <c r="H104" i="1"/>
  <c r="H112" i="1" s="1"/>
  <c r="C17" i="4" s="1"/>
  <c r="C18" i="4" s="1"/>
  <c r="K125" i="1"/>
  <c r="G245" i="31" s="1"/>
  <c r="AI324" i="1"/>
  <c r="K310" i="1"/>
  <c r="G96" i="31" s="1"/>
  <c r="BL282" i="1"/>
  <c r="BN310" i="1"/>
  <c r="BM125" i="1"/>
  <c r="J324" i="1"/>
  <c r="BO282" i="1"/>
  <c r="N125" i="1"/>
  <c r="BO310" i="1"/>
  <c r="BJ125" i="1"/>
  <c r="K324" i="1"/>
  <c r="CQ317" i="1"/>
  <c r="J310" i="1"/>
  <c r="F96" i="31" s="1"/>
  <c r="AN282" i="1"/>
  <c r="J125" i="1"/>
  <c r="F245" i="31" s="1"/>
  <c r="BK310" i="1"/>
  <c r="BK125" i="1"/>
  <c r="BK139" i="1" s="1"/>
  <c r="N324" i="1"/>
  <c r="K261" i="1"/>
  <c r="K282" i="1"/>
  <c r="CM317" i="1"/>
  <c r="L310" i="1"/>
  <c r="H96" i="31" s="1"/>
  <c r="BN282" i="1"/>
  <c r="M125" i="1"/>
  <c r="I245" i="31" s="1"/>
  <c r="BM310" i="1"/>
  <c r="BN125" i="1"/>
  <c r="L324" i="1"/>
  <c r="I324" i="1"/>
  <c r="AI282" i="1"/>
  <c r="L282" i="1"/>
  <c r="AI310" i="1"/>
  <c r="L125" i="1"/>
  <c r="H245" i="31" s="1"/>
  <c r="I125" i="1"/>
  <c r="E245" i="31" s="1"/>
  <c r="CO282" i="1"/>
  <c r="J128" i="31"/>
  <c r="J138" i="31" s="1"/>
  <c r="BI393" i="1"/>
  <c r="BI395" i="1" s="1"/>
  <c r="BI112" i="1"/>
  <c r="L338" i="1"/>
  <c r="M289" i="1"/>
  <c r="I93" i="31" s="1"/>
  <c r="AI119" i="1"/>
  <c r="M119" i="1"/>
  <c r="M140" i="1" s="1"/>
  <c r="BN338" i="1"/>
  <c r="AI275" i="1"/>
  <c r="BM119" i="1"/>
  <c r="BM140" i="1" s="1"/>
  <c r="M275" i="1"/>
  <c r="BO338" i="1"/>
  <c r="N275" i="1"/>
  <c r="BL119" i="1"/>
  <c r="BL140" i="1" s="1"/>
  <c r="BL126" i="1"/>
  <c r="CQ296" i="1"/>
  <c r="CN261" i="1"/>
  <c r="BK338" i="1"/>
  <c r="J275" i="1"/>
  <c r="L275" i="1"/>
  <c r="BK119" i="1"/>
  <c r="BK140" i="1" s="1"/>
  <c r="I338" i="1"/>
  <c r="K119" i="1"/>
  <c r="K140" i="1" s="1"/>
  <c r="BJ338" i="1"/>
  <c r="K275" i="1"/>
  <c r="BJ119" i="1"/>
  <c r="BJ140" i="1" s="1"/>
  <c r="CN338" i="1"/>
  <c r="I275" i="1"/>
  <c r="BO119" i="1"/>
  <c r="BO140" i="1" s="1"/>
  <c r="K338" i="1"/>
  <c r="L119" i="1"/>
  <c r="L140" i="1" s="1"/>
  <c r="AS349" i="1"/>
  <c r="AS352" i="1" s="1"/>
  <c r="BM126" i="1"/>
  <c r="CF342" i="1"/>
  <c r="CF344" i="1" s="1"/>
  <c r="AE341" i="1" s="1"/>
  <c r="CQ261" i="1"/>
  <c r="CQ310" i="1"/>
  <c r="K114" i="1"/>
  <c r="CP282" i="1"/>
  <c r="CR261" i="1"/>
  <c r="L126" i="1"/>
  <c r="H246" i="31" s="1"/>
  <c r="CM296" i="1"/>
  <c r="CP261" i="1"/>
  <c r="BL261" i="1"/>
  <c r="CO261" i="1"/>
  <c r="CL303" i="1"/>
  <c r="AB130" i="1"/>
  <c r="AB132" i="1" s="1"/>
  <c r="AB429" i="1" s="1"/>
  <c r="CM261" i="1"/>
  <c r="CP303" i="1"/>
  <c r="J126" i="1"/>
  <c r="F246" i="31" s="1"/>
  <c r="G148" i="31"/>
  <c r="CQ303" i="1"/>
  <c r="CO296" i="1"/>
  <c r="CM282" i="1"/>
  <c r="AN261" i="1"/>
  <c r="AI261" i="1"/>
  <c r="I261" i="1"/>
  <c r="BN126" i="1"/>
  <c r="N126" i="1"/>
  <c r="CN296" i="1"/>
  <c r="CQ282" i="1"/>
  <c r="BK261" i="1"/>
  <c r="L261" i="1"/>
  <c r="CN310" i="1"/>
  <c r="AN126" i="1"/>
  <c r="I126" i="1"/>
  <c r="E246" i="31" s="1"/>
  <c r="CM303" i="1"/>
  <c r="K126" i="1"/>
  <c r="CP296" i="1"/>
  <c r="CL282" i="1"/>
  <c r="AK393" i="1"/>
  <c r="AK395" i="1" s="1"/>
  <c r="BN261" i="1"/>
  <c r="CO310" i="1"/>
  <c r="BK126" i="1"/>
  <c r="AK349" i="1"/>
  <c r="AK352" i="1" s="1"/>
  <c r="CN303" i="1"/>
  <c r="CR296" i="1"/>
  <c r="CN282" i="1"/>
  <c r="BO261" i="1"/>
  <c r="CP310" i="1"/>
  <c r="BJ126" i="1"/>
  <c r="CL296" i="1"/>
  <c r="CR282" i="1"/>
  <c r="BJ261" i="1"/>
  <c r="M261" i="1"/>
  <c r="N261" i="1"/>
  <c r="CL310" i="1"/>
  <c r="J261" i="1"/>
  <c r="CR310" i="1"/>
  <c r="M126" i="1"/>
  <c r="I246" i="31" s="1"/>
  <c r="BM261" i="1"/>
  <c r="H58" i="1"/>
  <c r="C10" i="4" s="1"/>
  <c r="CP324" i="1"/>
  <c r="CO338" i="1"/>
  <c r="CC342" i="1"/>
  <c r="CC344" i="1" s="1"/>
  <c r="AB341" i="1" s="1"/>
  <c r="CQ338" i="1"/>
  <c r="BA58" i="1"/>
  <c r="CO324" i="1"/>
  <c r="CM338" i="1"/>
  <c r="H349" i="1"/>
  <c r="H352" i="1" s="1"/>
  <c r="CL324" i="1"/>
  <c r="CR338" i="1"/>
  <c r="G38" i="4"/>
  <c r="BA393" i="1"/>
  <c r="BA395" i="1" s="1"/>
  <c r="I395" i="1"/>
  <c r="I406" i="1" s="1"/>
  <c r="D44" i="4" s="1"/>
  <c r="CM324" i="1"/>
  <c r="CL338" i="1"/>
  <c r="AK112" i="1"/>
  <c r="G10" i="4"/>
  <c r="G19" i="4" s="1"/>
  <c r="AS112" i="1"/>
  <c r="BI349" i="1"/>
  <c r="BI352" i="1" s="1"/>
  <c r="J197" i="31"/>
  <c r="J237" i="31" s="1"/>
  <c r="H393" i="1"/>
  <c r="C42" i="4" s="1"/>
  <c r="J395" i="1"/>
  <c r="J406" i="1" s="1"/>
  <c r="E44" i="4" s="1"/>
  <c r="BA349" i="1"/>
  <c r="BA352" i="1" s="1"/>
  <c r="E237" i="31"/>
  <c r="E11" i="4"/>
  <c r="Y139" i="1" a="1"/>
  <c r="Y139" i="1" s="1"/>
  <c r="S139" i="1" a="1"/>
  <c r="S139" i="1" s="1"/>
  <c r="S137" i="1" a="1"/>
  <c r="S137" i="1" s="1"/>
  <c r="Y140" i="1" a="1"/>
  <c r="Y140" i="1" s="1"/>
  <c r="X313" i="1"/>
  <c r="E146" i="31"/>
  <c r="V137" i="1" a="1"/>
  <c r="V137" i="1" s="1"/>
  <c r="AD427" i="1"/>
  <c r="D80" i="3"/>
  <c r="AD430" i="1"/>
  <c r="AD429" i="1"/>
  <c r="AD158" i="1"/>
  <c r="AD139" i="1" a="1"/>
  <c r="AD139" i="1" s="1"/>
  <c r="AD140" i="1" a="1"/>
  <c r="AD140" i="1" s="1"/>
  <c r="T427" i="1"/>
  <c r="D70" i="3"/>
  <c r="T429" i="1"/>
  <c r="T430" i="1"/>
  <c r="T158" i="1"/>
  <c r="F11" i="4"/>
  <c r="E148" i="31"/>
  <c r="D38" i="4"/>
  <c r="T140" i="1" a="1"/>
  <c r="T140" i="1" s="1"/>
  <c r="AD137" i="1" a="1"/>
  <c r="AD137" i="1" s="1"/>
  <c r="AF427" i="1"/>
  <c r="D82" i="3"/>
  <c r="AF158" i="1"/>
  <c r="AF429" i="1"/>
  <c r="AF430" i="1"/>
  <c r="AF137" i="1" a="1"/>
  <c r="AF137" i="1" s="1"/>
  <c r="AF136" i="1" a="1"/>
  <c r="AF136" i="1" s="1"/>
  <c r="AF139" i="1" a="1"/>
  <c r="AF139" i="1" s="1"/>
  <c r="AF140" i="1" a="1"/>
  <c r="AF140" i="1" s="1"/>
  <c r="H11" i="4"/>
  <c r="Y427" i="1"/>
  <c r="Y158" i="1"/>
  <c r="Y429" i="1"/>
  <c r="D75" i="3"/>
  <c r="Y430" i="1"/>
  <c r="BI127" i="1"/>
  <c r="BF140" i="1"/>
  <c r="W327" i="1"/>
  <c r="W285" i="1"/>
  <c r="W306" i="1"/>
  <c r="W313" i="1"/>
  <c r="W334" i="1"/>
  <c r="W278" i="1"/>
  <c r="W341" i="1"/>
  <c r="W264" i="1"/>
  <c r="W292" i="1"/>
  <c r="W320" i="1"/>
  <c r="W271" i="1"/>
  <c r="W299" i="1"/>
  <c r="T136" i="1" a="1"/>
  <c r="T136" i="1" s="1"/>
  <c r="AI114" i="1"/>
  <c r="S136" i="1" a="1"/>
  <c r="S136" i="1" s="1"/>
  <c r="AD292" i="1"/>
  <c r="AD285" i="1"/>
  <c r="AD264" i="1"/>
  <c r="AD271" i="1"/>
  <c r="AD320" i="1"/>
  <c r="AD341" i="1"/>
  <c r="AD327" i="1"/>
  <c r="AD299" i="1"/>
  <c r="AD334" i="1"/>
  <c r="AD306" i="1"/>
  <c r="AD278" i="1"/>
  <c r="AD313" i="1"/>
  <c r="V427" i="1"/>
  <c r="D72" i="3"/>
  <c r="V430" i="1"/>
  <c r="V429" i="1"/>
  <c r="V158" i="1"/>
  <c r="S292" i="1"/>
  <c r="S271" i="1"/>
  <c r="S320" i="1"/>
  <c r="S341" i="1"/>
  <c r="S327" i="1"/>
  <c r="S313" i="1"/>
  <c r="S278" i="1"/>
  <c r="S285" i="1"/>
  <c r="S264" i="1"/>
  <c r="S306" i="1"/>
  <c r="S334" i="1"/>
  <c r="S299" i="1"/>
  <c r="T137" i="1" a="1"/>
  <c r="T137" i="1" s="1"/>
  <c r="S427" i="1"/>
  <c r="D69" i="3"/>
  <c r="S429" i="1"/>
  <c r="S430" i="1"/>
  <c r="S158" i="1"/>
  <c r="AO140" i="1"/>
  <c r="AO130" i="1"/>
  <c r="AO132" i="1" s="1"/>
  <c r="Y299" i="1"/>
  <c r="Y341" i="1"/>
  <c r="Y264" i="1"/>
  <c r="Y271" i="1"/>
  <c r="Y334" i="1"/>
  <c r="Y278" i="1"/>
  <c r="Y285" i="1"/>
  <c r="Y313" i="1"/>
  <c r="Y292" i="1"/>
  <c r="Y306" i="1"/>
  <c r="Y327" i="1"/>
  <c r="Y320" i="1"/>
  <c r="AD136" i="1" a="1"/>
  <c r="AD136" i="1" s="1"/>
  <c r="T139" i="1" a="1"/>
  <c r="T139" i="1" s="1"/>
  <c r="AF327" i="1"/>
  <c r="AF292" i="1"/>
  <c r="AF334" i="1"/>
  <c r="AF320" i="1"/>
  <c r="AF299" i="1"/>
  <c r="AF285" i="1"/>
  <c r="AF271" i="1"/>
  <c r="AF341" i="1"/>
  <c r="AF306" i="1"/>
  <c r="AF264" i="1"/>
  <c r="AF313" i="1"/>
  <c r="AF278" i="1"/>
  <c r="AA278" i="1"/>
  <c r="AA327" i="1"/>
  <c r="AA264" i="1"/>
  <c r="AA292" i="1"/>
  <c r="AA299" i="1"/>
  <c r="AA334" i="1"/>
  <c r="AA271" i="1"/>
  <c r="AA341" i="1"/>
  <c r="AA306" i="1"/>
  <c r="AA313" i="1"/>
  <c r="AA285" i="1"/>
  <c r="AA320" i="1"/>
  <c r="V306" i="1"/>
  <c r="V313" i="1"/>
  <c r="V278" i="1"/>
  <c r="V334" i="1"/>
  <c r="V341" i="1"/>
  <c r="V320" i="1"/>
  <c r="V327" i="1"/>
  <c r="V292" i="1"/>
  <c r="V271" i="1"/>
  <c r="V299" i="1"/>
  <c r="V264" i="1"/>
  <c r="V285" i="1"/>
  <c r="V139" i="1" a="1"/>
  <c r="V139" i="1" s="1"/>
  <c r="T334" i="1"/>
  <c r="T285" i="1"/>
  <c r="T341" i="1"/>
  <c r="T264" i="1"/>
  <c r="T320" i="1"/>
  <c r="T278" i="1"/>
  <c r="T327" i="1"/>
  <c r="T271" i="1"/>
  <c r="T306" i="1"/>
  <c r="T299" i="1"/>
  <c r="T313" i="1"/>
  <c r="T292" i="1"/>
  <c r="Y136" i="1" a="1"/>
  <c r="Y136" i="1" s="1"/>
  <c r="AC341" i="1"/>
  <c r="AC306" i="1"/>
  <c r="AC327" i="1"/>
  <c r="AC264" i="1"/>
  <c r="AC278" i="1"/>
  <c r="AC334" i="1"/>
  <c r="AC313" i="1"/>
  <c r="AC320" i="1"/>
  <c r="AC271" i="1"/>
  <c r="AC292" i="1"/>
  <c r="AC299" i="1"/>
  <c r="AC285" i="1"/>
  <c r="V140" i="1" a="1"/>
  <c r="V140" i="1" s="1"/>
  <c r="W132" i="1"/>
  <c r="W140" i="1" s="1" a="1"/>
  <c r="W140" i="1" s="1"/>
  <c r="D11" i="4"/>
  <c r="AA132" i="1"/>
  <c r="AA140" i="1" s="1" a="1"/>
  <c r="AA140" i="1" s="1"/>
  <c r="BA331" i="1" l="1"/>
  <c r="AC427" i="1"/>
  <c r="AN139" i="1"/>
  <c r="AC140" i="1" a="1"/>
  <c r="AC140" i="1" s="1"/>
  <c r="AC139" i="1" a="1"/>
  <c r="AC139" i="1" s="1"/>
  <c r="AC429" i="1"/>
  <c r="AC158" i="1"/>
  <c r="AC137" i="1" a="1"/>
  <c r="AC137" i="1" s="1"/>
  <c r="AC430" i="1"/>
  <c r="D79" i="3"/>
  <c r="I79" i="3" s="1"/>
  <c r="X264" i="1"/>
  <c r="X306" i="1"/>
  <c r="X334" i="1"/>
  <c r="X320" i="1"/>
  <c r="X292" i="1"/>
  <c r="X341" i="1"/>
  <c r="X285" i="1"/>
  <c r="X278" i="1"/>
  <c r="X271" i="1"/>
  <c r="BF271" i="1" s="1"/>
  <c r="X327" i="1"/>
  <c r="AU139" i="1"/>
  <c r="U264" i="1"/>
  <c r="AG327" i="1"/>
  <c r="U306" i="1"/>
  <c r="U271" i="1"/>
  <c r="U320" i="1"/>
  <c r="U292" i="1"/>
  <c r="U299" i="1"/>
  <c r="U278" i="1"/>
  <c r="U327" i="1"/>
  <c r="U285" i="1"/>
  <c r="U341" i="1"/>
  <c r="AK289" i="1"/>
  <c r="U334" i="1"/>
  <c r="AY130" i="1"/>
  <c r="AY132" i="1" s="1"/>
  <c r="BA303" i="1"/>
  <c r="J146" i="31"/>
  <c r="AW139" i="1"/>
  <c r="AW141" i="1" s="1"/>
  <c r="G398" i="4" s="1"/>
  <c r="AK126" i="1"/>
  <c r="BN139" i="1"/>
  <c r="BN141" i="1" s="1"/>
  <c r="H400" i="4" s="1"/>
  <c r="AU130" i="1"/>
  <c r="AU132" i="1" s="1"/>
  <c r="AS126" i="1"/>
  <c r="AS289" i="1"/>
  <c r="U427" i="1"/>
  <c r="I239" i="31"/>
  <c r="U139" i="1" a="1"/>
  <c r="U139" i="1" s="1"/>
  <c r="H20" i="4"/>
  <c r="AG264" i="1"/>
  <c r="U158" i="1"/>
  <c r="AG285" i="1"/>
  <c r="U429" i="1"/>
  <c r="U137" i="1" a="1"/>
  <c r="U137" i="1" s="1"/>
  <c r="AT130" i="1"/>
  <c r="AT132" i="1" s="1"/>
  <c r="AT139" i="1"/>
  <c r="AG292" i="1"/>
  <c r="D71" i="3"/>
  <c r="G71" i="3" s="1"/>
  <c r="U136" i="1" a="1"/>
  <c r="U136" i="1" s="1"/>
  <c r="AX139" i="1"/>
  <c r="AG306" i="1"/>
  <c r="AG320" i="1"/>
  <c r="AG334" i="1"/>
  <c r="BA114" i="1"/>
  <c r="AG271" i="1"/>
  <c r="AS261" i="1"/>
  <c r="BA119" i="1"/>
  <c r="BD130" i="1"/>
  <c r="BD132" i="1" s="1"/>
  <c r="Z334" i="1"/>
  <c r="AS324" i="1"/>
  <c r="BA317" i="1"/>
  <c r="BA126" i="1"/>
  <c r="Z278" i="1"/>
  <c r="Z341" i="1"/>
  <c r="BE341" i="1" s="1"/>
  <c r="N140" i="1"/>
  <c r="N146" i="1" s="1"/>
  <c r="Z320" i="1"/>
  <c r="Z313" i="1"/>
  <c r="BG313" i="1" s="1"/>
  <c r="AS124" i="1"/>
  <c r="AK338" i="1"/>
  <c r="AK114" i="1"/>
  <c r="AK324" i="1"/>
  <c r="AV139" i="1"/>
  <c r="AL139" i="1"/>
  <c r="AL141" i="1" s="1"/>
  <c r="AS310" i="1"/>
  <c r="BA282" i="1"/>
  <c r="AU140" i="1"/>
  <c r="AS275" i="1"/>
  <c r="BA289" i="1"/>
  <c r="BA261" i="1"/>
  <c r="AS406" i="1"/>
  <c r="AE271" i="1"/>
  <c r="BG139" i="1"/>
  <c r="BG141" i="1" s="1"/>
  <c r="I399" i="4" s="1"/>
  <c r="BL139" i="1"/>
  <c r="BL141" i="1" s="1"/>
  <c r="F400" i="4" s="1"/>
  <c r="F426" i="4" s="1"/>
  <c r="AG313" i="1"/>
  <c r="Z327" i="1"/>
  <c r="U430" i="1"/>
  <c r="AS268" i="1"/>
  <c r="BA338" i="1"/>
  <c r="BA324" i="1"/>
  <c r="AM139" i="1"/>
  <c r="AM141" i="1" s="1"/>
  <c r="AG341" i="1"/>
  <c r="BN341" i="1" s="1"/>
  <c r="M139" i="1"/>
  <c r="M141" i="1" s="1"/>
  <c r="AB140" i="1" a="1"/>
  <c r="AB140" i="1" s="1"/>
  <c r="AX130" i="1"/>
  <c r="AX132" i="1" s="1"/>
  <c r="AS282" i="1"/>
  <c r="AS127" i="1"/>
  <c r="AS125" i="1"/>
  <c r="BC139" i="1"/>
  <c r="BC141" i="1" s="1"/>
  <c r="E399" i="4" s="1"/>
  <c r="AK282" i="1"/>
  <c r="AK296" i="1"/>
  <c r="AS338" i="1"/>
  <c r="AW130" i="1"/>
  <c r="AW132" i="1" s="1"/>
  <c r="J140" i="1"/>
  <c r="J146" i="1" s="1"/>
  <c r="AG140" i="1" a="1"/>
  <c r="AG140" i="1" s="1"/>
  <c r="AG158" i="1"/>
  <c r="D83" i="3"/>
  <c r="G83" i="3" s="1"/>
  <c r="AV130" i="1"/>
  <c r="AV132" i="1" s="1"/>
  <c r="AS296" i="1"/>
  <c r="BI324" i="1"/>
  <c r="Z299" i="1"/>
  <c r="BE299" i="1" s="1"/>
  <c r="Z306" i="1"/>
  <c r="BG130" i="1"/>
  <c r="BG132" i="1" s="1"/>
  <c r="Z264" i="1"/>
  <c r="Z292" i="1"/>
  <c r="AK261" i="1"/>
  <c r="Z285" i="1"/>
  <c r="AG139" i="1" a="1"/>
  <c r="AG139" i="1" s="1"/>
  <c r="AG136" i="1" a="1"/>
  <c r="AG136" i="1" s="1"/>
  <c r="AG429" i="1"/>
  <c r="AG430" i="1"/>
  <c r="AG427" i="1"/>
  <c r="H127" i="1"/>
  <c r="BA125" i="1"/>
  <c r="AM130" i="1"/>
  <c r="AM132" i="1" s="1"/>
  <c r="BA127" i="1"/>
  <c r="BE130" i="1"/>
  <c r="BE132" i="1" s="1"/>
  <c r="BC130" i="1"/>
  <c r="BC132" i="1" s="1"/>
  <c r="BE139" i="1"/>
  <c r="BE141" i="1" s="1"/>
  <c r="G399" i="4" s="1"/>
  <c r="AK127" i="1"/>
  <c r="AV140" i="1"/>
  <c r="AV144" i="1" s="1"/>
  <c r="AK317" i="1"/>
  <c r="BA268" i="1"/>
  <c r="BB139" i="1"/>
  <c r="BB141" i="1" s="1"/>
  <c r="D399" i="4" s="1"/>
  <c r="AK406" i="1"/>
  <c r="BI124" i="1"/>
  <c r="AK268" i="1"/>
  <c r="H331" i="1"/>
  <c r="I139" i="1"/>
  <c r="I141" i="1" s="1"/>
  <c r="BA296" i="1"/>
  <c r="BF130" i="1"/>
  <c r="BF132" i="1" s="1"/>
  <c r="J247" i="31"/>
  <c r="BB130" i="1"/>
  <c r="BB132" i="1" s="1"/>
  <c r="F20" i="4"/>
  <c r="AK275" i="1"/>
  <c r="AL130" i="1"/>
  <c r="AL132" i="1" s="1"/>
  <c r="E20" i="4"/>
  <c r="AK119" i="1"/>
  <c r="AK140" i="1" s="1"/>
  <c r="BF139" i="1"/>
  <c r="BF141" i="1" s="1"/>
  <c r="H399" i="4" s="1"/>
  <c r="BI296" i="1"/>
  <c r="AK124" i="1"/>
  <c r="BA310" i="1"/>
  <c r="AH278" i="1"/>
  <c r="AO278" i="1" s="1"/>
  <c r="AX140" i="1"/>
  <c r="AX145" i="1" s="1"/>
  <c r="AX151" i="1" s="1"/>
  <c r="H296" i="1"/>
  <c r="AS317" i="1"/>
  <c r="AH341" i="1"/>
  <c r="AO341" i="1" s="1"/>
  <c r="AK310" i="1"/>
  <c r="D20" i="4"/>
  <c r="H249" i="31"/>
  <c r="AH327" i="1"/>
  <c r="AO327" i="1" s="1"/>
  <c r="AB139" i="1" a="1"/>
  <c r="AB139" i="1" s="1"/>
  <c r="AH313" i="1"/>
  <c r="AO313" i="1" s="1"/>
  <c r="H119" i="1"/>
  <c r="H140" i="1" s="1"/>
  <c r="AH320" i="1"/>
  <c r="AO320" i="1" s="1"/>
  <c r="E239" i="31"/>
  <c r="AH271" i="1"/>
  <c r="AO271" i="1" s="1"/>
  <c r="AS303" i="1"/>
  <c r="AK331" i="1"/>
  <c r="AK125" i="1"/>
  <c r="AB136" i="1" a="1"/>
  <c r="AB136" i="1" s="1"/>
  <c r="AB137" i="1" a="1"/>
  <c r="AB137" i="1" s="1"/>
  <c r="AK303" i="1"/>
  <c r="AB278" i="1"/>
  <c r="AS114" i="1"/>
  <c r="BI331" i="1"/>
  <c r="AG299" i="1"/>
  <c r="BI114" i="1"/>
  <c r="AB264" i="1"/>
  <c r="AB158" i="1"/>
  <c r="AB306" i="1"/>
  <c r="AB430" i="1"/>
  <c r="AB271" i="1"/>
  <c r="AB427" i="1"/>
  <c r="BL130" i="1"/>
  <c r="BL132" i="1" s="1"/>
  <c r="J245" i="31"/>
  <c r="AS331" i="1"/>
  <c r="BI275" i="1"/>
  <c r="AS119" i="1"/>
  <c r="BA124" i="1"/>
  <c r="M130" i="1"/>
  <c r="M132" i="1" s="1"/>
  <c r="BI268" i="1"/>
  <c r="BA275" i="1"/>
  <c r="AT140" i="1"/>
  <c r="AI130" i="1"/>
  <c r="BN130" i="1"/>
  <c r="BN132" i="1" s="1"/>
  <c r="N130" i="1"/>
  <c r="I21" i="4" s="1"/>
  <c r="BI317" i="1"/>
  <c r="BI289" i="1"/>
  <c r="BI310" i="1"/>
  <c r="I130" i="1"/>
  <c r="G239" i="31"/>
  <c r="BJ139" i="1"/>
  <c r="BJ141" i="1" s="1"/>
  <c r="D400" i="4" s="1"/>
  <c r="H268" i="1"/>
  <c r="G20" i="4"/>
  <c r="AH292" i="1"/>
  <c r="AO292" i="1" s="1"/>
  <c r="AH285" i="1"/>
  <c r="AO285" i="1" s="1"/>
  <c r="AB285" i="1"/>
  <c r="D78" i="3"/>
  <c r="I78" i="3" s="1"/>
  <c r="BI282" i="1"/>
  <c r="H239" i="31"/>
  <c r="I11" i="4"/>
  <c r="L139" i="1"/>
  <c r="L141" i="1" s="1"/>
  <c r="BI303" i="1"/>
  <c r="AB292" i="1"/>
  <c r="N139" i="1"/>
  <c r="AH306" i="1"/>
  <c r="AO306" i="1" s="1"/>
  <c r="AH334" i="1"/>
  <c r="AO334" i="1" s="1"/>
  <c r="AB299" i="1"/>
  <c r="AB320" i="1"/>
  <c r="AH299" i="1"/>
  <c r="AO299" i="1" s="1"/>
  <c r="AB313" i="1"/>
  <c r="BI406" i="1"/>
  <c r="BA406" i="1"/>
  <c r="AH136" i="1" a="1"/>
  <c r="AH136" i="1" s="1"/>
  <c r="AH429" i="1"/>
  <c r="AO429" i="1" s="1"/>
  <c r="H324" i="1"/>
  <c r="L130" i="1"/>
  <c r="L132" i="1" s="1"/>
  <c r="G22" i="4" s="1"/>
  <c r="AH139" i="1" a="1"/>
  <c r="AH139" i="1" s="1"/>
  <c r="AH137" i="1" a="1"/>
  <c r="AH137" i="1" s="1"/>
  <c r="H289" i="1"/>
  <c r="G11" i="4"/>
  <c r="J139" i="1"/>
  <c r="H125" i="1"/>
  <c r="H338" i="1"/>
  <c r="F249" i="31"/>
  <c r="F251" i="31" s="1"/>
  <c r="D8" i="35" s="1"/>
  <c r="K139" i="1"/>
  <c r="K141" i="1" s="1"/>
  <c r="BO130" i="1"/>
  <c r="BO132" i="1" s="1"/>
  <c r="H303" i="1"/>
  <c r="G249" i="31"/>
  <c r="J130" i="1"/>
  <c r="BI119" i="1"/>
  <c r="H124" i="1"/>
  <c r="BO139" i="1"/>
  <c r="BO141" i="1" s="1"/>
  <c r="I400" i="4" s="1"/>
  <c r="CO342" i="1"/>
  <c r="CO344" i="1" s="1"/>
  <c r="K299" i="1" s="1"/>
  <c r="H317" i="1"/>
  <c r="AH140" i="1" a="1"/>
  <c r="AH140" i="1" s="1"/>
  <c r="AH427" i="1"/>
  <c r="AO427" i="1" s="1"/>
  <c r="H310" i="1"/>
  <c r="D84" i="3"/>
  <c r="E84" i="3" s="1"/>
  <c r="J96" i="31"/>
  <c r="AB334" i="1"/>
  <c r="AN130" i="1"/>
  <c r="AN132" i="1" s="1"/>
  <c r="AH430" i="1"/>
  <c r="AO430" i="1" s="1"/>
  <c r="AH158" i="1"/>
  <c r="AO158" i="1" s="1"/>
  <c r="BI338" i="1"/>
  <c r="H282" i="1"/>
  <c r="BI125" i="1"/>
  <c r="CL342" i="1"/>
  <c r="AE334" i="1"/>
  <c r="AE264" i="1"/>
  <c r="BJ130" i="1"/>
  <c r="BJ132" i="1" s="1"/>
  <c r="AE299" i="1"/>
  <c r="AE292" i="1"/>
  <c r="AE320" i="1"/>
  <c r="BM139" i="1"/>
  <c r="BM141" i="1" s="1"/>
  <c r="G400" i="4" s="1"/>
  <c r="AE327" i="1"/>
  <c r="AE278" i="1"/>
  <c r="AE313" i="1"/>
  <c r="AE285" i="1"/>
  <c r="AE306" i="1"/>
  <c r="AB327" i="1"/>
  <c r="H275" i="1"/>
  <c r="H395" i="1"/>
  <c r="H406" i="1" s="1"/>
  <c r="C44" i="4" s="1"/>
  <c r="BM130" i="1"/>
  <c r="BM132" i="1" s="1"/>
  <c r="K130" i="1"/>
  <c r="K132" i="1" s="1"/>
  <c r="F22" i="4" s="1"/>
  <c r="F99" i="4" s="1"/>
  <c r="F100" i="4" s="1"/>
  <c r="C19" i="4"/>
  <c r="BI126" i="1"/>
  <c r="J246" i="31"/>
  <c r="CM342" i="1"/>
  <c r="CM344" i="1" s="1"/>
  <c r="I313" i="1" s="1"/>
  <c r="I249" i="31"/>
  <c r="BK130" i="1"/>
  <c r="BK132" i="1" s="1"/>
  <c r="CQ342" i="1"/>
  <c r="CQ344" i="1" s="1"/>
  <c r="M292" i="1" s="1"/>
  <c r="H126" i="1"/>
  <c r="CN342" i="1"/>
  <c r="CN344" i="1" s="1"/>
  <c r="J313" i="1" s="1"/>
  <c r="CR342" i="1"/>
  <c r="CR344" i="1" s="1"/>
  <c r="N278" i="1" s="1"/>
  <c r="H261" i="1"/>
  <c r="CP342" i="1"/>
  <c r="CP344" i="1" s="1"/>
  <c r="L264" i="1" s="1"/>
  <c r="BI261" i="1"/>
  <c r="H114" i="1"/>
  <c r="AF431" i="1"/>
  <c r="AF433" i="1" s="1"/>
  <c r="AN141" i="1"/>
  <c r="R136" i="1" a="1"/>
  <c r="R136" i="1" s="1"/>
  <c r="R139" i="1" a="1"/>
  <c r="R139" i="1" s="1"/>
  <c r="Y431" i="1"/>
  <c r="Y433" i="1" s="1"/>
  <c r="AE140" i="1" a="1"/>
  <c r="AE140" i="1" s="1"/>
  <c r="S431" i="1"/>
  <c r="S433" i="1" s="1"/>
  <c r="T431" i="1"/>
  <c r="T433" i="1" s="1"/>
  <c r="K144" i="1"/>
  <c r="K145" i="1"/>
  <c r="K151" i="1" s="1"/>
  <c r="F270" i="4" s="1"/>
  <c r="K146" i="1"/>
  <c r="M144" i="1"/>
  <c r="M145" i="1"/>
  <c r="M151" i="1" s="1"/>
  <c r="H270" i="4" s="1"/>
  <c r="M146" i="1"/>
  <c r="BD141" i="1"/>
  <c r="F399" i="4" s="1"/>
  <c r="AO144" i="1"/>
  <c r="AO146" i="1"/>
  <c r="AO153" i="1" s="1"/>
  <c r="AO145" i="1"/>
  <c r="AO151" i="1" s="1"/>
  <c r="AO141" i="1"/>
  <c r="AD342" i="1"/>
  <c r="AD344" i="1" s="1"/>
  <c r="AD408" i="1" s="1"/>
  <c r="AE139" i="1" a="1"/>
  <c r="AE139" i="1" s="1"/>
  <c r="X427" i="1"/>
  <c r="X158" i="1"/>
  <c r="D74" i="3"/>
  <c r="X429" i="1"/>
  <c r="X430" i="1"/>
  <c r="X139" i="1" a="1"/>
  <c r="X139" i="1" s="1"/>
  <c r="Z427" i="1"/>
  <c r="D76" i="3"/>
  <c r="Z430" i="1"/>
  <c r="Z429" i="1"/>
  <c r="Z158" i="1"/>
  <c r="Z139" i="1" a="1"/>
  <c r="Z139" i="1" s="1"/>
  <c r="AA427" i="1"/>
  <c r="D77" i="3"/>
  <c r="AA158" i="1"/>
  <c r="AA430" i="1"/>
  <c r="AA429" i="1"/>
  <c r="BC146" i="1"/>
  <c r="BC145" i="1"/>
  <c r="BC151" i="1" s="1"/>
  <c r="BC144" i="1"/>
  <c r="T342" i="1"/>
  <c r="T344" i="1" s="1"/>
  <c r="T408" i="1" s="1"/>
  <c r="AA342" i="1"/>
  <c r="AA344" i="1" s="1"/>
  <c r="AA408" i="1" s="1"/>
  <c r="J244" i="31"/>
  <c r="E249" i="31"/>
  <c r="C11" i="4"/>
  <c r="R327" i="1"/>
  <c r="R313" i="1"/>
  <c r="R320" i="1"/>
  <c r="R299" i="1"/>
  <c r="R306" i="1"/>
  <c r="R341" i="1"/>
  <c r="R334" i="1"/>
  <c r="R278" i="1"/>
  <c r="R292" i="1"/>
  <c r="R271" i="1"/>
  <c r="R264" i="1"/>
  <c r="R285" i="1"/>
  <c r="CL344" i="1"/>
  <c r="G72" i="3"/>
  <c r="F72" i="3"/>
  <c r="E72" i="3"/>
  <c r="H72" i="3"/>
  <c r="I72" i="3"/>
  <c r="J72" i="3"/>
  <c r="E79" i="3"/>
  <c r="G79" i="3"/>
  <c r="F79" i="3"/>
  <c r="AY146" i="1"/>
  <c r="AY153" i="1" s="1"/>
  <c r="AY144" i="1"/>
  <c r="AY145" i="1"/>
  <c r="AY151" i="1" s="1"/>
  <c r="AM144" i="1"/>
  <c r="AM145" i="1"/>
  <c r="AM151" i="1" s="1"/>
  <c r="AM146" i="1"/>
  <c r="AE137" i="1" a="1"/>
  <c r="AE137" i="1" s="1"/>
  <c r="BE144" i="1"/>
  <c r="BE145" i="1"/>
  <c r="BE151" i="1" s="1"/>
  <c r="BE146" i="1"/>
  <c r="S342" i="1"/>
  <c r="S344" i="1" s="1"/>
  <c r="S408" i="1" s="1"/>
  <c r="V431" i="1"/>
  <c r="V433" i="1" s="1"/>
  <c r="AA137" i="1" a="1"/>
  <c r="AA137" i="1" s="1"/>
  <c r="W137" i="1" a="1"/>
  <c r="W137" i="1" s="1"/>
  <c r="R158" i="1"/>
  <c r="R427" i="1"/>
  <c r="AI132" i="1"/>
  <c r="R430" i="1"/>
  <c r="R429" i="1"/>
  <c r="D68" i="3"/>
  <c r="W342" i="1"/>
  <c r="W344" i="1" s="1"/>
  <c r="W408" i="1" s="1"/>
  <c r="AN144" i="1"/>
  <c r="AN146" i="1"/>
  <c r="AN153" i="1" s="1"/>
  <c r="AN145" i="1"/>
  <c r="AN151" i="1" s="1"/>
  <c r="BG144" i="1"/>
  <c r="BG145" i="1"/>
  <c r="BG151" i="1" s="1"/>
  <c r="BG146" i="1"/>
  <c r="AC342" i="1"/>
  <c r="AC344" i="1" s="1"/>
  <c r="AC408" i="1" s="1"/>
  <c r="AY141" i="1"/>
  <c r="I398" i="4" s="1"/>
  <c r="Y342" i="1"/>
  <c r="Y344" i="1" s="1"/>
  <c r="Y408" i="1" s="1"/>
  <c r="E69" i="3"/>
  <c r="H69" i="3"/>
  <c r="I69" i="3"/>
  <c r="G69" i="3"/>
  <c r="F69" i="3"/>
  <c r="J69" i="3"/>
  <c r="AA139" i="1" a="1"/>
  <c r="AA139" i="1" s="1"/>
  <c r="W139" i="1" a="1"/>
  <c r="W139" i="1" s="1"/>
  <c r="BF144" i="1"/>
  <c r="BF146" i="1"/>
  <c r="BF145" i="1"/>
  <c r="BF151" i="1" s="1"/>
  <c r="H82" i="3"/>
  <c r="J82" i="3"/>
  <c r="G82" i="3"/>
  <c r="E82" i="3"/>
  <c r="I82" i="3"/>
  <c r="F82" i="3"/>
  <c r="BN144" i="1"/>
  <c r="BN146" i="1"/>
  <c r="BN145" i="1"/>
  <c r="BN151" i="1" s="1"/>
  <c r="Z140" i="1" a="1"/>
  <c r="Z140" i="1" s="1"/>
  <c r="AF342" i="1"/>
  <c r="AF344" i="1" s="1"/>
  <c r="AF408" i="1" s="1"/>
  <c r="AA136" i="1" a="1"/>
  <c r="AA136" i="1" s="1"/>
  <c r="G75" i="3"/>
  <c r="F75" i="3"/>
  <c r="H75" i="3"/>
  <c r="E75" i="3"/>
  <c r="I75" i="3"/>
  <c r="J75" i="3"/>
  <c r="H353" i="1"/>
  <c r="C38" i="4"/>
  <c r="AW145" i="1"/>
  <c r="AW151" i="1" s="1"/>
  <c r="AW144" i="1"/>
  <c r="AW146" i="1"/>
  <c r="BD144" i="1"/>
  <c r="BD145" i="1"/>
  <c r="BD151" i="1" s="1"/>
  <c r="BD146" i="1"/>
  <c r="BD153" i="1" s="1"/>
  <c r="Z136" i="1" a="1"/>
  <c r="Z136" i="1" s="1"/>
  <c r="H70" i="3"/>
  <c r="I70" i="3"/>
  <c r="G70" i="3"/>
  <c r="F70" i="3"/>
  <c r="J70" i="3"/>
  <c r="E70" i="3"/>
  <c r="F80" i="3"/>
  <c r="H80" i="3"/>
  <c r="G80" i="3"/>
  <c r="I80" i="3"/>
  <c r="J80" i="3"/>
  <c r="E80" i="3"/>
  <c r="V342" i="1"/>
  <c r="V344" i="1" s="1"/>
  <c r="V408" i="1" s="1"/>
  <c r="BB144" i="1"/>
  <c r="BA140" i="1"/>
  <c r="BB146" i="1"/>
  <c r="BB145" i="1"/>
  <c r="L144" i="1"/>
  <c r="L146" i="1"/>
  <c r="L145" i="1"/>
  <c r="L151" i="1" s="1"/>
  <c r="G270" i="4" s="1"/>
  <c r="W136" i="1" a="1"/>
  <c r="W136" i="1" s="1"/>
  <c r="BO146" i="1"/>
  <c r="BO144" i="1"/>
  <c r="BO145" i="1"/>
  <c r="BO151" i="1" s="1"/>
  <c r="X140" i="1" a="1"/>
  <c r="X140" i="1" s="1"/>
  <c r="J93" i="31"/>
  <c r="BM144" i="1"/>
  <c r="BM145" i="1"/>
  <c r="BM151" i="1" s="1"/>
  <c r="BM146" i="1"/>
  <c r="I146" i="1"/>
  <c r="I144" i="1"/>
  <c r="I145" i="1"/>
  <c r="AD431" i="1"/>
  <c r="AD433" i="1" s="1"/>
  <c r="AE427" i="1"/>
  <c r="D81" i="3"/>
  <c r="AE430" i="1"/>
  <c r="AE158" i="1"/>
  <c r="AE429" i="1"/>
  <c r="BB271" i="1"/>
  <c r="BC271" i="1"/>
  <c r="BG271" i="1"/>
  <c r="W429" i="1"/>
  <c r="W158" i="1"/>
  <c r="W430" i="1"/>
  <c r="D73" i="3"/>
  <c r="W427" i="1"/>
  <c r="BJ146" i="1"/>
  <c r="BJ144" i="1"/>
  <c r="BJ145" i="1"/>
  <c r="BI140" i="1"/>
  <c r="BK144" i="1"/>
  <c r="BK146" i="1"/>
  <c r="BK153" i="1" s="1"/>
  <c r="BK145" i="1"/>
  <c r="BK151" i="1" s="1"/>
  <c r="BL144" i="1"/>
  <c r="BL146" i="1"/>
  <c r="BL145" i="1"/>
  <c r="BL151" i="1" s="1"/>
  <c r="Z137" i="1" a="1"/>
  <c r="Z137" i="1" s="1"/>
  <c r="BK141" i="1"/>
  <c r="E400" i="4" s="1"/>
  <c r="AL146" i="1"/>
  <c r="AL144" i="1"/>
  <c r="AL145" i="1"/>
  <c r="AO264" i="1"/>
  <c r="J148" i="31"/>
  <c r="X137" i="1" a="1"/>
  <c r="X137" i="1" s="1"/>
  <c r="R137" i="1" a="1"/>
  <c r="R137" i="1" s="1"/>
  <c r="AC431" i="1" l="1"/>
  <c r="AC433" i="1" s="1"/>
  <c r="BD320" i="1"/>
  <c r="J79" i="3"/>
  <c r="H79" i="3"/>
  <c r="BD271" i="1"/>
  <c r="AM271" i="1"/>
  <c r="BE264" i="1"/>
  <c r="BE271" i="1"/>
  <c r="BB292" i="1"/>
  <c r="BF306" i="1"/>
  <c r="BE327" i="1"/>
  <c r="AU141" i="1"/>
  <c r="E398" i="4" s="1"/>
  <c r="BG341" i="1"/>
  <c r="X342" i="1"/>
  <c r="X344" i="1" s="1"/>
  <c r="X408" i="1" s="1"/>
  <c r="D95" i="3" s="1"/>
  <c r="G95" i="3" s="1"/>
  <c r="J71" i="3"/>
  <c r="F71" i="3"/>
  <c r="BN153" i="1"/>
  <c r="H71" i="3"/>
  <c r="BF334" i="1"/>
  <c r="BD278" i="1"/>
  <c r="BD285" i="1"/>
  <c r="BF320" i="1"/>
  <c r="N144" i="1"/>
  <c r="AM299" i="1"/>
  <c r="AW153" i="1"/>
  <c r="AM327" i="1"/>
  <c r="U342" i="1"/>
  <c r="U344" i="1" s="1"/>
  <c r="U408" i="1" s="1"/>
  <c r="D92" i="3" s="1"/>
  <c r="I251" i="31"/>
  <c r="G8" i="35" s="1"/>
  <c r="BB320" i="1"/>
  <c r="AM320" i="1"/>
  <c r="BE320" i="1"/>
  <c r="BC320" i="1"/>
  <c r="BG320" i="1"/>
  <c r="BE313" i="1"/>
  <c r="AU144" i="1"/>
  <c r="AU150" i="1" s="1"/>
  <c r="BG285" i="1"/>
  <c r="N132" i="1"/>
  <c r="I22" i="4" s="1"/>
  <c r="I83" i="4" s="1"/>
  <c r="BF285" i="1"/>
  <c r="AU146" i="1"/>
  <c r="AU153" i="1" s="1"/>
  <c r="AU145" i="1"/>
  <c r="AU151" i="1" s="1"/>
  <c r="AM285" i="1"/>
  <c r="BF153" i="1"/>
  <c r="BC285" i="1"/>
  <c r="M153" i="1"/>
  <c r="H271" i="4" s="1"/>
  <c r="BB285" i="1"/>
  <c r="AM313" i="1"/>
  <c r="BG334" i="1"/>
  <c r="BE285" i="1"/>
  <c r="BB313" i="1"/>
  <c r="BB334" i="1"/>
  <c r="BD313" i="1"/>
  <c r="E71" i="3"/>
  <c r="I71" i="3"/>
  <c r="N145" i="1"/>
  <c r="N151" i="1" s="1"/>
  <c r="I270" i="4" s="1"/>
  <c r="AM264" i="1"/>
  <c r="BC334" i="1"/>
  <c r="BD334" i="1"/>
  <c r="AM334" i="1"/>
  <c r="BC313" i="1"/>
  <c r="BE334" i="1"/>
  <c r="AN306" i="1"/>
  <c r="U431" i="1"/>
  <c r="U433" i="1" s="1"/>
  <c r="BK278" i="1"/>
  <c r="AN334" i="1"/>
  <c r="BF327" i="1"/>
  <c r="BD327" i="1"/>
  <c r="BJ278" i="1"/>
  <c r="BC327" i="1"/>
  <c r="BG327" i="1"/>
  <c r="BB327" i="1"/>
  <c r="N141" i="1"/>
  <c r="BF278" i="1"/>
  <c r="BJ306" i="1"/>
  <c r="BG278" i="1"/>
  <c r="BG306" i="1"/>
  <c r="BE278" i="1"/>
  <c r="BC278" i="1"/>
  <c r="AS139" i="1"/>
  <c r="BB306" i="1"/>
  <c r="AM278" i="1"/>
  <c r="BB278" i="1"/>
  <c r="J145" i="1"/>
  <c r="J151" i="1" s="1"/>
  <c r="E270" i="4" s="1"/>
  <c r="BF341" i="1"/>
  <c r="AM341" i="1"/>
  <c r="BC341" i="1"/>
  <c r="BD341" i="1"/>
  <c r="BK334" i="1"/>
  <c r="BB341" i="1"/>
  <c r="BM278" i="1"/>
  <c r="BF313" i="1"/>
  <c r="BO334" i="1"/>
  <c r="BJ320" i="1"/>
  <c r="H21" i="4"/>
  <c r="BD299" i="1"/>
  <c r="BG299" i="1"/>
  <c r="BC299" i="1"/>
  <c r="BB299" i="1"/>
  <c r="AK139" i="1"/>
  <c r="AK141" i="1" s="1"/>
  <c r="AK142" i="1" s="1"/>
  <c r="BF299" i="1"/>
  <c r="N292" i="1"/>
  <c r="AN341" i="1"/>
  <c r="BN271" i="1"/>
  <c r="BO271" i="1"/>
  <c r="BK271" i="1"/>
  <c r="BC264" i="1"/>
  <c r="BL271" i="1"/>
  <c r="BG264" i="1"/>
  <c r="BL427" i="1"/>
  <c r="BM271" i="1"/>
  <c r="BB264" i="1"/>
  <c r="AX146" i="1"/>
  <c r="AX153" i="1" s="1"/>
  <c r="BJ271" i="1"/>
  <c r="AX141" i="1"/>
  <c r="H398" i="4" s="1"/>
  <c r="AX144" i="1"/>
  <c r="AX150" i="1" s="1"/>
  <c r="BD264" i="1"/>
  <c r="AN271" i="1"/>
  <c r="BF264" i="1"/>
  <c r="BG153" i="1"/>
  <c r="BL341" i="1"/>
  <c r="BO341" i="1"/>
  <c r="BJ341" i="1"/>
  <c r="M313" i="1"/>
  <c r="BK341" i="1"/>
  <c r="BM341" i="1"/>
  <c r="BL153" i="1"/>
  <c r="AS130" i="1"/>
  <c r="AS132" i="1" s="1"/>
  <c r="J144" i="1"/>
  <c r="J150" i="1" s="1"/>
  <c r="BL429" i="1"/>
  <c r="BE306" i="1"/>
  <c r="BN306" i="1"/>
  <c r="J141" i="1"/>
  <c r="BC153" i="1"/>
  <c r="AM153" i="1"/>
  <c r="BM334" i="1"/>
  <c r="BC292" i="1"/>
  <c r="G21" i="4"/>
  <c r="G23" i="4" s="1"/>
  <c r="BM306" i="1"/>
  <c r="AN278" i="1"/>
  <c r="BL264" i="1"/>
  <c r="AG342" i="1"/>
  <c r="AG344" i="1" s="1"/>
  <c r="AG408" i="1" s="1"/>
  <c r="D104" i="3" s="1"/>
  <c r="N313" i="1"/>
  <c r="BJ430" i="1"/>
  <c r="I84" i="3"/>
  <c r="F84" i="3"/>
  <c r="AM292" i="1"/>
  <c r="H83" i="3"/>
  <c r="E21" i="4"/>
  <c r="AS140" i="1"/>
  <c r="H84" i="3"/>
  <c r="BE292" i="1"/>
  <c r="I83" i="3"/>
  <c r="BF292" i="1"/>
  <c r="F83" i="3"/>
  <c r="AG431" i="1"/>
  <c r="AG433" i="1" s="1"/>
  <c r="Z342" i="1"/>
  <c r="Z344" i="1" s="1"/>
  <c r="Z408" i="1" s="1"/>
  <c r="D97" i="3" s="1"/>
  <c r="I97" i="3" s="1"/>
  <c r="AV146" i="1"/>
  <c r="AV153" i="1" s="1"/>
  <c r="BG292" i="1"/>
  <c r="AV141" i="1"/>
  <c r="F398" i="4" s="1"/>
  <c r="F477" i="4" s="1"/>
  <c r="E83" i="3"/>
  <c r="J84" i="3"/>
  <c r="AV145" i="1"/>
  <c r="AV151" i="1" s="1"/>
  <c r="BD292" i="1"/>
  <c r="J83" i="3"/>
  <c r="AN264" i="1"/>
  <c r="G84" i="3"/>
  <c r="BJ153" i="1"/>
  <c r="K264" i="1"/>
  <c r="AM306" i="1"/>
  <c r="BA130" i="1"/>
  <c r="BA132" i="1" s="1"/>
  <c r="BL306" i="1"/>
  <c r="BD306" i="1"/>
  <c r="BC306" i="1"/>
  <c r="BL278" i="1"/>
  <c r="K327" i="1"/>
  <c r="BO278" i="1"/>
  <c r="BN278" i="1"/>
  <c r="K285" i="1"/>
  <c r="K292" i="1"/>
  <c r="K334" i="1"/>
  <c r="J327" i="1"/>
  <c r="K320" i="1"/>
  <c r="L153" i="1"/>
  <c r="G271" i="4" s="1"/>
  <c r="K313" i="1"/>
  <c r="BJ264" i="1"/>
  <c r="D21" i="4"/>
  <c r="BO153" i="1"/>
  <c r="K341" i="1"/>
  <c r="BA139" i="1"/>
  <c r="BA141" i="1" s="1"/>
  <c r="BE153" i="1"/>
  <c r="K278" i="1"/>
  <c r="AO445" i="1"/>
  <c r="AK130" i="1"/>
  <c r="AK132" i="1" s="1"/>
  <c r="K271" i="1"/>
  <c r="BK306" i="1"/>
  <c r="I132" i="1"/>
  <c r="D22" i="4" s="1"/>
  <c r="AB431" i="1"/>
  <c r="AB433" i="1" s="1"/>
  <c r="BK285" i="1"/>
  <c r="BO306" i="1"/>
  <c r="H251" i="31"/>
  <c r="F8" i="35" s="1"/>
  <c r="BL292" i="1"/>
  <c r="M327" i="1"/>
  <c r="C20" i="4"/>
  <c r="M320" i="1"/>
  <c r="AN158" i="1"/>
  <c r="M299" i="1"/>
  <c r="AT145" i="1"/>
  <c r="J78" i="3"/>
  <c r="K306" i="1"/>
  <c r="G95" i="31" s="1"/>
  <c r="G101" i="31" s="1"/>
  <c r="G103" i="31" s="1"/>
  <c r="AT144" i="1"/>
  <c r="AT150" i="1" s="1"/>
  <c r="G251" i="31"/>
  <c r="E8" i="35" s="1"/>
  <c r="E10" i="35" s="1"/>
  <c r="AT146" i="1"/>
  <c r="AT153" i="1" s="1"/>
  <c r="AT141" i="1"/>
  <c r="D398" i="4" s="1"/>
  <c r="J132" i="1"/>
  <c r="E22" i="4" s="1"/>
  <c r="H139" i="1"/>
  <c r="H141" i="1" s="1"/>
  <c r="H142" i="1" s="1"/>
  <c r="BM299" i="1"/>
  <c r="M278" i="1"/>
  <c r="BO327" i="1"/>
  <c r="AN299" i="1"/>
  <c r="M264" i="1"/>
  <c r="J239" i="31"/>
  <c r="BI130" i="1"/>
  <c r="BI132" i="1" s="1"/>
  <c r="I320" i="1"/>
  <c r="AB342" i="1"/>
  <c r="AB344" i="1" s="1"/>
  <c r="AB408" i="1" s="1"/>
  <c r="D99" i="3" s="1"/>
  <c r="E78" i="3"/>
  <c r="F78" i="3"/>
  <c r="G78" i="3"/>
  <c r="H78" i="3"/>
  <c r="N153" i="1"/>
  <c r="I271" i="4" s="1"/>
  <c r="AO342" i="1"/>
  <c r="AO344" i="1" s="1"/>
  <c r="AO408" i="1" s="1"/>
  <c r="N327" i="1"/>
  <c r="N264" i="1"/>
  <c r="N334" i="1"/>
  <c r="N299" i="1"/>
  <c r="AN313" i="1"/>
  <c r="N306" i="1"/>
  <c r="N285" i="1"/>
  <c r="BJ313" i="1"/>
  <c r="N271" i="1"/>
  <c r="N320" i="1"/>
  <c r="N341" i="1"/>
  <c r="AH342" i="1"/>
  <c r="AH344" i="1" s="1"/>
  <c r="AH408" i="1" s="1"/>
  <c r="D105" i="3" s="1"/>
  <c r="BN285" i="1"/>
  <c r="K153" i="1"/>
  <c r="F271" i="4" s="1"/>
  <c r="F308" i="4" s="1"/>
  <c r="BK327" i="1"/>
  <c r="AN327" i="1"/>
  <c r="BN292" i="1"/>
  <c r="AN292" i="1"/>
  <c r="L320" i="1"/>
  <c r="I299" i="1"/>
  <c r="L327" i="1"/>
  <c r="I341" i="1"/>
  <c r="L306" i="1"/>
  <c r="H95" i="31" s="1"/>
  <c r="H101" i="31" s="1"/>
  <c r="H103" i="31" s="1"/>
  <c r="I306" i="1"/>
  <c r="E95" i="31" s="1"/>
  <c r="BL327" i="1"/>
  <c r="BM327" i="1"/>
  <c r="L313" i="1"/>
  <c r="BJ292" i="1"/>
  <c r="I285" i="1"/>
  <c r="J153" i="1"/>
  <c r="E271" i="4" s="1"/>
  <c r="BN327" i="1"/>
  <c r="L299" i="1"/>
  <c r="BO292" i="1"/>
  <c r="I334" i="1"/>
  <c r="BJ327" i="1"/>
  <c r="L341" i="1"/>
  <c r="I278" i="1"/>
  <c r="L271" i="1"/>
  <c r="BK292" i="1"/>
  <c r="I271" i="1"/>
  <c r="I292" i="1"/>
  <c r="L278" i="1"/>
  <c r="BM292" i="1"/>
  <c r="I264" i="1"/>
  <c r="I327" i="1"/>
  <c r="L334" i="1"/>
  <c r="L292" i="1"/>
  <c r="AN320" i="1"/>
  <c r="BM320" i="1"/>
  <c r="BN320" i="1"/>
  <c r="BK320" i="1"/>
  <c r="BO320" i="1"/>
  <c r="BL320" i="1"/>
  <c r="BN334" i="1"/>
  <c r="F491" i="4"/>
  <c r="F490" i="4" s="1"/>
  <c r="M285" i="1"/>
  <c r="M341" i="1"/>
  <c r="BJ334" i="1"/>
  <c r="M334" i="1"/>
  <c r="M271" i="1"/>
  <c r="BK299" i="1"/>
  <c r="M306" i="1"/>
  <c r="I95" i="31" s="1"/>
  <c r="I101" i="31" s="1"/>
  <c r="I103" i="31" s="1"/>
  <c r="BL334" i="1"/>
  <c r="BO299" i="1"/>
  <c r="BN299" i="1"/>
  <c r="F21" i="4"/>
  <c r="F23" i="4" s="1"/>
  <c r="H130" i="1"/>
  <c r="H132" i="1" s="1"/>
  <c r="BK264" i="1"/>
  <c r="J306" i="1"/>
  <c r="F95" i="31" s="1"/>
  <c r="F101" i="31" s="1"/>
  <c r="F103" i="31" s="1"/>
  <c r="J292" i="1"/>
  <c r="BO313" i="1"/>
  <c r="BL285" i="1"/>
  <c r="BM313" i="1"/>
  <c r="AN285" i="1"/>
  <c r="BL299" i="1"/>
  <c r="AO431" i="1"/>
  <c r="AO433" i="1" s="1"/>
  <c r="J285" i="1"/>
  <c r="J334" i="1"/>
  <c r="BK313" i="1"/>
  <c r="AE342" i="1"/>
  <c r="AE344" i="1" s="1"/>
  <c r="AE408" i="1" s="1"/>
  <c r="D102" i="3" s="1"/>
  <c r="BO285" i="1"/>
  <c r="BJ299" i="1"/>
  <c r="J271" i="1"/>
  <c r="J341" i="1"/>
  <c r="BM285" i="1"/>
  <c r="BO264" i="1"/>
  <c r="J299" i="1"/>
  <c r="J264" i="1"/>
  <c r="BN264" i="1"/>
  <c r="J278" i="1"/>
  <c r="BL313" i="1"/>
  <c r="BJ285" i="1"/>
  <c r="BM264" i="1"/>
  <c r="AH431" i="1"/>
  <c r="AH433" i="1" s="1"/>
  <c r="J320" i="1"/>
  <c r="BN313" i="1"/>
  <c r="BI139" i="1"/>
  <c r="BI141" i="1" s="1"/>
  <c r="BM153" i="1"/>
  <c r="L285" i="1"/>
  <c r="AF410" i="1"/>
  <c r="AF413" i="1" s="1"/>
  <c r="T410" i="1"/>
  <c r="T414" i="1" s="1"/>
  <c r="AK146" i="1"/>
  <c r="S410" i="1"/>
  <c r="S414" i="1" s="1"/>
  <c r="AM158" i="1"/>
  <c r="H146" i="1"/>
  <c r="AI140" i="1"/>
  <c r="AA431" i="1"/>
  <c r="AA433" i="1" s="1"/>
  <c r="AA410" i="1" s="1"/>
  <c r="AI137" i="1"/>
  <c r="AI136" i="1"/>
  <c r="BA146" i="1"/>
  <c r="AC410" i="1"/>
  <c r="AC416" i="1" s="1"/>
  <c r="C400" i="4"/>
  <c r="AI139" i="1"/>
  <c r="BJ427" i="1"/>
  <c r="BO430" i="1"/>
  <c r="D90" i="3"/>
  <c r="I147" i="1"/>
  <c r="I150" i="1"/>
  <c r="BA145" i="1"/>
  <c r="BA151" i="1" s="1"/>
  <c r="BB151" i="1"/>
  <c r="H22" i="4"/>
  <c r="BO429" i="1"/>
  <c r="I430" i="1"/>
  <c r="L430" i="1"/>
  <c r="H15" i="31" s="1"/>
  <c r="AY430" i="1"/>
  <c r="J430" i="1"/>
  <c r="F15" i="31" s="1"/>
  <c r="AV430" i="1"/>
  <c r="M430" i="1"/>
  <c r="I15" i="31" s="1"/>
  <c r="AL430" i="1"/>
  <c r="AI430" i="1"/>
  <c r="K430" i="1"/>
  <c r="G15" i="31" s="1"/>
  <c r="AT430" i="1"/>
  <c r="N430" i="1"/>
  <c r="AW430" i="1"/>
  <c r="AX430" i="1"/>
  <c r="AU430" i="1"/>
  <c r="BO427" i="1"/>
  <c r="AT292" i="1"/>
  <c r="AI292" i="1"/>
  <c r="AL292" i="1"/>
  <c r="AY292" i="1"/>
  <c r="AV292" i="1"/>
  <c r="AU292" i="1"/>
  <c r="AW292" i="1"/>
  <c r="AX292" i="1"/>
  <c r="AT327" i="1"/>
  <c r="AX327" i="1"/>
  <c r="AL327" i="1"/>
  <c r="AW327" i="1"/>
  <c r="AV327" i="1"/>
  <c r="AU327" i="1"/>
  <c r="AY327" i="1"/>
  <c r="AI327" i="1"/>
  <c r="BK430" i="1"/>
  <c r="I74" i="3"/>
  <c r="E74" i="3"/>
  <c r="J74" i="3"/>
  <c r="H74" i="3"/>
  <c r="F74" i="3"/>
  <c r="G74" i="3"/>
  <c r="AO150" i="1"/>
  <c r="AO154" i="1" s="1"/>
  <c r="AO147" i="1"/>
  <c r="D91" i="3"/>
  <c r="D101" i="3"/>
  <c r="BK150" i="1"/>
  <c r="BK154" i="1" s="1"/>
  <c r="BK147" i="1"/>
  <c r="BL150" i="1"/>
  <c r="BL147" i="1"/>
  <c r="BB429" i="1"/>
  <c r="AM429" i="1"/>
  <c r="BD429" i="1"/>
  <c r="BG429" i="1"/>
  <c r="BE429" i="1"/>
  <c r="BF429" i="1"/>
  <c r="BC429" i="1"/>
  <c r="D96" i="3"/>
  <c r="D100" i="3"/>
  <c r="AN429" i="1"/>
  <c r="AN150" i="1"/>
  <c r="AN154" i="1" s="1"/>
  <c r="AN147" i="1"/>
  <c r="BN427" i="1"/>
  <c r="AI278" i="1"/>
  <c r="AL278" i="1"/>
  <c r="AY278" i="1"/>
  <c r="AU278" i="1"/>
  <c r="AV278" i="1"/>
  <c r="AT278" i="1"/>
  <c r="AW278" i="1"/>
  <c r="AX278" i="1"/>
  <c r="BC147" i="1"/>
  <c r="BC150" i="1"/>
  <c r="BN430" i="1"/>
  <c r="N150" i="1"/>
  <c r="F417" i="4"/>
  <c r="F484" i="4"/>
  <c r="F483" i="4" s="1"/>
  <c r="I151" i="1"/>
  <c r="D270" i="4" s="1"/>
  <c r="BK429" i="1"/>
  <c r="N429" i="1"/>
  <c r="I429" i="1"/>
  <c r="AL429" i="1"/>
  <c r="M429" i="1"/>
  <c r="AX429" i="1"/>
  <c r="AT429" i="1"/>
  <c r="J429" i="1"/>
  <c r="L429" i="1"/>
  <c r="K429" i="1"/>
  <c r="AY429" i="1"/>
  <c r="AU429" i="1"/>
  <c r="AV429" i="1"/>
  <c r="AI429" i="1"/>
  <c r="AW429" i="1"/>
  <c r="AT271" i="1"/>
  <c r="AL271" i="1"/>
  <c r="AV271" i="1"/>
  <c r="AU271" i="1"/>
  <c r="AI271" i="1"/>
  <c r="AW271" i="1"/>
  <c r="AX271" i="1"/>
  <c r="AY271" i="1"/>
  <c r="AT313" i="1"/>
  <c r="AW313" i="1"/>
  <c r="AL313" i="1"/>
  <c r="AI313" i="1"/>
  <c r="AU313" i="1"/>
  <c r="AY313" i="1"/>
  <c r="AV313" i="1"/>
  <c r="AX313" i="1"/>
  <c r="BI145" i="1"/>
  <c r="BI151" i="1" s="1"/>
  <c r="BJ151" i="1"/>
  <c r="I81" i="3"/>
  <c r="G81" i="3"/>
  <c r="E81" i="3"/>
  <c r="J81" i="3"/>
  <c r="H81" i="3"/>
  <c r="F81" i="3"/>
  <c r="BM147" i="1"/>
  <c r="BM150" i="1"/>
  <c r="D103" i="3"/>
  <c r="BF147" i="1"/>
  <c r="BF150" i="1"/>
  <c r="BG147" i="1"/>
  <c r="BG150" i="1"/>
  <c r="K427" i="1"/>
  <c r="L427" i="1"/>
  <c r="J427" i="1"/>
  <c r="AL427" i="1"/>
  <c r="I427" i="1"/>
  <c r="M427" i="1"/>
  <c r="AX427" i="1"/>
  <c r="AI427" i="1"/>
  <c r="N427" i="1"/>
  <c r="AU427" i="1"/>
  <c r="AV427" i="1"/>
  <c r="AT427" i="1"/>
  <c r="AY427" i="1"/>
  <c r="AW427" i="1"/>
  <c r="R431" i="1"/>
  <c r="BE147" i="1"/>
  <c r="BE150" i="1"/>
  <c r="AT334" i="1"/>
  <c r="AU334" i="1"/>
  <c r="AX334" i="1"/>
  <c r="AV334" i="1"/>
  <c r="AW334" i="1"/>
  <c r="AY334" i="1"/>
  <c r="AL334" i="1"/>
  <c r="AI334" i="1"/>
  <c r="BM430" i="1"/>
  <c r="X431" i="1"/>
  <c r="X433" i="1" s="1"/>
  <c r="M147" i="1"/>
  <c r="M150" i="1"/>
  <c r="BG430" i="1"/>
  <c r="BB430" i="1"/>
  <c r="BF430" i="1"/>
  <c r="BC430" i="1"/>
  <c r="BE430" i="1"/>
  <c r="BD430" i="1"/>
  <c r="AM430" i="1"/>
  <c r="L147" i="1"/>
  <c r="L150" i="1"/>
  <c r="BA144" i="1"/>
  <c r="BB147" i="1"/>
  <c r="BB150" i="1"/>
  <c r="BD147" i="1"/>
  <c r="BD150" i="1"/>
  <c r="BD154" i="1" s="1"/>
  <c r="BJ429" i="1"/>
  <c r="K158" i="1"/>
  <c r="I158" i="1"/>
  <c r="J158" i="1"/>
  <c r="N158" i="1"/>
  <c r="M158" i="1"/>
  <c r="AL158" i="1"/>
  <c r="L158" i="1"/>
  <c r="AI158" i="1"/>
  <c r="AT341" i="1"/>
  <c r="AI341" i="1"/>
  <c r="AV341" i="1"/>
  <c r="AW341" i="1"/>
  <c r="AX341" i="1"/>
  <c r="AY341" i="1"/>
  <c r="AL341" i="1"/>
  <c r="AU341" i="1"/>
  <c r="E251" i="31"/>
  <c r="J249" i="31"/>
  <c r="E77" i="3"/>
  <c r="G77" i="3"/>
  <c r="J77" i="3"/>
  <c r="F77" i="3"/>
  <c r="H77" i="3"/>
  <c r="I77" i="3"/>
  <c r="BL430" i="1"/>
  <c r="I76" i="3"/>
  <c r="J76" i="3"/>
  <c r="G76" i="3"/>
  <c r="H76" i="3"/>
  <c r="F76" i="3"/>
  <c r="E76" i="3"/>
  <c r="Y410" i="1"/>
  <c r="BJ150" i="1"/>
  <c r="BI144" i="1"/>
  <c r="BJ147" i="1"/>
  <c r="AE431" i="1"/>
  <c r="AE433" i="1" s="1"/>
  <c r="AL153" i="1"/>
  <c r="BI146" i="1"/>
  <c r="AD410" i="1"/>
  <c r="AV150" i="1"/>
  <c r="BN429" i="1"/>
  <c r="AN427" i="1"/>
  <c r="AT306" i="1"/>
  <c r="AU306" i="1"/>
  <c r="AL306" i="1"/>
  <c r="AV306" i="1"/>
  <c r="AI306" i="1"/>
  <c r="AY306" i="1"/>
  <c r="AW306" i="1"/>
  <c r="AX306" i="1"/>
  <c r="AN430" i="1"/>
  <c r="Z431" i="1"/>
  <c r="Z433" i="1" s="1"/>
  <c r="I153" i="1"/>
  <c r="D271" i="4" s="1"/>
  <c r="BB427" i="1"/>
  <c r="BD427" i="1"/>
  <c r="BG427" i="1"/>
  <c r="BF427" i="1"/>
  <c r="BC427" i="1"/>
  <c r="AM427" i="1"/>
  <c r="BE427" i="1"/>
  <c r="W431" i="1"/>
  <c r="W433" i="1" s="1"/>
  <c r="W410" i="1" s="1"/>
  <c r="BM429" i="1"/>
  <c r="BK427" i="1"/>
  <c r="AL285" i="1"/>
  <c r="AI285" i="1"/>
  <c r="AX285" i="1"/>
  <c r="AW285" i="1"/>
  <c r="AU285" i="1"/>
  <c r="AT285" i="1"/>
  <c r="AV285" i="1"/>
  <c r="AY285" i="1"/>
  <c r="AT299" i="1"/>
  <c r="AL299" i="1"/>
  <c r="AW299" i="1"/>
  <c r="AU299" i="1"/>
  <c r="AX299" i="1"/>
  <c r="AY299" i="1"/>
  <c r="AI299" i="1"/>
  <c r="AV299" i="1"/>
  <c r="C399" i="4"/>
  <c r="F299" i="4"/>
  <c r="F354" i="4"/>
  <c r="F353" i="4" s="1"/>
  <c r="AK145" i="1"/>
  <c r="AK151" i="1" s="1"/>
  <c r="AL151" i="1"/>
  <c r="BO147" i="1"/>
  <c r="BO150" i="1"/>
  <c r="D93" i="3"/>
  <c r="BN147" i="1"/>
  <c r="BN150" i="1"/>
  <c r="AK144" i="1"/>
  <c r="AL150" i="1"/>
  <c r="AL147" i="1"/>
  <c r="F73" i="3"/>
  <c r="I73" i="3"/>
  <c r="G73" i="3"/>
  <c r="E73" i="3"/>
  <c r="J73" i="3"/>
  <c r="H73" i="3"/>
  <c r="AW147" i="1"/>
  <c r="AW150" i="1"/>
  <c r="D94" i="3"/>
  <c r="I68" i="3"/>
  <c r="J68" i="3"/>
  <c r="G68" i="3"/>
  <c r="E68" i="3"/>
  <c r="H68" i="3"/>
  <c r="F68" i="3"/>
  <c r="V410" i="1"/>
  <c r="AM147" i="1"/>
  <c r="AM150" i="1"/>
  <c r="BM427" i="1"/>
  <c r="AY150" i="1"/>
  <c r="AY154" i="1" s="1"/>
  <c r="AY147" i="1"/>
  <c r="AT264" i="1"/>
  <c r="AL264" i="1"/>
  <c r="AI264" i="1"/>
  <c r="AW264" i="1"/>
  <c r="AX264" i="1"/>
  <c r="AU264" i="1"/>
  <c r="AV264" i="1"/>
  <c r="AY264" i="1"/>
  <c r="R342" i="1"/>
  <c r="AT320" i="1"/>
  <c r="AY320" i="1"/>
  <c r="AW320" i="1"/>
  <c r="AX320" i="1"/>
  <c r="AI320" i="1"/>
  <c r="AL320" i="1"/>
  <c r="AU320" i="1"/>
  <c r="AV320" i="1"/>
  <c r="D98" i="3"/>
  <c r="BB153" i="1"/>
  <c r="K147" i="1"/>
  <c r="K150" i="1"/>
  <c r="BA271" i="1" l="1"/>
  <c r="X410" i="1"/>
  <c r="BN154" i="1"/>
  <c r="I95" i="3"/>
  <c r="F95" i="3"/>
  <c r="J95" i="3"/>
  <c r="H95" i="3"/>
  <c r="E95" i="3"/>
  <c r="AW154" i="1"/>
  <c r="N133" i="1"/>
  <c r="I49" i="4" s="1"/>
  <c r="I426" i="4" s="1"/>
  <c r="BA320" i="1"/>
  <c r="U410" i="1"/>
  <c r="U415" i="1" s="1"/>
  <c r="H145" i="1"/>
  <c r="H151" i="1" s="1"/>
  <c r="N147" i="1"/>
  <c r="AU154" i="1"/>
  <c r="AU147" i="1"/>
  <c r="BF154" i="1"/>
  <c r="BA285" i="1"/>
  <c r="AS144" i="1"/>
  <c r="AS150" i="1" s="1"/>
  <c r="C270" i="4"/>
  <c r="AK334" i="1"/>
  <c r="AK153" i="1"/>
  <c r="BA313" i="1"/>
  <c r="BA334" i="1"/>
  <c r="AK341" i="1"/>
  <c r="BE342" i="1"/>
  <c r="BE344" i="1" s="1"/>
  <c r="BE408" i="1" s="1"/>
  <c r="BA278" i="1"/>
  <c r="BA327" i="1"/>
  <c r="G97" i="3"/>
  <c r="Z410" i="1"/>
  <c r="Z414" i="1" s="1"/>
  <c r="J97" i="3"/>
  <c r="BA341" i="1"/>
  <c r="BA299" i="1"/>
  <c r="D413" i="4"/>
  <c r="AK271" i="1"/>
  <c r="BC154" i="1"/>
  <c r="J147" i="1"/>
  <c r="AX147" i="1"/>
  <c r="AK306" i="1"/>
  <c r="AX154" i="1"/>
  <c r="BA306" i="1"/>
  <c r="AM342" i="1"/>
  <c r="AM344" i="1" s="1"/>
  <c r="AM408" i="1" s="1"/>
  <c r="BL431" i="1"/>
  <c r="BL433" i="1" s="1"/>
  <c r="BC342" i="1"/>
  <c r="BC344" i="1" s="1"/>
  <c r="BC408" i="1" s="1"/>
  <c r="AV147" i="1"/>
  <c r="AV154" i="1"/>
  <c r="BI271" i="1"/>
  <c r="BG342" i="1"/>
  <c r="BG344" i="1" s="1"/>
  <c r="BG408" i="1" s="1"/>
  <c r="E97" i="3"/>
  <c r="F97" i="3"/>
  <c r="H97" i="3"/>
  <c r="AM154" i="1"/>
  <c r="BF342" i="1"/>
  <c r="BF344" i="1" s="1"/>
  <c r="BF408" i="1" s="1"/>
  <c r="BA264" i="1"/>
  <c r="BB342" i="1"/>
  <c r="BB344" i="1" s="1"/>
  <c r="BB408" i="1" s="1"/>
  <c r="F408" i="4"/>
  <c r="F438" i="4" s="1"/>
  <c r="BG154" i="1"/>
  <c r="BI341" i="1"/>
  <c r="H144" i="1"/>
  <c r="H150" i="1" s="1"/>
  <c r="BL154" i="1"/>
  <c r="BA292" i="1"/>
  <c r="AG410" i="1"/>
  <c r="AG415" i="1" s="1"/>
  <c r="BO154" i="1"/>
  <c r="BD342" i="1"/>
  <c r="BD344" i="1" s="1"/>
  <c r="BD408" i="1" s="1"/>
  <c r="AK278" i="1"/>
  <c r="AK299" i="1"/>
  <c r="AS145" i="1"/>
  <c r="AS151" i="1" s="1"/>
  <c r="H313" i="1"/>
  <c r="BI278" i="1"/>
  <c r="D23" i="4"/>
  <c r="C398" i="4"/>
  <c r="BI306" i="1"/>
  <c r="AT151" i="1"/>
  <c r="AT154" i="1" s="1"/>
  <c r="BA153" i="1"/>
  <c r="F361" i="4"/>
  <c r="F360" i="4" s="1"/>
  <c r="BE154" i="1"/>
  <c r="H278" i="1"/>
  <c r="AS146" i="1"/>
  <c r="AS153" i="1" s="1"/>
  <c r="AT147" i="1"/>
  <c r="C21" i="4"/>
  <c r="BJ342" i="1"/>
  <c r="BJ344" i="1" s="1"/>
  <c r="BJ408" i="1" s="1"/>
  <c r="AS141" i="1"/>
  <c r="F304" i="4"/>
  <c r="K342" i="1"/>
  <c r="F35" i="4" s="1"/>
  <c r="H264" i="1"/>
  <c r="AK285" i="1"/>
  <c r="BM154" i="1"/>
  <c r="AB410" i="1"/>
  <c r="AB416" i="1" s="1"/>
  <c r="AK292" i="1"/>
  <c r="BM342" i="1"/>
  <c r="BM344" i="1" s="1"/>
  <c r="BM408" i="1" s="1"/>
  <c r="I304" i="4"/>
  <c r="H153" i="1"/>
  <c r="BI292" i="1"/>
  <c r="AH410" i="1"/>
  <c r="AH415" i="1" s="1"/>
  <c r="AO415" i="1" s="1"/>
  <c r="D422" i="4"/>
  <c r="H320" i="1"/>
  <c r="N342" i="1"/>
  <c r="I35" i="4" s="1"/>
  <c r="G422" i="4"/>
  <c r="H327" i="1"/>
  <c r="BI153" i="1"/>
  <c r="H334" i="1"/>
  <c r="BI320" i="1"/>
  <c r="L342" i="1"/>
  <c r="L344" i="1" s="1"/>
  <c r="AK320" i="1"/>
  <c r="BI327" i="1"/>
  <c r="AK313" i="1"/>
  <c r="H292" i="1"/>
  <c r="G304" i="4"/>
  <c r="I342" i="1"/>
  <c r="D35" i="4" s="1"/>
  <c r="AK327" i="1"/>
  <c r="AO410" i="1"/>
  <c r="F422" i="4"/>
  <c r="AN342" i="1"/>
  <c r="AN344" i="1" s="1"/>
  <c r="AN408" i="1" s="1"/>
  <c r="AK158" i="1"/>
  <c r="H341" i="1"/>
  <c r="C271" i="4"/>
  <c r="H422" i="4"/>
  <c r="I422" i="4"/>
  <c r="H304" i="4"/>
  <c r="D304" i="4"/>
  <c r="AE410" i="1"/>
  <c r="AE414" i="1" s="1"/>
  <c r="H271" i="1"/>
  <c r="M342" i="1"/>
  <c r="H35" i="4" s="1"/>
  <c r="H299" i="1"/>
  <c r="BI285" i="1"/>
  <c r="H285" i="1"/>
  <c r="BK342" i="1"/>
  <c r="BK344" i="1" s="1"/>
  <c r="BK408" i="1" s="1"/>
  <c r="BI299" i="1"/>
  <c r="E422" i="4"/>
  <c r="H306" i="1"/>
  <c r="BI264" i="1"/>
  <c r="BI334" i="1"/>
  <c r="BN342" i="1"/>
  <c r="BN344" i="1" s="1"/>
  <c r="BN408" i="1" s="1"/>
  <c r="BO342" i="1"/>
  <c r="BO344" i="1" s="1"/>
  <c r="BO408" i="1" s="1"/>
  <c r="BI313" i="1"/>
  <c r="J342" i="1"/>
  <c r="E35" i="4" s="1"/>
  <c r="BL342" i="1"/>
  <c r="BL344" i="1" s="1"/>
  <c r="BL408" i="1" s="1"/>
  <c r="E304" i="4"/>
  <c r="T416" i="1"/>
  <c r="T413" i="1"/>
  <c r="T415" i="1"/>
  <c r="AF416" i="1"/>
  <c r="AF415" i="1"/>
  <c r="AF414" i="1"/>
  <c r="S416" i="1"/>
  <c r="S413" i="1"/>
  <c r="S415" i="1"/>
  <c r="F498" i="4"/>
  <c r="F497" i="4" s="1"/>
  <c r="BJ431" i="1"/>
  <c r="BJ433" i="1" s="1"/>
  <c r="AC415" i="1"/>
  <c r="C22" i="4"/>
  <c r="AC413" i="1"/>
  <c r="AC414" i="1"/>
  <c r="AS271" i="1"/>
  <c r="AL154" i="1"/>
  <c r="I86" i="3"/>
  <c r="BI427" i="1"/>
  <c r="BI430" i="1"/>
  <c r="F423" i="4"/>
  <c r="AM431" i="1"/>
  <c r="AM433" i="1" s="1"/>
  <c r="AS320" i="1"/>
  <c r="F86" i="3"/>
  <c r="AM445" i="1"/>
  <c r="AS313" i="1"/>
  <c r="D423" i="4"/>
  <c r="AN445" i="1"/>
  <c r="AN443" i="1" s="1"/>
  <c r="F269" i="4"/>
  <c r="K154" i="1"/>
  <c r="AS264" i="1"/>
  <c r="D404" i="4"/>
  <c r="AT342" i="1"/>
  <c r="AT344" i="1" s="1"/>
  <c r="AT408" i="1" s="1"/>
  <c r="I105" i="3"/>
  <c r="E105" i="3"/>
  <c r="G105" i="3"/>
  <c r="J105" i="3"/>
  <c r="F105" i="3"/>
  <c r="H105" i="3"/>
  <c r="H23" i="4"/>
  <c r="AY342" i="1"/>
  <c r="AY344" i="1" s="1"/>
  <c r="AY408" i="1" s="1"/>
  <c r="I404" i="4"/>
  <c r="AK150" i="1"/>
  <c r="AK147" i="1"/>
  <c r="AK160" i="1" s="1"/>
  <c r="J95" i="31"/>
  <c r="J101" i="31" s="1"/>
  <c r="J103" i="31" s="1"/>
  <c r="E101" i="31"/>
  <c r="E103" i="31" s="1"/>
  <c r="BF431" i="1"/>
  <c r="BF433" i="1" s="1"/>
  <c r="H414" i="4"/>
  <c r="J154" i="1"/>
  <c r="E269" i="4"/>
  <c r="E272" i="4" s="1"/>
  <c r="H158" i="1"/>
  <c r="D52" i="4"/>
  <c r="D81" i="4"/>
  <c r="D76" i="4"/>
  <c r="R433" i="1"/>
  <c r="AI431" i="1"/>
  <c r="AX431" i="1"/>
  <c r="AX433" i="1" s="1"/>
  <c r="H405" i="4"/>
  <c r="G14" i="31"/>
  <c r="K445" i="1"/>
  <c r="N445" i="1"/>
  <c r="AS430" i="1"/>
  <c r="E81" i="4"/>
  <c r="E52" i="4"/>
  <c r="E76" i="4"/>
  <c r="I445" i="1"/>
  <c r="H429" i="1"/>
  <c r="E14" i="31"/>
  <c r="G269" i="4"/>
  <c r="G272" i="4" s="1"/>
  <c r="L154" i="1"/>
  <c r="AW431" i="1"/>
  <c r="AW433" i="1" s="1"/>
  <c r="G405" i="4"/>
  <c r="I13" i="31"/>
  <c r="M431" i="1"/>
  <c r="M433" i="1" s="1"/>
  <c r="H293" i="4"/>
  <c r="L445" i="1"/>
  <c r="H14" i="31"/>
  <c r="I101" i="3"/>
  <c r="F101" i="3"/>
  <c r="E101" i="3"/>
  <c r="G101" i="3"/>
  <c r="J101" i="3"/>
  <c r="H101" i="3"/>
  <c r="E15" i="31"/>
  <c r="J15" i="31" s="1"/>
  <c r="H430" i="1"/>
  <c r="I23" i="4"/>
  <c r="BM431" i="1"/>
  <c r="BM433" i="1" s="1"/>
  <c r="G423" i="4"/>
  <c r="I99" i="4"/>
  <c r="I100" i="4" s="1"/>
  <c r="I354" i="4"/>
  <c r="I484" i="4"/>
  <c r="I491" i="4"/>
  <c r="I477" i="4"/>
  <c r="I361" i="4"/>
  <c r="BA429" i="1"/>
  <c r="AO442" i="1"/>
  <c r="AO444" i="1"/>
  <c r="AO443" i="1"/>
  <c r="AS327" i="1"/>
  <c r="AS292" i="1"/>
  <c r="H413" i="4"/>
  <c r="CM346" i="1"/>
  <c r="CQ346" i="1"/>
  <c r="CQ348" i="1" s="1"/>
  <c r="AI342" i="1"/>
  <c r="CO346" i="1"/>
  <c r="CO348" i="1" s="1"/>
  <c r="CR346" i="1"/>
  <c r="CR348" i="1" s="1"/>
  <c r="CN346" i="1"/>
  <c r="CN348" i="1" s="1"/>
  <c r="CP346" i="1"/>
  <c r="CP348" i="1" s="1"/>
  <c r="R344" i="1"/>
  <c r="V415" i="1"/>
  <c r="V414" i="1"/>
  <c r="V413" i="1"/>
  <c r="V416" i="1"/>
  <c r="I413" i="4"/>
  <c r="Y416" i="1"/>
  <c r="Y414" i="1"/>
  <c r="Y413" i="1"/>
  <c r="Y415" i="1"/>
  <c r="AV342" i="1"/>
  <c r="AV344" i="1" s="1"/>
  <c r="AV408" i="1" s="1"/>
  <c r="F404" i="4"/>
  <c r="BG431" i="1"/>
  <c r="BG433" i="1" s="1"/>
  <c r="I414" i="4"/>
  <c r="F76" i="4"/>
  <c r="F81" i="4"/>
  <c r="F52" i="4"/>
  <c r="H86" i="3"/>
  <c r="AY431" i="1"/>
  <c r="AY433" i="1" s="1"/>
  <c r="I405" i="4"/>
  <c r="E13" i="31"/>
  <c r="H427" i="1"/>
  <c r="I431" i="1"/>
  <c r="I433" i="1" s="1"/>
  <c r="D293" i="4"/>
  <c r="F14" i="31"/>
  <c r="J445" i="1"/>
  <c r="AX342" i="1"/>
  <c r="AX344" i="1" s="1"/>
  <c r="AX408" i="1" s="1"/>
  <c r="H404" i="4"/>
  <c r="BA427" i="1"/>
  <c r="D414" i="4"/>
  <c r="BB431" i="1"/>
  <c r="BB433" i="1" s="1"/>
  <c r="C8" i="35"/>
  <c r="J251" i="31"/>
  <c r="AS341" i="1"/>
  <c r="G76" i="4"/>
  <c r="G52" i="4"/>
  <c r="G81" i="4"/>
  <c r="X413" i="1"/>
  <c r="X416" i="1"/>
  <c r="X414" i="1"/>
  <c r="X415" i="1"/>
  <c r="AS427" i="1"/>
  <c r="D405" i="4"/>
  <c r="AT431" i="1"/>
  <c r="AT433" i="1" s="1"/>
  <c r="AK427" i="1"/>
  <c r="AL431" i="1"/>
  <c r="AL433" i="1" s="1"/>
  <c r="F104" i="3"/>
  <c r="I104" i="3"/>
  <c r="J104" i="3"/>
  <c r="G104" i="3"/>
  <c r="H104" i="3"/>
  <c r="E104" i="3"/>
  <c r="AS429" i="1"/>
  <c r="H91" i="3"/>
  <c r="J91" i="3"/>
  <c r="I91" i="3"/>
  <c r="F91" i="3"/>
  <c r="E91" i="3"/>
  <c r="G91" i="3"/>
  <c r="I423" i="4"/>
  <c r="BO431" i="1"/>
  <c r="BO433" i="1" s="1"/>
  <c r="AK430" i="1"/>
  <c r="M154" i="1"/>
  <c r="H269" i="4"/>
  <c r="H272" i="4" s="1"/>
  <c r="G413" i="4"/>
  <c r="F99" i="3"/>
  <c r="J99" i="3"/>
  <c r="I99" i="3"/>
  <c r="E99" i="3"/>
  <c r="H99" i="3"/>
  <c r="G99" i="3"/>
  <c r="F414" i="4"/>
  <c r="BD431" i="1"/>
  <c r="BD433" i="1" s="1"/>
  <c r="AD414" i="1"/>
  <c r="AD415" i="1"/>
  <c r="AD416" i="1"/>
  <c r="AD413" i="1"/>
  <c r="E86" i="3"/>
  <c r="G404" i="4"/>
  <c r="AW342" i="1"/>
  <c r="AW344" i="1" s="1"/>
  <c r="AW408" i="1" s="1"/>
  <c r="G86" i="3"/>
  <c r="AS285" i="1"/>
  <c r="W414" i="1"/>
  <c r="W415" i="1"/>
  <c r="W416" i="1"/>
  <c r="W413" i="1"/>
  <c r="AA416" i="1"/>
  <c r="AA413" i="1"/>
  <c r="AA414" i="1"/>
  <c r="AA415" i="1"/>
  <c r="AS306" i="1"/>
  <c r="F102" i="3"/>
  <c r="E102" i="3"/>
  <c r="G102" i="3"/>
  <c r="H102" i="3"/>
  <c r="J102" i="3"/>
  <c r="I102" i="3"/>
  <c r="BI429" i="1"/>
  <c r="BB154" i="1"/>
  <c r="AV431" i="1"/>
  <c r="AV433" i="1" s="1"/>
  <c r="F405" i="4"/>
  <c r="F13" i="31"/>
  <c r="J431" i="1"/>
  <c r="J433" i="1" s="1"/>
  <c r="E293" i="4"/>
  <c r="I103" i="3"/>
  <c r="J103" i="3"/>
  <c r="E103" i="3"/>
  <c r="H103" i="3"/>
  <c r="G103" i="3"/>
  <c r="F103" i="3"/>
  <c r="BN431" i="1"/>
  <c r="BN433" i="1" s="1"/>
  <c r="H423" i="4"/>
  <c r="F100" i="3"/>
  <c r="G100" i="3"/>
  <c r="E100" i="3"/>
  <c r="H100" i="3"/>
  <c r="I100" i="3"/>
  <c r="J100" i="3"/>
  <c r="E92" i="3"/>
  <c r="F92" i="3"/>
  <c r="I92" i="3"/>
  <c r="H92" i="3"/>
  <c r="J92" i="3"/>
  <c r="G92" i="3"/>
  <c r="E98" i="3"/>
  <c r="J98" i="3"/>
  <c r="I98" i="3"/>
  <c r="G98" i="3"/>
  <c r="F98" i="3"/>
  <c r="H98" i="3"/>
  <c r="H94" i="3"/>
  <c r="G94" i="3"/>
  <c r="J94" i="3"/>
  <c r="I94" i="3"/>
  <c r="F94" i="3"/>
  <c r="E94" i="3"/>
  <c r="BC431" i="1"/>
  <c r="BC433" i="1" s="1"/>
  <c r="E414" i="4"/>
  <c r="AS299" i="1"/>
  <c r="AU342" i="1"/>
  <c r="AU344" i="1" s="1"/>
  <c r="AU408" i="1" s="1"/>
  <c r="E404" i="4"/>
  <c r="E413" i="4"/>
  <c r="J86" i="3"/>
  <c r="BK431" i="1"/>
  <c r="BK433" i="1" s="1"/>
  <c r="E423" i="4"/>
  <c r="BE431" i="1"/>
  <c r="BE433" i="1" s="1"/>
  <c r="G414" i="4"/>
  <c r="E23" i="4"/>
  <c r="BI147" i="1"/>
  <c r="BI150" i="1"/>
  <c r="H81" i="4"/>
  <c r="H76" i="4"/>
  <c r="H52" i="4"/>
  <c r="BA430" i="1"/>
  <c r="F476" i="4"/>
  <c r="AS334" i="1"/>
  <c r="E405" i="4"/>
  <c r="AU431" i="1"/>
  <c r="AU433" i="1" s="1"/>
  <c r="H13" i="31"/>
  <c r="L431" i="1"/>
  <c r="L433" i="1" s="1"/>
  <c r="G293" i="4"/>
  <c r="M445" i="1"/>
  <c r="I14" i="31"/>
  <c r="F413" i="4"/>
  <c r="AK264" i="1"/>
  <c r="AL342" i="1"/>
  <c r="AL344" i="1" s="1"/>
  <c r="AL408" i="1" s="1"/>
  <c r="E93" i="3"/>
  <c r="H93" i="3"/>
  <c r="I93" i="3"/>
  <c r="J93" i="3"/>
  <c r="F93" i="3"/>
  <c r="G93" i="3"/>
  <c r="AN431" i="1"/>
  <c r="AN433" i="1" s="1"/>
  <c r="BJ154" i="1"/>
  <c r="I76" i="4"/>
  <c r="I81" i="4"/>
  <c r="I52" i="4"/>
  <c r="BA147" i="1"/>
  <c r="BA150" i="1"/>
  <c r="N431" i="1"/>
  <c r="N433" i="1" s="1"/>
  <c r="I293" i="4"/>
  <c r="G13" i="31"/>
  <c r="K431" i="1"/>
  <c r="K433" i="1" s="1"/>
  <c r="F293" i="4"/>
  <c r="AK429" i="1"/>
  <c r="AL445" i="1"/>
  <c r="I269" i="4"/>
  <c r="I272" i="4" s="1"/>
  <c r="N154" i="1"/>
  <c r="AS278" i="1"/>
  <c r="H96" i="3"/>
  <c r="G96" i="3"/>
  <c r="F96" i="3"/>
  <c r="J96" i="3"/>
  <c r="E96" i="3"/>
  <c r="I96" i="3"/>
  <c r="D269" i="4"/>
  <c r="I154" i="1"/>
  <c r="J90" i="3"/>
  <c r="I90" i="3"/>
  <c r="E90" i="3"/>
  <c r="G90" i="3"/>
  <c r="H90" i="3"/>
  <c r="F90" i="3"/>
  <c r="I408" i="4" l="1"/>
  <c r="I417" i="4"/>
  <c r="I308" i="4"/>
  <c r="I299" i="4"/>
  <c r="AK154" i="1"/>
  <c r="AK155" i="1" s="1"/>
  <c r="BE410" i="1"/>
  <c r="U416" i="1"/>
  <c r="U413" i="1"/>
  <c r="U414" i="1"/>
  <c r="BI154" i="1"/>
  <c r="H147" i="1"/>
  <c r="H148" i="1" s="1"/>
  <c r="BL410" i="1"/>
  <c r="Z415" i="1"/>
  <c r="AM415" i="1" s="1"/>
  <c r="Z413" i="1"/>
  <c r="Z416" i="1"/>
  <c r="AM416" i="1" s="1"/>
  <c r="BD410" i="1"/>
  <c r="BF410" i="1"/>
  <c r="AG416" i="1"/>
  <c r="AG414" i="1"/>
  <c r="BG410" i="1"/>
  <c r="AM410" i="1"/>
  <c r="BC410" i="1"/>
  <c r="AM444" i="1"/>
  <c r="BB410" i="1"/>
  <c r="BA342" i="1"/>
  <c r="BA344" i="1" s="1"/>
  <c r="BA408" i="1" s="1"/>
  <c r="AG413" i="1"/>
  <c r="BA154" i="1"/>
  <c r="M344" i="1"/>
  <c r="M408" i="1" s="1"/>
  <c r="H65" i="4" s="1"/>
  <c r="H77" i="4" s="1"/>
  <c r="AH416" i="1"/>
  <c r="AO416" i="1" s="1"/>
  <c r="AS147" i="1"/>
  <c r="AH414" i="1"/>
  <c r="AO414" i="1" s="1"/>
  <c r="AH413" i="1"/>
  <c r="AO413" i="1" s="1"/>
  <c r="AS154" i="1"/>
  <c r="G35" i="4"/>
  <c r="C23" i="4"/>
  <c r="K344" i="1"/>
  <c r="F36" i="4" s="1"/>
  <c r="F37" i="4" s="1"/>
  <c r="H154" i="1"/>
  <c r="H155" i="1" s="1"/>
  <c r="AT410" i="1"/>
  <c r="I344" i="1"/>
  <c r="I408" i="1" s="1"/>
  <c r="D65" i="4" s="1"/>
  <c r="H424" i="4"/>
  <c r="H459" i="4" s="1"/>
  <c r="BJ410" i="1"/>
  <c r="N344" i="1"/>
  <c r="N408" i="1" s="1"/>
  <c r="N410" i="1" s="1"/>
  <c r="D424" i="4"/>
  <c r="D489" i="4" s="1"/>
  <c r="F424" i="4"/>
  <c r="F519" i="4" s="1"/>
  <c r="AB413" i="1"/>
  <c r="AB414" i="1"/>
  <c r="AB415" i="1"/>
  <c r="BM410" i="1"/>
  <c r="G424" i="4"/>
  <c r="G459" i="4" s="1"/>
  <c r="G16" i="31"/>
  <c r="G17" i="31" s="1"/>
  <c r="AN410" i="1"/>
  <c r="BO410" i="1"/>
  <c r="I424" i="4"/>
  <c r="I489" i="4" s="1"/>
  <c r="H342" i="1"/>
  <c r="C35" i="4" s="1"/>
  <c r="AF417" i="1"/>
  <c r="AF419" i="1" s="1"/>
  <c r="AF435" i="1" s="1"/>
  <c r="C304" i="4"/>
  <c r="C422" i="4"/>
  <c r="BK410" i="1"/>
  <c r="AE416" i="1"/>
  <c r="AE415" i="1"/>
  <c r="AE413" i="1"/>
  <c r="J344" i="1"/>
  <c r="E36" i="4" s="1"/>
  <c r="E37" i="4" s="1"/>
  <c r="BN410" i="1"/>
  <c r="BI342" i="1"/>
  <c r="BI344" i="1" s="1"/>
  <c r="BI408" i="1" s="1"/>
  <c r="H16" i="31"/>
  <c r="H17" i="31" s="1"/>
  <c r="T417" i="1"/>
  <c r="T419" i="1" s="1"/>
  <c r="T435" i="1" s="1"/>
  <c r="S417" i="1"/>
  <c r="S419" i="1" s="1"/>
  <c r="S435" i="1" s="1"/>
  <c r="H415" i="4"/>
  <c r="H452" i="4" s="1"/>
  <c r="AK445" i="1"/>
  <c r="AK442" i="1" s="1"/>
  <c r="AC417" i="1"/>
  <c r="AC419" i="1" s="1"/>
  <c r="AC435" i="1" s="1"/>
  <c r="F415" i="4"/>
  <c r="F452" i="4" s="1"/>
  <c r="C423" i="4"/>
  <c r="G415" i="4"/>
  <c r="G512" i="4" s="1"/>
  <c r="AN442" i="1"/>
  <c r="AM442" i="1"/>
  <c r="AD417" i="1"/>
  <c r="AD419" i="1" s="1"/>
  <c r="AD435" i="1" s="1"/>
  <c r="H445" i="1"/>
  <c r="H442" i="1" s="1"/>
  <c r="AV410" i="1"/>
  <c r="AN444" i="1"/>
  <c r="AY410" i="1"/>
  <c r="F435" i="4"/>
  <c r="AX410" i="1"/>
  <c r="E424" i="4"/>
  <c r="E489" i="4" s="1"/>
  <c r="I498" i="4"/>
  <c r="I497" i="4" s="1"/>
  <c r="C413" i="4"/>
  <c r="I406" i="4"/>
  <c r="I475" i="4" s="1"/>
  <c r="BI431" i="1"/>
  <c r="BI433" i="1" s="1"/>
  <c r="V417" i="1"/>
  <c r="V419" i="1" s="1"/>
  <c r="V435" i="1" s="1"/>
  <c r="AM443" i="1"/>
  <c r="F16" i="31"/>
  <c r="F17" i="31" s="1"/>
  <c r="AK342" i="1"/>
  <c r="AK344" i="1" s="1"/>
  <c r="AK408" i="1" s="1"/>
  <c r="G26" i="4"/>
  <c r="G25" i="4" s="1"/>
  <c r="G27" i="4" s="1"/>
  <c r="L408" i="1"/>
  <c r="G36" i="4"/>
  <c r="BA431" i="1"/>
  <c r="BA433" i="1" s="1"/>
  <c r="D26" i="4"/>
  <c r="D25" i="4" s="1"/>
  <c r="D27" i="4" s="1"/>
  <c r="F434" i="4"/>
  <c r="F406" i="4"/>
  <c r="J14" i="31"/>
  <c r="C293" i="4"/>
  <c r="AA417" i="1"/>
  <c r="AA419" i="1" s="1"/>
  <c r="AA435" i="1" s="1"/>
  <c r="AL410" i="1"/>
  <c r="X417" i="1"/>
  <c r="X419" i="1" s="1"/>
  <c r="X435" i="1" s="1"/>
  <c r="H8" i="35"/>
  <c r="H431" i="1"/>
  <c r="H433" i="1" s="1"/>
  <c r="H26" i="4"/>
  <c r="H25" i="4" s="1"/>
  <c r="H27" i="4" s="1"/>
  <c r="H160" i="1"/>
  <c r="AI433" i="1"/>
  <c r="C404" i="4"/>
  <c r="D434" i="4"/>
  <c r="D406" i="4"/>
  <c r="AK431" i="1"/>
  <c r="AK433" i="1" s="1"/>
  <c r="H406" i="4"/>
  <c r="H434" i="4"/>
  <c r="J13" i="31"/>
  <c r="E16" i="31"/>
  <c r="E17" i="31" s="1"/>
  <c r="I16" i="31"/>
  <c r="I17" i="31" s="1"/>
  <c r="I442" i="1"/>
  <c r="D285" i="4" s="1"/>
  <c r="I444" i="1"/>
  <c r="D305" i="4" s="1"/>
  <c r="I443" i="1"/>
  <c r="D296" i="4" s="1"/>
  <c r="D297" i="4" s="1"/>
  <c r="AS342" i="1"/>
  <c r="AS344" i="1" s="1"/>
  <c r="AS408" i="1" s="1"/>
  <c r="C414" i="4"/>
  <c r="F26" i="4"/>
  <c r="F25" i="4" s="1"/>
  <c r="F27" i="4" s="1"/>
  <c r="AU410" i="1"/>
  <c r="E435" i="4"/>
  <c r="W417" i="1"/>
  <c r="W419" i="1" s="1"/>
  <c r="W435" i="1" s="1"/>
  <c r="G406" i="4"/>
  <c r="G434" i="4"/>
  <c r="Y417" i="1"/>
  <c r="Y419" i="1" s="1"/>
  <c r="Y435" i="1" s="1"/>
  <c r="CL346" i="1"/>
  <c r="CL348" i="1" s="1"/>
  <c r="CM348" i="1"/>
  <c r="G435" i="4"/>
  <c r="I288" i="4"/>
  <c r="N443" i="1"/>
  <c r="I296" i="4" s="1"/>
  <c r="I297" i="4" s="1"/>
  <c r="N444" i="1"/>
  <c r="I305" i="4" s="1"/>
  <c r="I306" i="4" s="1"/>
  <c r="N442" i="1"/>
  <c r="I285" i="4" s="1"/>
  <c r="I286" i="4" s="1"/>
  <c r="E26" i="4"/>
  <c r="E25" i="4" s="1"/>
  <c r="E27" i="4" s="1"/>
  <c r="D86" i="3"/>
  <c r="D435" i="4"/>
  <c r="C405" i="4"/>
  <c r="J444" i="1"/>
  <c r="E305" i="4" s="1"/>
  <c r="E306" i="4" s="1"/>
  <c r="J442" i="1"/>
  <c r="E285" i="4" s="1"/>
  <c r="E286" i="4" s="1"/>
  <c r="J443" i="1"/>
  <c r="E296" i="4" s="1"/>
  <c r="E297" i="4" s="1"/>
  <c r="R408" i="1"/>
  <c r="R410" i="1" s="1"/>
  <c r="AI344" i="1"/>
  <c r="I347" i="4"/>
  <c r="I346" i="4" s="1"/>
  <c r="AW410" i="1"/>
  <c r="K444" i="1"/>
  <c r="F305" i="4" s="1"/>
  <c r="F306" i="4" s="1"/>
  <c r="K443" i="1"/>
  <c r="F296" i="4" s="1"/>
  <c r="F297" i="4" s="1"/>
  <c r="K442" i="1"/>
  <c r="F285" i="4" s="1"/>
  <c r="F286" i="4" s="1"/>
  <c r="F288" i="4"/>
  <c r="F347" i="4"/>
  <c r="F346" i="4" s="1"/>
  <c r="F272" i="4"/>
  <c r="AL443" i="1"/>
  <c r="AL444" i="1"/>
  <c r="AL442" i="1"/>
  <c r="E415" i="4"/>
  <c r="I26" i="4"/>
  <c r="I25" i="4" s="1"/>
  <c r="I27" i="4" s="1"/>
  <c r="AS431" i="1"/>
  <c r="AS433" i="1" s="1"/>
  <c r="E406" i="4"/>
  <c r="E434" i="4"/>
  <c r="C269" i="4"/>
  <c r="D272" i="4"/>
  <c r="D415" i="4"/>
  <c r="M444" i="1"/>
  <c r="H305" i="4" s="1"/>
  <c r="H306" i="4" s="1"/>
  <c r="M442" i="1"/>
  <c r="H285" i="4" s="1"/>
  <c r="H286" i="4" s="1"/>
  <c r="M443" i="1"/>
  <c r="H296" i="4" s="1"/>
  <c r="H297" i="4" s="1"/>
  <c r="AM414" i="1"/>
  <c r="I415" i="4"/>
  <c r="I360" i="4"/>
  <c r="I483" i="4"/>
  <c r="I476" i="4"/>
  <c r="I353" i="4"/>
  <c r="I490" i="4"/>
  <c r="L443" i="1"/>
  <c r="G296" i="4" s="1"/>
  <c r="G297" i="4" s="1"/>
  <c r="L444" i="1"/>
  <c r="G305" i="4" s="1"/>
  <c r="G306" i="4" s="1"/>
  <c r="L442" i="1"/>
  <c r="G285" i="4" s="1"/>
  <c r="G286" i="4" s="1"/>
  <c r="H435" i="4"/>
  <c r="H159" i="1"/>
  <c r="C76" i="4"/>
  <c r="C52" i="4"/>
  <c r="C81" i="4"/>
  <c r="U417" i="1" l="1"/>
  <c r="U419" i="1" s="1"/>
  <c r="U435" i="1" s="1"/>
  <c r="K408" i="1"/>
  <c r="K410" i="1" s="1"/>
  <c r="AN414" i="1"/>
  <c r="Z417" i="1"/>
  <c r="Z419" i="1" s="1"/>
  <c r="Z435" i="1" s="1"/>
  <c r="AN416" i="1"/>
  <c r="AM413" i="1"/>
  <c r="AM417" i="1" s="1"/>
  <c r="AM419" i="1" s="1"/>
  <c r="AM435" i="1" s="1"/>
  <c r="AM133" i="1" s="1"/>
  <c r="AG417" i="1"/>
  <c r="AG419" i="1" s="1"/>
  <c r="AG435" i="1" s="1"/>
  <c r="BA410" i="1"/>
  <c r="AN413" i="1"/>
  <c r="H36" i="4"/>
  <c r="H37" i="4" s="1"/>
  <c r="D36" i="4"/>
  <c r="D37" i="4" s="1"/>
  <c r="G37" i="4"/>
  <c r="AN415" i="1"/>
  <c r="AO417" i="1"/>
  <c r="AO419" i="1" s="1"/>
  <c r="AO435" i="1" s="1"/>
  <c r="AO133" i="1" s="1"/>
  <c r="H519" i="4"/>
  <c r="AH417" i="1"/>
  <c r="AH419" i="1" s="1"/>
  <c r="AH435" i="1" s="1"/>
  <c r="H489" i="4"/>
  <c r="G519" i="4"/>
  <c r="G489" i="4"/>
  <c r="I36" i="4"/>
  <c r="I37" i="4" s="1"/>
  <c r="D459" i="4"/>
  <c r="D519" i="4"/>
  <c r="I519" i="4"/>
  <c r="AB417" i="1"/>
  <c r="AB419" i="1" s="1"/>
  <c r="AB435" i="1" s="1"/>
  <c r="I459" i="4"/>
  <c r="F489" i="4"/>
  <c r="F492" i="4" s="1"/>
  <c r="F493" i="4" s="1"/>
  <c r="F226" i="4" s="1"/>
  <c r="F238" i="4" s="1"/>
  <c r="F459" i="4"/>
  <c r="BI410" i="1"/>
  <c r="H344" i="1"/>
  <c r="C36" i="4" s="1"/>
  <c r="C37" i="4" s="1"/>
  <c r="C424" i="4"/>
  <c r="J408" i="1"/>
  <c r="J410" i="1" s="1"/>
  <c r="AE417" i="1"/>
  <c r="AE419" i="1" s="1"/>
  <c r="AE435" i="1" s="1"/>
  <c r="H482" i="4"/>
  <c r="H512" i="4"/>
  <c r="F482" i="4"/>
  <c r="F485" i="4" s="1"/>
  <c r="F486" i="4" s="1"/>
  <c r="F225" i="4" s="1"/>
  <c r="F512" i="4"/>
  <c r="G452" i="4"/>
  <c r="AK444" i="1"/>
  <c r="I445" i="4"/>
  <c r="AK446" i="1"/>
  <c r="AK443" i="1"/>
  <c r="G482" i="4"/>
  <c r="I505" i="4"/>
  <c r="E459" i="4"/>
  <c r="E519" i="4"/>
  <c r="H444" i="1"/>
  <c r="C435" i="4"/>
  <c r="AS410" i="1"/>
  <c r="C415" i="4"/>
  <c r="J16" i="31"/>
  <c r="J17" i="31" s="1"/>
  <c r="H446" i="1"/>
  <c r="H443" i="1"/>
  <c r="AK410" i="1"/>
  <c r="M410" i="1"/>
  <c r="C272" i="4"/>
  <c r="I65" i="4"/>
  <c r="I77" i="4" s="1"/>
  <c r="D77" i="4"/>
  <c r="H322" i="4"/>
  <c r="H352" i="4"/>
  <c r="E322" i="4"/>
  <c r="E352" i="4"/>
  <c r="F322" i="4"/>
  <c r="F352" i="4"/>
  <c r="E315" i="4"/>
  <c r="E345" i="4"/>
  <c r="G329" i="4"/>
  <c r="G359" i="4"/>
  <c r="H315" i="4"/>
  <c r="H345" i="4"/>
  <c r="G322" i="4"/>
  <c r="G352" i="4"/>
  <c r="I478" i="4"/>
  <c r="I479" i="4" s="1"/>
  <c r="I224" i="4" s="1"/>
  <c r="D322" i="4"/>
  <c r="D352" i="4"/>
  <c r="E475" i="4"/>
  <c r="E505" i="4"/>
  <c r="E445" i="4"/>
  <c r="E436" i="4"/>
  <c r="I315" i="4"/>
  <c r="I345" i="4"/>
  <c r="C26" i="4"/>
  <c r="C25" i="4" s="1"/>
  <c r="C27" i="4" s="1"/>
  <c r="E329" i="4"/>
  <c r="E359" i="4"/>
  <c r="I410" i="1"/>
  <c r="D452" i="4"/>
  <c r="D512" i="4"/>
  <c r="D482" i="4"/>
  <c r="I452" i="4"/>
  <c r="I512" i="4"/>
  <c r="I482" i="4"/>
  <c r="I496" i="4" s="1"/>
  <c r="I329" i="4"/>
  <c r="I359" i="4"/>
  <c r="D475" i="4"/>
  <c r="D445" i="4"/>
  <c r="D505" i="4"/>
  <c r="D436" i="4"/>
  <c r="G65" i="4"/>
  <c r="G77" i="4" s="1"/>
  <c r="G315" i="4"/>
  <c r="G345" i="4"/>
  <c r="C285" i="4"/>
  <c r="C286" i="4" s="1"/>
  <c r="D286" i="4"/>
  <c r="F315" i="4"/>
  <c r="F345" i="4"/>
  <c r="D89" i="3"/>
  <c r="AI408" i="1"/>
  <c r="G505" i="4"/>
  <c r="G445" i="4"/>
  <c r="G475" i="4"/>
  <c r="G436" i="4"/>
  <c r="H475" i="4"/>
  <c r="H505" i="4"/>
  <c r="H445" i="4"/>
  <c r="H436" i="4"/>
  <c r="L410" i="1"/>
  <c r="I492" i="4"/>
  <c r="I493" i="4" s="1"/>
  <c r="I226" i="4" s="1"/>
  <c r="F329" i="4"/>
  <c r="F359" i="4"/>
  <c r="R414" i="1"/>
  <c r="R413" i="1"/>
  <c r="R416" i="1"/>
  <c r="AI410" i="1"/>
  <c r="R415" i="1"/>
  <c r="H329" i="4"/>
  <c r="H359" i="4"/>
  <c r="I322" i="4"/>
  <c r="I352" i="4"/>
  <c r="C296" i="4"/>
  <c r="C297" i="4" s="1"/>
  <c r="C406" i="4"/>
  <c r="C434" i="4"/>
  <c r="E482" i="4"/>
  <c r="E512" i="4"/>
  <c r="E452" i="4"/>
  <c r="C305" i="4"/>
  <c r="C306" i="4" s="1"/>
  <c r="D306" i="4"/>
  <c r="F505" i="4"/>
  <c r="F445" i="4"/>
  <c r="F475" i="4"/>
  <c r="F436" i="4"/>
  <c r="F65" i="4" l="1"/>
  <c r="F77" i="4" s="1"/>
  <c r="AN417" i="1"/>
  <c r="AN419" i="1" s="1"/>
  <c r="AN435" i="1" s="1"/>
  <c r="AN133" i="1" s="1"/>
  <c r="C519" i="4"/>
  <c r="H408" i="1"/>
  <c r="H410" i="1" s="1"/>
  <c r="H411" i="1" s="1"/>
  <c r="C489" i="4"/>
  <c r="C459" i="4"/>
  <c r="E65" i="4"/>
  <c r="E77" i="4" s="1"/>
  <c r="I526" i="4"/>
  <c r="H466" i="4"/>
  <c r="G390" i="4"/>
  <c r="F383" i="4"/>
  <c r="F355" i="4"/>
  <c r="F356" i="4" s="1"/>
  <c r="F146" i="4" s="1"/>
  <c r="H383" i="4"/>
  <c r="H390" i="4"/>
  <c r="F390" i="4"/>
  <c r="F362" i="4"/>
  <c r="F363" i="4" s="1"/>
  <c r="F147" i="4" s="1"/>
  <c r="H526" i="4"/>
  <c r="C512" i="4"/>
  <c r="E390" i="4"/>
  <c r="E496" i="4"/>
  <c r="C322" i="4"/>
  <c r="E376" i="4"/>
  <c r="L415" i="1"/>
  <c r="J415" i="1"/>
  <c r="AI415" i="1"/>
  <c r="M415" i="1"/>
  <c r="I415" i="1"/>
  <c r="AL415" i="1"/>
  <c r="AK415" i="1" s="1"/>
  <c r="K415" i="1"/>
  <c r="N415" i="1"/>
  <c r="H496" i="4"/>
  <c r="G466" i="4"/>
  <c r="D315" i="4"/>
  <c r="D345" i="4"/>
  <c r="I390" i="4"/>
  <c r="I362" i="4"/>
  <c r="I363" i="4" s="1"/>
  <c r="I147" i="4" s="1"/>
  <c r="G89" i="3"/>
  <c r="G107" i="3" s="1"/>
  <c r="I89" i="3"/>
  <c r="I107" i="3" s="1"/>
  <c r="J89" i="3"/>
  <c r="J107" i="3" s="1"/>
  <c r="E89" i="3"/>
  <c r="E107" i="3" s="1"/>
  <c r="H89" i="3"/>
  <c r="H107" i="3" s="1"/>
  <c r="F89" i="3"/>
  <c r="F107" i="3" s="1"/>
  <c r="G526" i="4"/>
  <c r="I466" i="4"/>
  <c r="H376" i="4"/>
  <c r="E383" i="4"/>
  <c r="D359" i="4"/>
  <c r="D329" i="4"/>
  <c r="C482" i="4"/>
  <c r="C352" i="4"/>
  <c r="D383" i="4"/>
  <c r="C452" i="4"/>
  <c r="F496" i="4"/>
  <c r="F478" i="4"/>
  <c r="F499" i="4" s="1"/>
  <c r="I383" i="4"/>
  <c r="I355" i="4"/>
  <c r="I356" i="4" s="1"/>
  <c r="I146" i="4" s="1"/>
  <c r="F376" i="4"/>
  <c r="F348" i="4"/>
  <c r="F349" i="4" s="1"/>
  <c r="F145" i="4" s="1"/>
  <c r="F526" i="4"/>
  <c r="C436" i="4"/>
  <c r="I416" i="1"/>
  <c r="AL416" i="1"/>
  <c r="AK416" i="1" s="1"/>
  <c r="M416" i="1"/>
  <c r="J416" i="1"/>
  <c r="L416" i="1"/>
  <c r="N416" i="1"/>
  <c r="K416" i="1"/>
  <c r="AI416" i="1"/>
  <c r="C505" i="4"/>
  <c r="D526" i="4"/>
  <c r="E526" i="4"/>
  <c r="F466" i="4"/>
  <c r="L413" i="1"/>
  <c r="M413" i="1"/>
  <c r="J413" i="1"/>
  <c r="N413" i="1"/>
  <c r="K413" i="1"/>
  <c r="R417" i="1"/>
  <c r="AL413" i="1"/>
  <c r="I413" i="1"/>
  <c r="AI413" i="1"/>
  <c r="G376" i="4"/>
  <c r="C445" i="4"/>
  <c r="D466" i="4"/>
  <c r="G496" i="4"/>
  <c r="I414" i="1"/>
  <c r="J414" i="1"/>
  <c r="N414" i="1"/>
  <c r="AL414" i="1"/>
  <c r="AK414" i="1" s="1"/>
  <c r="M414" i="1"/>
  <c r="K414" i="1"/>
  <c r="L414" i="1"/>
  <c r="AI414" i="1"/>
  <c r="C475" i="4"/>
  <c r="D496" i="4"/>
  <c r="I485" i="4"/>
  <c r="I499" i="4" s="1"/>
  <c r="I500" i="4" s="1"/>
  <c r="H409" i="1"/>
  <c r="I376" i="4"/>
  <c r="I348" i="4"/>
  <c r="I349" i="4" s="1"/>
  <c r="I145" i="4" s="1"/>
  <c r="E466" i="4"/>
  <c r="G383" i="4"/>
  <c r="C65" i="4" l="1"/>
  <c r="C77" i="4" s="1"/>
  <c r="F80" i="4" s="1"/>
  <c r="I148" i="4"/>
  <c r="I150" i="4" s="1"/>
  <c r="I486" i="4"/>
  <c r="I225" i="4" s="1"/>
  <c r="I227" i="4" s="1"/>
  <c r="F500" i="4"/>
  <c r="D107" i="3"/>
  <c r="F148" i="4"/>
  <c r="F150" i="4" s="1"/>
  <c r="AW414" i="1"/>
  <c r="H149" i="31"/>
  <c r="BE414" i="1"/>
  <c r="BM414" i="1"/>
  <c r="J417" i="1"/>
  <c r="E45" i="4"/>
  <c r="AU413" i="1"/>
  <c r="BK413" i="1"/>
  <c r="BC413" i="1"/>
  <c r="F150" i="31"/>
  <c r="E151" i="31"/>
  <c r="BJ416" i="1"/>
  <c r="H416" i="1"/>
  <c r="BB416" i="1"/>
  <c r="AT416" i="1"/>
  <c r="D390" i="4"/>
  <c r="C359" i="4"/>
  <c r="H152" i="31"/>
  <c r="BM415" i="1"/>
  <c r="AW415" i="1"/>
  <c r="BE415" i="1"/>
  <c r="AU415" i="1"/>
  <c r="F152" i="31"/>
  <c r="BK415" i="1"/>
  <c r="BC415" i="1"/>
  <c r="C496" i="4"/>
  <c r="BD414" i="1"/>
  <c r="BL414" i="1"/>
  <c r="G149" i="31"/>
  <c r="AV414" i="1"/>
  <c r="BF413" i="1"/>
  <c r="H45" i="4"/>
  <c r="BN413" i="1"/>
  <c r="AX413" i="1"/>
  <c r="M417" i="1"/>
  <c r="I150" i="31"/>
  <c r="C383" i="4"/>
  <c r="AY415" i="1"/>
  <c r="BO415" i="1"/>
  <c r="BG415" i="1"/>
  <c r="C329" i="4"/>
  <c r="BF414" i="1"/>
  <c r="AX414" i="1"/>
  <c r="I149" i="31"/>
  <c r="BN414" i="1"/>
  <c r="BE413" i="1"/>
  <c r="H150" i="31"/>
  <c r="AW413" i="1"/>
  <c r="L417" i="1"/>
  <c r="BM413" i="1"/>
  <c r="G45" i="4"/>
  <c r="BD416" i="1"/>
  <c r="BL416" i="1"/>
  <c r="AV416" i="1"/>
  <c r="G151" i="31"/>
  <c r="BL415" i="1"/>
  <c r="AV415" i="1"/>
  <c r="G152" i="31"/>
  <c r="BD415" i="1"/>
  <c r="N417" i="1"/>
  <c r="I45" i="4"/>
  <c r="BG413" i="1"/>
  <c r="BO413" i="1"/>
  <c r="AY413" i="1"/>
  <c r="BO416" i="1"/>
  <c r="AY416" i="1"/>
  <c r="BG416" i="1"/>
  <c r="C466" i="4"/>
  <c r="AL417" i="1"/>
  <c r="AL419" i="1" s="1"/>
  <c r="AL435" i="1" s="1"/>
  <c r="AL133" i="1" s="1"/>
  <c r="AK413" i="1"/>
  <c r="BM416" i="1"/>
  <c r="BE416" i="1"/>
  <c r="AW416" i="1"/>
  <c r="H151" i="31"/>
  <c r="F479" i="4"/>
  <c r="F224" i="4" s="1"/>
  <c r="F227" i="4" s="1"/>
  <c r="BB415" i="1"/>
  <c r="BJ415" i="1"/>
  <c r="H415" i="1"/>
  <c r="E152" i="31"/>
  <c r="AT415" i="1"/>
  <c r="E150" i="31"/>
  <c r="H413" i="1"/>
  <c r="I417" i="1"/>
  <c r="BB413" i="1"/>
  <c r="AT413" i="1"/>
  <c r="BJ413" i="1"/>
  <c r="D45" i="4"/>
  <c r="C526" i="4"/>
  <c r="F149" i="31"/>
  <c r="BK414" i="1"/>
  <c r="AU414" i="1"/>
  <c r="BC414" i="1"/>
  <c r="AI417" i="1"/>
  <c r="R419" i="1"/>
  <c r="BK416" i="1"/>
  <c r="AU416" i="1"/>
  <c r="F151" i="31"/>
  <c r="BC416" i="1"/>
  <c r="C345" i="4"/>
  <c r="D376" i="4"/>
  <c r="BN415" i="1"/>
  <c r="I152" i="31"/>
  <c r="AX415" i="1"/>
  <c r="BF415" i="1"/>
  <c r="C315" i="4"/>
  <c r="BG414" i="1"/>
  <c r="AY414" i="1"/>
  <c r="BO414" i="1"/>
  <c r="BJ414" i="1"/>
  <c r="BB414" i="1"/>
  <c r="AT414" i="1"/>
  <c r="H414" i="1"/>
  <c r="E149" i="31"/>
  <c r="F45" i="4"/>
  <c r="BL413" i="1"/>
  <c r="BD413" i="1"/>
  <c r="G150" i="31"/>
  <c r="AV413" i="1"/>
  <c r="K417" i="1"/>
  <c r="BN416" i="1"/>
  <c r="I151" i="31"/>
  <c r="AX416" i="1"/>
  <c r="BF416" i="1"/>
  <c r="H80" i="4" l="1"/>
  <c r="G78" i="4"/>
  <c r="I79" i="4"/>
  <c r="D79" i="4"/>
  <c r="E80" i="4"/>
  <c r="I78" i="4"/>
  <c r="F78" i="4"/>
  <c r="G79" i="4"/>
  <c r="H79" i="4"/>
  <c r="D80" i="4"/>
  <c r="D78" i="4"/>
  <c r="H78" i="4"/>
  <c r="E79" i="4"/>
  <c r="E78" i="4"/>
  <c r="I80" i="4"/>
  <c r="F79" i="4"/>
  <c r="G80" i="4"/>
  <c r="AK417" i="1"/>
  <c r="AK419" i="1" s="1"/>
  <c r="AK435" i="1" s="1"/>
  <c r="AK436" i="1" s="1"/>
  <c r="BD417" i="1"/>
  <c r="BD419" i="1" s="1"/>
  <c r="BD435" i="1" s="1"/>
  <c r="AX417" i="1"/>
  <c r="AX419" i="1" s="1"/>
  <c r="AX435" i="1" s="1"/>
  <c r="BA415" i="1"/>
  <c r="BO417" i="1"/>
  <c r="BO419" i="1" s="1"/>
  <c r="BO435" i="1" s="1"/>
  <c r="AS414" i="1"/>
  <c r="AS415" i="1"/>
  <c r="J152" i="31"/>
  <c r="BG417" i="1"/>
  <c r="BG419" i="1" s="1"/>
  <c r="BG435" i="1" s="1"/>
  <c r="I153" i="31"/>
  <c r="I155" i="31" s="1"/>
  <c r="BN417" i="1"/>
  <c r="BN419" i="1" s="1"/>
  <c r="BN435" i="1" s="1"/>
  <c r="BC417" i="1"/>
  <c r="BC419" i="1" s="1"/>
  <c r="BC435" i="1" s="1"/>
  <c r="J149" i="31"/>
  <c r="E153" i="31"/>
  <c r="E155" i="31" s="1"/>
  <c r="BI413" i="1"/>
  <c r="BJ417" i="1"/>
  <c r="BJ419" i="1" s="1"/>
  <c r="BJ435" i="1" s="1"/>
  <c r="C390" i="4"/>
  <c r="BK417" i="1"/>
  <c r="BK419" i="1" s="1"/>
  <c r="BK435" i="1" s="1"/>
  <c r="C376" i="4"/>
  <c r="AS413" i="1"/>
  <c r="AT417" i="1"/>
  <c r="AT419" i="1" s="1"/>
  <c r="AT435" i="1" s="1"/>
  <c r="BI415" i="1"/>
  <c r="I287" i="4"/>
  <c r="I416" i="4"/>
  <c r="I407" i="4"/>
  <c r="I425" i="4"/>
  <c r="I298" i="4"/>
  <c r="I307" i="4"/>
  <c r="N419" i="1"/>
  <c r="BM417" i="1"/>
  <c r="BM419" i="1" s="1"/>
  <c r="BM435" i="1" s="1"/>
  <c r="BF417" i="1"/>
  <c r="BF419" i="1" s="1"/>
  <c r="BF435" i="1" s="1"/>
  <c r="AS416" i="1"/>
  <c r="AU417" i="1"/>
  <c r="AU419" i="1" s="1"/>
  <c r="AU435" i="1" s="1"/>
  <c r="H153" i="31"/>
  <c r="H155" i="31" s="1"/>
  <c r="F153" i="31"/>
  <c r="F155" i="31" s="1"/>
  <c r="G407" i="4"/>
  <c r="G287" i="4"/>
  <c r="G425" i="4"/>
  <c r="G298" i="4"/>
  <c r="G307" i="4"/>
  <c r="G416" i="4"/>
  <c r="L419" i="1"/>
  <c r="BA416" i="1"/>
  <c r="F298" i="4"/>
  <c r="F307" i="4"/>
  <c r="F407" i="4"/>
  <c r="F287" i="4"/>
  <c r="F416" i="4"/>
  <c r="F425" i="4"/>
  <c r="K419" i="1"/>
  <c r="BA413" i="1"/>
  <c r="BB417" i="1"/>
  <c r="BB419" i="1" s="1"/>
  <c r="BB435" i="1" s="1"/>
  <c r="BA414" i="1"/>
  <c r="D287" i="4"/>
  <c r="D425" i="4"/>
  <c r="D298" i="4"/>
  <c r="D307" i="4"/>
  <c r="D416" i="4"/>
  <c r="D407" i="4"/>
  <c r="I419" i="1"/>
  <c r="AW417" i="1"/>
  <c r="AW419" i="1" s="1"/>
  <c r="AW435" i="1" s="1"/>
  <c r="G153" i="31"/>
  <c r="G155" i="31" s="1"/>
  <c r="E425" i="4"/>
  <c r="E407" i="4"/>
  <c r="E287" i="4"/>
  <c r="E416" i="4"/>
  <c r="E307" i="4"/>
  <c r="E298" i="4"/>
  <c r="J419" i="1"/>
  <c r="AV417" i="1"/>
  <c r="AV419" i="1" s="1"/>
  <c r="AV435" i="1" s="1"/>
  <c r="BI414" i="1"/>
  <c r="C45" i="4"/>
  <c r="H417" i="1"/>
  <c r="H419" i="1" s="1"/>
  <c r="BI416" i="1"/>
  <c r="BL417" i="1"/>
  <c r="BL419" i="1" s="1"/>
  <c r="BL435" i="1" s="1"/>
  <c r="AI419" i="1"/>
  <c r="R435" i="1"/>
  <c r="AI435" i="1" s="1"/>
  <c r="J150" i="31"/>
  <c r="AY417" i="1"/>
  <c r="AY419" i="1" s="1"/>
  <c r="AY435" i="1" s="1"/>
  <c r="BE417" i="1"/>
  <c r="BE419" i="1" s="1"/>
  <c r="BE435" i="1" s="1"/>
  <c r="H407" i="4"/>
  <c r="H307" i="4"/>
  <c r="H298" i="4"/>
  <c r="H425" i="4"/>
  <c r="H416" i="4"/>
  <c r="H287" i="4"/>
  <c r="M419" i="1"/>
  <c r="J151" i="31"/>
  <c r="E82" i="4" l="1"/>
  <c r="E83" i="4" s="1"/>
  <c r="G98" i="4"/>
  <c r="E98" i="4"/>
  <c r="D98" i="4"/>
  <c r="D82" i="4"/>
  <c r="D83" i="4" s="1"/>
  <c r="F98" i="4"/>
  <c r="I98" i="4"/>
  <c r="F82" i="4"/>
  <c r="H98" i="4"/>
  <c r="H82" i="4"/>
  <c r="H83" i="4" s="1"/>
  <c r="G82" i="4"/>
  <c r="G83" i="4" s="1"/>
  <c r="I82" i="4"/>
  <c r="AK133" i="1"/>
  <c r="E11" i="35"/>
  <c r="G157" i="31"/>
  <c r="C425" i="4"/>
  <c r="F427" i="4"/>
  <c r="F428" i="4" s="1"/>
  <c r="F189" i="4" s="1"/>
  <c r="F201" i="4" s="1"/>
  <c r="I427" i="4"/>
  <c r="I428" i="4" s="1"/>
  <c r="I189" i="4" s="1"/>
  <c r="AS417" i="1"/>
  <c r="AS419" i="1" s="1"/>
  <c r="AS435" i="1" s="1"/>
  <c r="J435" i="1"/>
  <c r="J438" i="1" s="1"/>
  <c r="E46" i="4"/>
  <c r="C287" i="4"/>
  <c r="F418" i="4"/>
  <c r="F419" i="4" s="1"/>
  <c r="F188" i="4" s="1"/>
  <c r="I409" i="4"/>
  <c r="I410" i="4" s="1"/>
  <c r="I187" i="4" s="1"/>
  <c r="F289" i="4"/>
  <c r="F290" i="4" s="1"/>
  <c r="F110" i="4" s="1"/>
  <c r="I418" i="4"/>
  <c r="I419" i="4" s="1"/>
  <c r="I188" i="4" s="1"/>
  <c r="I435" i="1"/>
  <c r="D46" i="4"/>
  <c r="F437" i="4"/>
  <c r="F409" i="4"/>
  <c r="I289" i="4"/>
  <c r="I290" i="4" s="1"/>
  <c r="I110" i="4" s="1"/>
  <c r="C407" i="4"/>
  <c r="D437" i="4"/>
  <c r="F309" i="4"/>
  <c r="F310" i="4" s="1"/>
  <c r="F112" i="4" s="1"/>
  <c r="BI417" i="1"/>
  <c r="BI419" i="1" s="1"/>
  <c r="BI435" i="1" s="1"/>
  <c r="C416" i="4"/>
  <c r="F300" i="4"/>
  <c r="F301" i="4" s="1"/>
  <c r="F111" i="4" s="1"/>
  <c r="G437" i="4"/>
  <c r="N435" i="1"/>
  <c r="I48" i="4" s="1"/>
  <c r="I46" i="4"/>
  <c r="C11" i="35"/>
  <c r="J155" i="31"/>
  <c r="E157" i="31"/>
  <c r="G11" i="35"/>
  <c r="G13" i="35" s="1"/>
  <c r="I157" i="31"/>
  <c r="H437" i="4"/>
  <c r="H46" i="4"/>
  <c r="M435" i="1"/>
  <c r="M438" i="1" s="1"/>
  <c r="E437" i="4"/>
  <c r="C307" i="4"/>
  <c r="BA417" i="1"/>
  <c r="BA419" i="1" s="1"/>
  <c r="BA435" i="1" s="1"/>
  <c r="D11" i="35"/>
  <c r="D13" i="35" s="1"/>
  <c r="F157" i="31"/>
  <c r="I309" i="4"/>
  <c r="I310" i="4" s="1"/>
  <c r="I112" i="4" s="1"/>
  <c r="J153" i="31"/>
  <c r="H435" i="1"/>
  <c r="C46" i="4"/>
  <c r="H420" i="1"/>
  <c r="C298" i="4"/>
  <c r="K435" i="1"/>
  <c r="F46" i="4"/>
  <c r="L435" i="1"/>
  <c r="G46" i="4"/>
  <c r="F11" i="35"/>
  <c r="F13" i="35" s="1"/>
  <c r="H157" i="31"/>
  <c r="I300" i="4"/>
  <c r="I301" i="4" s="1"/>
  <c r="I111" i="4" s="1"/>
  <c r="C82" i="4" l="1"/>
  <c r="C83" i="4" s="1"/>
  <c r="D521" i="4" s="1"/>
  <c r="F48" i="4"/>
  <c r="K133" i="1"/>
  <c r="F439" i="4"/>
  <c r="I190" i="4"/>
  <c r="F410" i="4"/>
  <c r="F430" i="4" s="1"/>
  <c r="K438" i="1"/>
  <c r="I113" i="4"/>
  <c r="I115" i="4" s="1"/>
  <c r="D99" i="4"/>
  <c r="D100" i="4" s="1"/>
  <c r="D347" i="4"/>
  <c r="D491" i="4"/>
  <c r="D354" i="4"/>
  <c r="D477" i="4"/>
  <c r="D484" i="4"/>
  <c r="D361" i="4"/>
  <c r="E477" i="4"/>
  <c r="E99" i="4"/>
  <c r="E100" i="4" s="1"/>
  <c r="E484" i="4"/>
  <c r="E491" i="4"/>
  <c r="E354" i="4"/>
  <c r="E347" i="4"/>
  <c r="E361" i="4"/>
  <c r="H436" i="1"/>
  <c r="H133" i="1"/>
  <c r="C49" i="4" s="1"/>
  <c r="H48" i="4"/>
  <c r="M133" i="1"/>
  <c r="H49" i="4" s="1"/>
  <c r="E48" i="4"/>
  <c r="J133" i="1"/>
  <c r="E49" i="4" s="1"/>
  <c r="G48" i="4"/>
  <c r="L133" i="1"/>
  <c r="G49" i="4" s="1"/>
  <c r="D48" i="4"/>
  <c r="I133" i="1"/>
  <c r="D49" i="4" s="1"/>
  <c r="L438" i="1"/>
  <c r="J157" i="31"/>
  <c r="I438" i="1"/>
  <c r="H99" i="4"/>
  <c r="H100" i="4" s="1"/>
  <c r="H361" i="4"/>
  <c r="H347" i="4"/>
  <c r="H477" i="4"/>
  <c r="H491" i="4"/>
  <c r="H484" i="4"/>
  <c r="H354" i="4"/>
  <c r="H438" i="1"/>
  <c r="H11" i="35"/>
  <c r="C13" i="35"/>
  <c r="G99" i="4"/>
  <c r="G100" i="4" s="1"/>
  <c r="G347" i="4"/>
  <c r="G354" i="4"/>
  <c r="G484" i="4"/>
  <c r="G491" i="4"/>
  <c r="G477" i="4"/>
  <c r="G361" i="4"/>
  <c r="N438" i="1"/>
  <c r="C437" i="4"/>
  <c r="F113" i="4"/>
  <c r="F115" i="4" s="1"/>
  <c r="E13" i="35"/>
  <c r="E14" i="35" s="1"/>
  <c r="E385" i="4" l="1"/>
  <c r="G514" i="4"/>
  <c r="H378" i="4"/>
  <c r="G101" i="4"/>
  <c r="H507" i="4"/>
  <c r="F385" i="4"/>
  <c r="F101" i="4"/>
  <c r="D385" i="4"/>
  <c r="H514" i="4"/>
  <c r="F392" i="4"/>
  <c r="G385" i="4"/>
  <c r="C99" i="4"/>
  <c r="C100" i="4" s="1"/>
  <c r="D514" i="4"/>
  <c r="I101" i="4"/>
  <c r="D84" i="4"/>
  <c r="H385" i="4"/>
  <c r="D392" i="4"/>
  <c r="F378" i="4"/>
  <c r="H521" i="4"/>
  <c r="E521" i="4"/>
  <c r="E514" i="4"/>
  <c r="I507" i="4"/>
  <c r="G84" i="4"/>
  <c r="E84" i="4"/>
  <c r="G521" i="4"/>
  <c r="E378" i="4"/>
  <c r="E392" i="4"/>
  <c r="I84" i="4"/>
  <c r="I378" i="4"/>
  <c r="G392" i="4"/>
  <c r="C84" i="4"/>
  <c r="F521" i="4"/>
  <c r="D507" i="4"/>
  <c r="E507" i="4"/>
  <c r="D101" i="4"/>
  <c r="I521" i="4"/>
  <c r="I392" i="4"/>
  <c r="H9" i="35"/>
  <c r="G9" i="35" s="1"/>
  <c r="G10" i="35" s="1"/>
  <c r="D378" i="4"/>
  <c r="H392" i="4"/>
  <c r="I385" i="4"/>
  <c r="G507" i="4"/>
  <c r="F507" i="4"/>
  <c r="H84" i="4"/>
  <c r="H101" i="4"/>
  <c r="G378" i="4"/>
  <c r="I514" i="4"/>
  <c r="F84" i="4"/>
  <c r="F514" i="4"/>
  <c r="E101" i="4"/>
  <c r="F440" i="4"/>
  <c r="F187" i="4"/>
  <c r="F190" i="4" s="1"/>
  <c r="C48" i="4"/>
  <c r="C53" i="4" s="1"/>
  <c r="C484" i="4"/>
  <c r="G498" i="4"/>
  <c r="G497" i="4" s="1"/>
  <c r="E288" i="4"/>
  <c r="E408" i="4"/>
  <c r="E299" i="4"/>
  <c r="E50" i="4"/>
  <c r="E426" i="4"/>
  <c r="E308" i="4"/>
  <c r="E417" i="4"/>
  <c r="G360" i="4"/>
  <c r="G490" i="4"/>
  <c r="G346" i="4"/>
  <c r="G483" i="4"/>
  <c r="G353" i="4"/>
  <c r="G476" i="4"/>
  <c r="D498" i="4"/>
  <c r="D497" i="4" s="1"/>
  <c r="C477" i="4"/>
  <c r="H13" i="35"/>
  <c r="H498" i="4"/>
  <c r="H497" i="4" s="1"/>
  <c r="C354" i="4"/>
  <c r="E15" i="35"/>
  <c r="E16" i="35"/>
  <c r="D299" i="4"/>
  <c r="D288" i="4"/>
  <c r="D417" i="4"/>
  <c r="D308" i="4"/>
  <c r="D50" i="4"/>
  <c r="D426" i="4"/>
  <c r="D408" i="4"/>
  <c r="H447" i="4"/>
  <c r="D331" i="4"/>
  <c r="D317" i="4"/>
  <c r="E324" i="4"/>
  <c r="I454" i="4"/>
  <c r="H317" i="4"/>
  <c r="D454" i="4"/>
  <c r="E317" i="4"/>
  <c r="F324" i="4"/>
  <c r="H324" i="4"/>
  <c r="G447" i="4"/>
  <c r="D461" i="4"/>
  <c r="I331" i="4"/>
  <c r="H331" i="4"/>
  <c r="I324" i="4"/>
  <c r="F317" i="4"/>
  <c r="H461" i="4"/>
  <c r="D324" i="4"/>
  <c r="F461" i="4"/>
  <c r="G454" i="4"/>
  <c r="C50" i="4"/>
  <c r="E447" i="4"/>
  <c r="G317" i="4"/>
  <c r="G461" i="4"/>
  <c r="G324" i="4"/>
  <c r="D447" i="4"/>
  <c r="E454" i="4"/>
  <c r="H454" i="4"/>
  <c r="F50" i="4"/>
  <c r="E461" i="4"/>
  <c r="I317" i="4"/>
  <c r="F331" i="4"/>
  <c r="F454" i="4"/>
  <c r="F447" i="4"/>
  <c r="I447" i="4"/>
  <c r="I461" i="4"/>
  <c r="G331" i="4"/>
  <c r="E331" i="4"/>
  <c r="I50" i="4"/>
  <c r="C491" i="4"/>
  <c r="H408" i="4"/>
  <c r="H426" i="4"/>
  <c r="H417" i="4"/>
  <c r="H288" i="4"/>
  <c r="H299" i="4"/>
  <c r="H308" i="4"/>
  <c r="H50" i="4"/>
  <c r="C347" i="4"/>
  <c r="H490" i="4"/>
  <c r="H483" i="4"/>
  <c r="H360" i="4"/>
  <c r="H346" i="4"/>
  <c r="H476" i="4"/>
  <c r="H353" i="4"/>
  <c r="E483" i="4"/>
  <c r="E490" i="4"/>
  <c r="E346" i="4"/>
  <c r="E353" i="4"/>
  <c r="E360" i="4"/>
  <c r="E476" i="4"/>
  <c r="G408" i="4"/>
  <c r="G50" i="4"/>
  <c r="G288" i="4"/>
  <c r="G308" i="4"/>
  <c r="G299" i="4"/>
  <c r="G426" i="4"/>
  <c r="G417" i="4"/>
  <c r="E498" i="4"/>
  <c r="E497" i="4" s="1"/>
  <c r="D483" i="4"/>
  <c r="D346" i="4"/>
  <c r="D353" i="4"/>
  <c r="D490" i="4"/>
  <c r="D476" i="4"/>
  <c r="D360" i="4"/>
  <c r="C361" i="4"/>
  <c r="H528" i="4" l="1"/>
  <c r="H527" i="4" s="1"/>
  <c r="H384" i="4"/>
  <c r="H386" i="4" s="1"/>
  <c r="H387" i="4" s="1"/>
  <c r="H162" i="4" s="1"/>
  <c r="H171" i="4" s="1"/>
  <c r="I520" i="4"/>
  <c r="I522" i="4" s="1"/>
  <c r="I523" i="4" s="1"/>
  <c r="I243" i="4" s="1"/>
  <c r="G377" i="4"/>
  <c r="G379" i="4" s="1"/>
  <c r="G380" i="4" s="1"/>
  <c r="G161" i="4" s="1"/>
  <c r="G528" i="4"/>
  <c r="G527" i="4" s="1"/>
  <c r="D528" i="4"/>
  <c r="D527" i="4" s="1"/>
  <c r="C507" i="4"/>
  <c r="I391" i="4"/>
  <c r="I393" i="4" s="1"/>
  <c r="I394" i="4" s="1"/>
  <c r="I163" i="4" s="1"/>
  <c r="I377" i="4"/>
  <c r="I379" i="4" s="1"/>
  <c r="I380" i="4" s="1"/>
  <c r="I161" i="4" s="1"/>
  <c r="E513" i="4"/>
  <c r="E515" i="4" s="1"/>
  <c r="E516" i="4" s="1"/>
  <c r="E242" i="4" s="1"/>
  <c r="E528" i="4"/>
  <c r="E527" i="4" s="1"/>
  <c r="C378" i="4"/>
  <c r="C9" i="35"/>
  <c r="C10" i="35" s="1"/>
  <c r="C14" i="35" s="1"/>
  <c r="D9" i="35"/>
  <c r="D10" i="35" s="1"/>
  <c r="D14" i="35" s="1"/>
  <c r="D391" i="4"/>
  <c r="D393" i="4" s="1"/>
  <c r="D394" i="4" s="1"/>
  <c r="D163" i="4" s="1"/>
  <c r="F377" i="4"/>
  <c r="F379" i="4" s="1"/>
  <c r="F380" i="4" s="1"/>
  <c r="F161" i="4" s="1"/>
  <c r="H513" i="4"/>
  <c r="H515" i="4" s="1"/>
  <c r="H516" i="4" s="1"/>
  <c r="H242" i="4" s="1"/>
  <c r="E506" i="4"/>
  <c r="E508" i="4" s="1"/>
  <c r="F9" i="35"/>
  <c r="F10" i="35" s="1"/>
  <c r="F14" i="35" s="1"/>
  <c r="G513" i="4"/>
  <c r="G515" i="4" s="1"/>
  <c r="G516" i="4" s="1"/>
  <c r="G242" i="4" s="1"/>
  <c r="E391" i="4"/>
  <c r="E393" i="4" s="1"/>
  <c r="E394" i="4" s="1"/>
  <c r="E163" i="4" s="1"/>
  <c r="E172" i="4" s="1"/>
  <c r="E377" i="4"/>
  <c r="E379" i="4" s="1"/>
  <c r="E380" i="4" s="1"/>
  <c r="E161" i="4" s="1"/>
  <c r="E384" i="4"/>
  <c r="E386" i="4" s="1"/>
  <c r="E387" i="4" s="1"/>
  <c r="E162" i="4" s="1"/>
  <c r="E171" i="4" s="1"/>
  <c r="F513" i="4"/>
  <c r="F515" i="4" s="1"/>
  <c r="F516" i="4" s="1"/>
  <c r="F242" i="4" s="1"/>
  <c r="I384" i="4"/>
  <c r="I386" i="4" s="1"/>
  <c r="I387" i="4" s="1"/>
  <c r="I162" i="4" s="1"/>
  <c r="F391" i="4"/>
  <c r="F393" i="4" s="1"/>
  <c r="F394" i="4" s="1"/>
  <c r="F163" i="4" s="1"/>
  <c r="D520" i="4"/>
  <c r="D522" i="4" s="1"/>
  <c r="D523" i="4" s="1"/>
  <c r="D243" i="4" s="1"/>
  <c r="D39" i="6" s="1"/>
  <c r="I506" i="4"/>
  <c r="I508" i="4" s="1"/>
  <c r="E520" i="4"/>
  <c r="E522" i="4" s="1"/>
  <c r="E523" i="4" s="1"/>
  <c r="E243" i="4" s="1"/>
  <c r="H377" i="4"/>
  <c r="H379" i="4" s="1"/>
  <c r="H380" i="4" s="1"/>
  <c r="H161" i="4" s="1"/>
  <c r="I513" i="4"/>
  <c r="I515" i="4" s="1"/>
  <c r="I516" i="4" s="1"/>
  <c r="I242" i="4" s="1"/>
  <c r="D377" i="4"/>
  <c r="I528" i="4"/>
  <c r="I527" i="4" s="1"/>
  <c r="C521" i="4"/>
  <c r="G506" i="4"/>
  <c r="G508" i="4" s="1"/>
  <c r="F506" i="4"/>
  <c r="F508" i="4" s="1"/>
  <c r="F509" i="4" s="1"/>
  <c r="F241" i="4" s="1"/>
  <c r="H520" i="4"/>
  <c r="H522" i="4" s="1"/>
  <c r="H523" i="4" s="1"/>
  <c r="H243" i="4" s="1"/>
  <c r="F384" i="4"/>
  <c r="F386" i="4" s="1"/>
  <c r="F387" i="4" s="1"/>
  <c r="F162" i="4" s="1"/>
  <c r="G384" i="4"/>
  <c r="G386" i="4" s="1"/>
  <c r="G387" i="4" s="1"/>
  <c r="G162" i="4" s="1"/>
  <c r="G171" i="4" s="1"/>
  <c r="C514" i="4"/>
  <c r="H391" i="4"/>
  <c r="H393" i="4" s="1"/>
  <c r="H394" i="4" s="1"/>
  <c r="H163" i="4" s="1"/>
  <c r="H172" i="4" s="1"/>
  <c r="F520" i="4"/>
  <c r="C385" i="4"/>
  <c r="D384" i="4"/>
  <c r="F528" i="4"/>
  <c r="F527" i="4" s="1"/>
  <c r="C392" i="4"/>
  <c r="G520" i="4"/>
  <c r="G522" i="4" s="1"/>
  <c r="G523" i="4" s="1"/>
  <c r="G243" i="4" s="1"/>
  <c r="G391" i="4"/>
  <c r="G393" i="4" s="1"/>
  <c r="G394" i="4" s="1"/>
  <c r="G163" i="4" s="1"/>
  <c r="G172" i="4" s="1"/>
  <c r="H506" i="4"/>
  <c r="H508" i="4" s="1"/>
  <c r="H509" i="4" s="1"/>
  <c r="H241" i="4" s="1"/>
  <c r="D513" i="4"/>
  <c r="D515" i="4" s="1"/>
  <c r="D516" i="4" s="1"/>
  <c r="D242" i="4" s="1"/>
  <c r="D506" i="4"/>
  <c r="I460" i="4"/>
  <c r="I462" i="4" s="1"/>
  <c r="I463" i="4" s="1"/>
  <c r="I206" i="4" s="1"/>
  <c r="H453" i="4"/>
  <c r="H455" i="4" s="1"/>
  <c r="H456" i="4" s="1"/>
  <c r="H205" i="4" s="1"/>
  <c r="G453" i="4"/>
  <c r="G455" i="4" s="1"/>
  <c r="G456" i="4" s="1"/>
  <c r="G205" i="4" s="1"/>
  <c r="H323" i="4"/>
  <c r="H325" i="4" s="1"/>
  <c r="H326" i="4" s="1"/>
  <c r="H127" i="4" s="1"/>
  <c r="H136" i="4" s="1"/>
  <c r="G323" i="4"/>
  <c r="G325" i="4" s="1"/>
  <c r="G326" i="4" s="1"/>
  <c r="G127" i="4" s="1"/>
  <c r="G136" i="4" s="1"/>
  <c r="F323" i="4"/>
  <c r="F325" i="4" s="1"/>
  <c r="F326" i="4" s="1"/>
  <c r="F127" i="4" s="1"/>
  <c r="F453" i="4"/>
  <c r="F455" i="4" s="1"/>
  <c r="F456" i="4" s="1"/>
  <c r="F205" i="4" s="1"/>
  <c r="H460" i="4"/>
  <c r="H462" i="4" s="1"/>
  <c r="H463" i="4" s="1"/>
  <c r="H206" i="4" s="1"/>
  <c r="E330" i="4"/>
  <c r="E332" i="4" s="1"/>
  <c r="E333" i="4" s="1"/>
  <c r="E128" i="4" s="1"/>
  <c r="E137" i="4" s="1"/>
  <c r="E460" i="4"/>
  <c r="E462" i="4" s="1"/>
  <c r="E463" i="4" s="1"/>
  <c r="E206" i="4" s="1"/>
  <c r="E446" i="4"/>
  <c r="E448" i="4" s="1"/>
  <c r="H330" i="4"/>
  <c r="H332" i="4" s="1"/>
  <c r="H333" i="4" s="1"/>
  <c r="H128" i="4" s="1"/>
  <c r="H137" i="4" s="1"/>
  <c r="H316" i="4"/>
  <c r="H318" i="4" s="1"/>
  <c r="H319" i="4" s="1"/>
  <c r="H126" i="4" s="1"/>
  <c r="D460" i="4"/>
  <c r="D462" i="4" s="1"/>
  <c r="D463" i="4" s="1"/>
  <c r="D206" i="4" s="1"/>
  <c r="E323" i="4"/>
  <c r="E325" i="4" s="1"/>
  <c r="E326" i="4" s="1"/>
  <c r="E127" i="4" s="1"/>
  <c r="E136" i="4" s="1"/>
  <c r="E453" i="4"/>
  <c r="E455" i="4" s="1"/>
  <c r="E456" i="4" s="1"/>
  <c r="E205" i="4" s="1"/>
  <c r="F460" i="4"/>
  <c r="F462" i="4" s="1"/>
  <c r="F463" i="4" s="1"/>
  <c r="F206" i="4" s="1"/>
  <c r="F218" i="4" s="1"/>
  <c r="D316" i="4"/>
  <c r="D318" i="4" s="1"/>
  <c r="F330" i="4"/>
  <c r="F332" i="4" s="1"/>
  <c r="F333" i="4" s="1"/>
  <c r="F128" i="4" s="1"/>
  <c r="G460" i="4"/>
  <c r="G462" i="4" s="1"/>
  <c r="G463" i="4" s="1"/>
  <c r="G206" i="4" s="1"/>
  <c r="F316" i="4"/>
  <c r="F318" i="4" s="1"/>
  <c r="F319" i="4" s="1"/>
  <c r="F126" i="4" s="1"/>
  <c r="E316" i="4"/>
  <c r="E318" i="4" s="1"/>
  <c r="E319" i="4" s="1"/>
  <c r="E126" i="4" s="1"/>
  <c r="I316" i="4"/>
  <c r="I318" i="4" s="1"/>
  <c r="I319" i="4" s="1"/>
  <c r="I126" i="4" s="1"/>
  <c r="G316" i="4"/>
  <c r="G318" i="4" s="1"/>
  <c r="G319" i="4" s="1"/>
  <c r="G126" i="4" s="1"/>
  <c r="I323" i="4"/>
  <c r="I325" i="4" s="1"/>
  <c r="I326" i="4" s="1"/>
  <c r="I127" i="4" s="1"/>
  <c r="G330" i="4"/>
  <c r="G332" i="4" s="1"/>
  <c r="G333" i="4" s="1"/>
  <c r="G128" i="4" s="1"/>
  <c r="G137" i="4" s="1"/>
  <c r="I330" i="4"/>
  <c r="I332" i="4" s="1"/>
  <c r="I333" i="4" s="1"/>
  <c r="I128" i="4" s="1"/>
  <c r="I453" i="4"/>
  <c r="I455" i="4" s="1"/>
  <c r="I456" i="4" s="1"/>
  <c r="I205" i="4" s="1"/>
  <c r="C331" i="4"/>
  <c r="I468" i="4"/>
  <c r="I467" i="4" s="1"/>
  <c r="G468" i="4"/>
  <c r="G467" i="4" s="1"/>
  <c r="H468" i="4"/>
  <c r="H467" i="4" s="1"/>
  <c r="E492" i="4"/>
  <c r="E493" i="4" s="1"/>
  <c r="E226" i="4" s="1"/>
  <c r="H427" i="4"/>
  <c r="H428" i="4" s="1"/>
  <c r="H189" i="4" s="1"/>
  <c r="F468" i="4"/>
  <c r="F467" i="4" s="1"/>
  <c r="D468" i="4"/>
  <c r="C447" i="4"/>
  <c r="C324" i="4"/>
  <c r="C299" i="4"/>
  <c r="D300" i="4"/>
  <c r="D301" i="4" s="1"/>
  <c r="D111" i="4" s="1"/>
  <c r="E300" i="4"/>
  <c r="E301" i="4" s="1"/>
  <c r="E111" i="4" s="1"/>
  <c r="E120" i="4" s="1"/>
  <c r="I446" i="4"/>
  <c r="G14" i="35"/>
  <c r="C497" i="4"/>
  <c r="E485" i="4"/>
  <c r="E486" i="4" s="1"/>
  <c r="E225" i="4" s="1"/>
  <c r="H438" i="4"/>
  <c r="H409" i="4"/>
  <c r="H410" i="4" s="1"/>
  <c r="G492" i="4"/>
  <c r="G493" i="4" s="1"/>
  <c r="G226" i="4" s="1"/>
  <c r="E438" i="4"/>
  <c r="E409" i="4"/>
  <c r="E410" i="4" s="1"/>
  <c r="G438" i="4"/>
  <c r="G409" i="4"/>
  <c r="G410" i="4" s="1"/>
  <c r="H492" i="4"/>
  <c r="H493" i="4" s="1"/>
  <c r="H226" i="4" s="1"/>
  <c r="C360" i="4"/>
  <c r="D362" i="4"/>
  <c r="D363" i="4" s="1"/>
  <c r="D147" i="4" s="1"/>
  <c r="G418" i="4"/>
  <c r="G419" i="4" s="1"/>
  <c r="G188" i="4" s="1"/>
  <c r="H355" i="4"/>
  <c r="H356" i="4" s="1"/>
  <c r="H146" i="4" s="1"/>
  <c r="H155" i="4" s="1"/>
  <c r="C408" i="4"/>
  <c r="D438" i="4"/>
  <c r="D409" i="4"/>
  <c r="D410" i="4" s="1"/>
  <c r="G362" i="4"/>
  <c r="G363" i="4" s="1"/>
  <c r="G147" i="4" s="1"/>
  <c r="G156" i="4" s="1"/>
  <c r="E289" i="4"/>
  <c r="E290" i="4" s="1"/>
  <c r="E110" i="4" s="1"/>
  <c r="C454" i="4"/>
  <c r="C426" i="4"/>
  <c r="D427" i="4"/>
  <c r="C498" i="4"/>
  <c r="H485" i="4"/>
  <c r="H486" i="4" s="1"/>
  <c r="H225" i="4" s="1"/>
  <c r="H478" i="4"/>
  <c r="H479" i="4" s="1"/>
  <c r="H224" i="4" s="1"/>
  <c r="H348" i="4"/>
  <c r="H349" i="4" s="1"/>
  <c r="H145" i="4" s="1"/>
  <c r="H309" i="4"/>
  <c r="H310" i="4" s="1"/>
  <c r="H112" i="4" s="1"/>
  <c r="H121" i="4" s="1"/>
  <c r="E468" i="4"/>
  <c r="E467" i="4" s="1"/>
  <c r="G478" i="4"/>
  <c r="G479" i="4" s="1"/>
  <c r="G224" i="4" s="1"/>
  <c r="E418" i="4"/>
  <c r="E419" i="4" s="1"/>
  <c r="E188" i="4" s="1"/>
  <c r="F446" i="4"/>
  <c r="D446" i="4"/>
  <c r="E348" i="4"/>
  <c r="E349" i="4" s="1"/>
  <c r="E145" i="4" s="1"/>
  <c r="E478" i="4"/>
  <c r="C353" i="4"/>
  <c r="D355" i="4"/>
  <c r="G309" i="4"/>
  <c r="G310" i="4" s="1"/>
  <c r="G112" i="4" s="1"/>
  <c r="G121" i="4" s="1"/>
  <c r="H300" i="4"/>
  <c r="H301" i="4" s="1"/>
  <c r="H111" i="4" s="1"/>
  <c r="H120" i="4" s="1"/>
  <c r="C308" i="4"/>
  <c r="D309" i="4"/>
  <c r="E17" i="35"/>
  <c r="E25" i="35" s="1"/>
  <c r="G355" i="4"/>
  <c r="G356" i="4" s="1"/>
  <c r="G146" i="4" s="1"/>
  <c r="G155" i="4" s="1"/>
  <c r="E309" i="4"/>
  <c r="E310" i="4" s="1"/>
  <c r="E112" i="4" s="1"/>
  <c r="E121" i="4" s="1"/>
  <c r="G446" i="4"/>
  <c r="D330" i="4"/>
  <c r="C483" i="4"/>
  <c r="D485" i="4"/>
  <c r="H418" i="4"/>
  <c r="H419" i="4" s="1"/>
  <c r="H188" i="4" s="1"/>
  <c r="C476" i="4"/>
  <c r="D478" i="4"/>
  <c r="D479" i="4" s="1"/>
  <c r="D224" i="4" s="1"/>
  <c r="G427" i="4"/>
  <c r="G428" i="4" s="1"/>
  <c r="G189" i="4" s="1"/>
  <c r="C490" i="4"/>
  <c r="D492" i="4"/>
  <c r="G300" i="4"/>
  <c r="G301" i="4" s="1"/>
  <c r="G111" i="4" s="1"/>
  <c r="G120" i="4" s="1"/>
  <c r="E362" i="4"/>
  <c r="E363" i="4" s="1"/>
  <c r="E147" i="4" s="1"/>
  <c r="E156" i="4" s="1"/>
  <c r="C346" i="4"/>
  <c r="D348" i="4"/>
  <c r="D349" i="4" s="1"/>
  <c r="D145" i="4" s="1"/>
  <c r="G289" i="4"/>
  <c r="G290" i="4" s="1"/>
  <c r="G110" i="4" s="1"/>
  <c r="E355" i="4"/>
  <c r="E356" i="4" s="1"/>
  <c r="E146" i="4" s="1"/>
  <c r="E155" i="4" s="1"/>
  <c r="H362" i="4"/>
  <c r="H363" i="4" s="1"/>
  <c r="H147" i="4" s="1"/>
  <c r="H156" i="4" s="1"/>
  <c r="H289" i="4"/>
  <c r="H290" i="4" s="1"/>
  <c r="H110" i="4" s="1"/>
  <c r="C461" i="4"/>
  <c r="C417" i="4"/>
  <c r="D418" i="4"/>
  <c r="D419" i="4" s="1"/>
  <c r="D188" i="4" s="1"/>
  <c r="G485" i="4"/>
  <c r="G486" i="4" s="1"/>
  <c r="G225" i="4" s="1"/>
  <c r="E427" i="4"/>
  <c r="E428" i="4" s="1"/>
  <c r="E189" i="4" s="1"/>
  <c r="D453" i="4"/>
  <c r="D323" i="4"/>
  <c r="C317" i="4"/>
  <c r="C288" i="4"/>
  <c r="D289" i="4"/>
  <c r="G348" i="4"/>
  <c r="G349" i="4" s="1"/>
  <c r="G145" i="4" s="1"/>
  <c r="H446" i="4"/>
  <c r="H10" i="35" l="1"/>
  <c r="C528" i="4"/>
  <c r="C520" i="4"/>
  <c r="F522" i="4"/>
  <c r="F523" i="4" s="1"/>
  <c r="F243" i="4" s="1"/>
  <c r="F244" i="4" s="1"/>
  <c r="F257" i="4" s="1"/>
  <c r="C377" i="4"/>
  <c r="C513" i="4"/>
  <c r="C391" i="4"/>
  <c r="D379" i="4"/>
  <c r="D380" i="4" s="1"/>
  <c r="D161" i="4" s="1"/>
  <c r="D170" i="4" s="1"/>
  <c r="C384" i="4"/>
  <c r="C506" i="4"/>
  <c r="D508" i="4"/>
  <c r="D509" i="4" s="1"/>
  <c r="D241" i="4" s="1"/>
  <c r="D244" i="4" s="1"/>
  <c r="D386" i="4"/>
  <c r="C386" i="4" s="1"/>
  <c r="C492" i="4"/>
  <c r="C316" i="4"/>
  <c r="C460" i="4"/>
  <c r="E499" i="4"/>
  <c r="E500" i="4" s="1"/>
  <c r="G529" i="4"/>
  <c r="G530" i="4" s="1"/>
  <c r="E529" i="4"/>
  <c r="E530" i="4" s="1"/>
  <c r="E479" i="4"/>
  <c r="E224" i="4" s="1"/>
  <c r="E227" i="4" s="1"/>
  <c r="E233" i="4" s="1"/>
  <c r="D493" i="4"/>
  <c r="D226" i="4" s="1"/>
  <c r="C226" i="4" s="1"/>
  <c r="G509" i="4"/>
  <c r="G241" i="4" s="1"/>
  <c r="G247" i="4" s="1"/>
  <c r="G253" i="4" s="1"/>
  <c r="C289" i="4"/>
  <c r="C318" i="4"/>
  <c r="D290" i="4"/>
  <c r="D110" i="4" s="1"/>
  <c r="C110" i="4" s="1"/>
  <c r="E509" i="4"/>
  <c r="E241" i="4" s="1"/>
  <c r="E247" i="4" s="1"/>
  <c r="E253" i="4" s="1"/>
  <c r="E194" i="4"/>
  <c r="E200" i="4"/>
  <c r="H231" i="4"/>
  <c r="H237" i="4"/>
  <c r="G217" i="4"/>
  <c r="G211" i="4"/>
  <c r="H39" i="6"/>
  <c r="H40" i="6" s="1"/>
  <c r="H249" i="4"/>
  <c r="H255" i="4"/>
  <c r="H217" i="4"/>
  <c r="H211" i="4"/>
  <c r="H218" i="4"/>
  <c r="H212" i="4"/>
  <c r="E170" i="4"/>
  <c r="E164" i="4"/>
  <c r="E166" i="4" s="1"/>
  <c r="E248" i="4"/>
  <c r="E254" i="4"/>
  <c r="H201" i="4"/>
  <c r="H195" i="4"/>
  <c r="E211" i="4"/>
  <c r="E217" i="4"/>
  <c r="G39" i="6"/>
  <c r="G40" i="6" s="1"/>
  <c r="G249" i="4"/>
  <c r="G255" i="4"/>
  <c r="H232" i="4"/>
  <c r="H238" i="4"/>
  <c r="G135" i="4"/>
  <c r="G129" i="4"/>
  <c r="E255" i="4"/>
  <c r="E249" i="4"/>
  <c r="E39" i="6"/>
  <c r="E40" i="6" s="1"/>
  <c r="E201" i="4"/>
  <c r="E195" i="4"/>
  <c r="H154" i="4"/>
  <c r="H148" i="4"/>
  <c r="H150" i="4" s="1"/>
  <c r="H157" i="4" s="1"/>
  <c r="E154" i="4"/>
  <c r="E148" i="4"/>
  <c r="E150" i="4" s="1"/>
  <c r="E157" i="4" s="1"/>
  <c r="H254" i="4"/>
  <c r="H248" i="4"/>
  <c r="H119" i="4"/>
  <c r="H113" i="4"/>
  <c r="H115" i="4" s="1"/>
  <c r="H122" i="4" s="1"/>
  <c r="H194" i="4"/>
  <c r="H200" i="4"/>
  <c r="H529" i="4"/>
  <c r="H530" i="4" s="1"/>
  <c r="E439" i="4"/>
  <c r="I448" i="4"/>
  <c r="I469" i="4" s="1"/>
  <c r="I470" i="4" s="1"/>
  <c r="E119" i="4"/>
  <c r="E113" i="4"/>
  <c r="E115" i="4" s="1"/>
  <c r="E122" i="4" s="1"/>
  <c r="G187" i="4"/>
  <c r="G440" i="4"/>
  <c r="G430" i="4"/>
  <c r="E187" i="4"/>
  <c r="E440" i="4"/>
  <c r="E430" i="4"/>
  <c r="E231" i="4"/>
  <c r="E237" i="4"/>
  <c r="D120" i="4"/>
  <c r="C111" i="4"/>
  <c r="C120" i="4" s="1"/>
  <c r="H135" i="4"/>
  <c r="H129" i="4"/>
  <c r="E135" i="4"/>
  <c r="E129" i="4"/>
  <c r="G231" i="4"/>
  <c r="G237" i="4"/>
  <c r="F15" i="35"/>
  <c r="F16" i="35"/>
  <c r="C485" i="4"/>
  <c r="C427" i="4"/>
  <c r="C418" i="4"/>
  <c r="C419" i="4" s="1"/>
  <c r="D486" i="4"/>
  <c r="D225" i="4" s="1"/>
  <c r="H499" i="4"/>
  <c r="H500" i="4" s="1"/>
  <c r="D428" i="4"/>
  <c r="D189" i="4" s="1"/>
  <c r="G439" i="4"/>
  <c r="D15" i="35"/>
  <c r="D16" i="35"/>
  <c r="C300" i="4"/>
  <c r="C301" i="4" s="1"/>
  <c r="C462" i="4"/>
  <c r="C446" i="4"/>
  <c r="D448" i="4"/>
  <c r="D449" i="4" s="1"/>
  <c r="D204" i="4" s="1"/>
  <c r="G254" i="4"/>
  <c r="G248" i="4"/>
  <c r="G230" i="4"/>
  <c r="G236" i="4" s="1"/>
  <c r="G227" i="4"/>
  <c r="G233" i="4" s="1"/>
  <c r="H227" i="4"/>
  <c r="H233" i="4" s="1"/>
  <c r="H230" i="4"/>
  <c r="H236" i="4" s="1"/>
  <c r="G170" i="4"/>
  <c r="G164" i="4"/>
  <c r="G166" i="4" s="1"/>
  <c r="G200" i="4"/>
  <c r="G194" i="4"/>
  <c r="G238" i="4"/>
  <c r="G232" i="4"/>
  <c r="C163" i="4"/>
  <c r="C172" i="4" s="1"/>
  <c r="D172" i="4"/>
  <c r="E238" i="4"/>
  <c r="E232" i="4"/>
  <c r="D212" i="4"/>
  <c r="C206" i="4"/>
  <c r="D218" i="4"/>
  <c r="F129" i="4"/>
  <c r="C145" i="4"/>
  <c r="D154" i="4"/>
  <c r="D194" i="4"/>
  <c r="C188" i="4"/>
  <c r="D200" i="4"/>
  <c r="G195" i="4"/>
  <c r="G201" i="4"/>
  <c r="G119" i="4"/>
  <c r="G113" i="4"/>
  <c r="G115" i="4" s="1"/>
  <c r="G122" i="4" s="1"/>
  <c r="C355" i="4"/>
  <c r="F448" i="4"/>
  <c r="F469" i="4" s="1"/>
  <c r="F470" i="4" s="1"/>
  <c r="G499" i="4"/>
  <c r="G500" i="4" s="1"/>
  <c r="C527" i="4"/>
  <c r="H170" i="4"/>
  <c r="H164" i="4"/>
  <c r="H166" i="4" s="1"/>
  <c r="D187" i="4"/>
  <c r="D156" i="4"/>
  <c r="C147" i="4"/>
  <c r="C156" i="4" s="1"/>
  <c r="I529" i="4"/>
  <c r="I530" i="4" s="1"/>
  <c r="C393" i="4"/>
  <c r="C16" i="35"/>
  <c r="C15" i="35"/>
  <c r="H14" i="35"/>
  <c r="E469" i="4"/>
  <c r="E470" i="4" s="1"/>
  <c r="I164" i="4"/>
  <c r="I166" i="4" s="1"/>
  <c r="I175" i="4" s="1"/>
  <c r="C330" i="4"/>
  <c r="D332" i="4"/>
  <c r="C332" i="4" s="1"/>
  <c r="C453" i="4"/>
  <c r="D455" i="4"/>
  <c r="C455" i="4" s="1"/>
  <c r="D499" i="4"/>
  <c r="C478" i="4"/>
  <c r="G448" i="4"/>
  <c r="G469" i="4" s="1"/>
  <c r="G470" i="4" s="1"/>
  <c r="C309" i="4"/>
  <c r="D356" i="4"/>
  <c r="D146" i="4" s="1"/>
  <c r="C409" i="4"/>
  <c r="D439" i="4"/>
  <c r="C362" i="4"/>
  <c r="C363" i="4" s="1"/>
  <c r="I509" i="4"/>
  <c r="I241" i="4" s="1"/>
  <c r="I244" i="4" s="1"/>
  <c r="I257" i="4" s="1"/>
  <c r="H187" i="4"/>
  <c r="H430" i="4"/>
  <c r="H440" i="4"/>
  <c r="E449" i="4"/>
  <c r="E204" i="4" s="1"/>
  <c r="G218" i="4"/>
  <c r="G212" i="4"/>
  <c r="G154" i="4"/>
  <c r="G148" i="4"/>
  <c r="G150" i="4" s="1"/>
  <c r="G157" i="4" s="1"/>
  <c r="C323" i="4"/>
  <c r="D325" i="4"/>
  <c r="C325" i="4" s="1"/>
  <c r="D230" i="4"/>
  <c r="D236" i="4" s="1"/>
  <c r="H448" i="4"/>
  <c r="H469" i="4" s="1"/>
  <c r="H470" i="4" s="1"/>
  <c r="C348" i="4"/>
  <c r="C349" i="4" s="1"/>
  <c r="C515" i="4"/>
  <c r="D310" i="4"/>
  <c r="D112" i="4" s="1"/>
  <c r="H439" i="4"/>
  <c r="C468" i="4"/>
  <c r="D467" i="4"/>
  <c r="D319" i="4"/>
  <c r="D126" i="4" s="1"/>
  <c r="C242" i="4"/>
  <c r="D248" i="4"/>
  <c r="D254" i="4"/>
  <c r="H244" i="4"/>
  <c r="H247" i="4"/>
  <c r="H253" i="4" s="1"/>
  <c r="D249" i="4"/>
  <c r="D255" i="4"/>
  <c r="C438" i="4"/>
  <c r="F164" i="4"/>
  <c r="F166" i="4" s="1"/>
  <c r="G15" i="35"/>
  <c r="G16" i="35"/>
  <c r="I129" i="4"/>
  <c r="E212" i="4"/>
  <c r="E218" i="4"/>
  <c r="F255" i="4" l="1"/>
  <c r="C522" i="4"/>
  <c r="C523" i="4" s="1"/>
  <c r="C243" i="4"/>
  <c r="C249" i="4" s="1"/>
  <c r="F529" i="4"/>
  <c r="F530" i="4" s="1"/>
  <c r="F39" i="6"/>
  <c r="F40" i="6" s="1"/>
  <c r="C516" i="4"/>
  <c r="C161" i="4"/>
  <c r="C170" i="4" s="1"/>
  <c r="C379" i="4"/>
  <c r="C380" i="4" s="1"/>
  <c r="D529" i="4"/>
  <c r="D530" i="4" s="1"/>
  <c r="D387" i="4"/>
  <c r="D162" i="4" s="1"/>
  <c r="C162" i="4" s="1"/>
  <c r="C171" i="4" s="1"/>
  <c r="C394" i="4"/>
  <c r="C508" i="4"/>
  <c r="C509" i="4" s="1"/>
  <c r="D247" i="4"/>
  <c r="D253" i="4" s="1"/>
  <c r="E244" i="4"/>
  <c r="E257" i="4" s="1"/>
  <c r="C224" i="4"/>
  <c r="C230" i="4" s="1"/>
  <c r="C236" i="4" s="1"/>
  <c r="E230" i="4"/>
  <c r="E236" i="4" s="1"/>
  <c r="C290" i="4"/>
  <c r="D119" i="4"/>
  <c r="C479" i="4"/>
  <c r="G244" i="4"/>
  <c r="G250" i="4" s="1"/>
  <c r="C486" i="4"/>
  <c r="C463" i="4"/>
  <c r="C310" i="4"/>
  <c r="D440" i="4"/>
  <c r="D430" i="4"/>
  <c r="C428" i="4"/>
  <c r="D232" i="4"/>
  <c r="D227" i="4"/>
  <c r="D233" i="4" s="1"/>
  <c r="D238" i="4"/>
  <c r="C493" i="4"/>
  <c r="D333" i="4"/>
  <c r="D128" i="4" s="1"/>
  <c r="C128" i="4" s="1"/>
  <c r="C137" i="4" s="1"/>
  <c r="C356" i="4"/>
  <c r="C439" i="4"/>
  <c r="D456" i="4"/>
  <c r="D205" i="4" s="1"/>
  <c r="D207" i="4" s="1"/>
  <c r="F449" i="4"/>
  <c r="F204" i="4" s="1"/>
  <c r="F207" i="4" s="1"/>
  <c r="F220" i="4" s="1"/>
  <c r="H250" i="4"/>
  <c r="H257" i="4"/>
  <c r="C232" i="4"/>
  <c r="C238" i="4"/>
  <c r="C467" i="4"/>
  <c r="E210" i="4"/>
  <c r="E216" i="4" s="1"/>
  <c r="E207" i="4"/>
  <c r="F86" i="4"/>
  <c r="F131" i="4"/>
  <c r="F140" i="4" s="1"/>
  <c r="C119" i="4"/>
  <c r="D210" i="4"/>
  <c r="D216" i="4" s="1"/>
  <c r="G193" i="4"/>
  <c r="G199" i="4" s="1"/>
  <c r="G190" i="4"/>
  <c r="G196" i="4" s="1"/>
  <c r="C319" i="4"/>
  <c r="E173" i="4"/>
  <c r="E42" i="6"/>
  <c r="E43" i="6" s="1"/>
  <c r="E45" i="6" s="1"/>
  <c r="E175" i="4"/>
  <c r="G17" i="35"/>
  <c r="H449" i="4"/>
  <c r="H204" i="4" s="1"/>
  <c r="D326" i="4"/>
  <c r="D127" i="4" s="1"/>
  <c r="C212" i="4"/>
  <c r="C218" i="4"/>
  <c r="C448" i="4"/>
  <c r="D469" i="4"/>
  <c r="C469" i="4" s="1"/>
  <c r="C146" i="4"/>
  <c r="C155" i="4" s="1"/>
  <c r="D155" i="4"/>
  <c r="C194" i="4"/>
  <c r="C200" i="4"/>
  <c r="D17" i="35"/>
  <c r="E86" i="4"/>
  <c r="E131" i="4"/>
  <c r="I449" i="4"/>
  <c r="I204" i="4" s="1"/>
  <c r="I207" i="4" s="1"/>
  <c r="I220" i="4" s="1"/>
  <c r="D40" i="6"/>
  <c r="F175" i="4"/>
  <c r="G86" i="4"/>
  <c r="G131" i="4"/>
  <c r="D121" i="4"/>
  <c r="C112" i="4"/>
  <c r="C121" i="4" s="1"/>
  <c r="H190" i="4"/>
  <c r="H196" i="4" s="1"/>
  <c r="H193" i="4"/>
  <c r="H199" i="4" s="1"/>
  <c r="H15" i="35"/>
  <c r="C17" i="35"/>
  <c r="C187" i="4"/>
  <c r="D193" i="4"/>
  <c r="D199" i="4" s="1"/>
  <c r="D190" i="4"/>
  <c r="D196" i="4" s="1"/>
  <c r="D148" i="4"/>
  <c r="D150" i="4" s="1"/>
  <c r="D157" i="4" s="1"/>
  <c r="C241" i="4"/>
  <c r="D195" i="4"/>
  <c r="C189" i="4"/>
  <c r="D201" i="4"/>
  <c r="H86" i="4"/>
  <c r="H131" i="4"/>
  <c r="H16" i="35"/>
  <c r="H175" i="4"/>
  <c r="H42" i="6"/>
  <c r="H43" i="6" s="1"/>
  <c r="H45" i="6" s="1"/>
  <c r="H173" i="4"/>
  <c r="G42" i="6"/>
  <c r="G43" i="6" s="1"/>
  <c r="G45" i="6" s="1"/>
  <c r="G173" i="4"/>
  <c r="G175" i="4"/>
  <c r="D250" i="4"/>
  <c r="F17" i="35"/>
  <c r="E193" i="4"/>
  <c r="E199" i="4" s="1"/>
  <c r="E190" i="4"/>
  <c r="E196" i="4" s="1"/>
  <c r="D113" i="4"/>
  <c r="D115" i="4" s="1"/>
  <c r="D122" i="4" s="1"/>
  <c r="C248" i="4"/>
  <c r="C254" i="4"/>
  <c r="C499" i="4"/>
  <c r="D500" i="4"/>
  <c r="C410" i="4"/>
  <c r="I131" i="4"/>
  <c r="I140" i="4" s="1"/>
  <c r="I86" i="4"/>
  <c r="D135" i="4"/>
  <c r="C126" i="4"/>
  <c r="G449" i="4"/>
  <c r="G204" i="4" s="1"/>
  <c r="C154" i="4"/>
  <c r="C225" i="4"/>
  <c r="D231" i="4"/>
  <c r="D237" i="4"/>
  <c r="D171" i="4" l="1"/>
  <c r="D164" i="4"/>
  <c r="D166" i="4" s="1"/>
  <c r="D173" i="4" s="1"/>
  <c r="C387" i="4"/>
  <c r="C39" i="6"/>
  <c r="C40" i="6" s="1"/>
  <c r="F42" i="6"/>
  <c r="F43" i="6" s="1"/>
  <c r="F45" i="6" s="1"/>
  <c r="C255" i="4"/>
  <c r="C529" i="4"/>
  <c r="C530" i="4" s="1"/>
  <c r="D257" i="4"/>
  <c r="C25" i="35"/>
  <c r="C19" i="35"/>
  <c r="C148" i="4"/>
  <c r="C150" i="4" s="1"/>
  <c r="C157" i="4" s="1"/>
  <c r="E250" i="4"/>
  <c r="G257" i="4"/>
  <c r="C227" i="4"/>
  <c r="C233" i="4" s="1"/>
  <c r="D129" i="4"/>
  <c r="D131" i="4" s="1"/>
  <c r="D137" i="4"/>
  <c r="C333" i="4"/>
  <c r="D217" i="4"/>
  <c r="C205" i="4"/>
  <c r="C211" i="4" s="1"/>
  <c r="D211" i="4"/>
  <c r="C500" i="4"/>
  <c r="C449" i="4"/>
  <c r="C456" i="4"/>
  <c r="H207" i="4"/>
  <c r="H210" i="4"/>
  <c r="H216" i="4" s="1"/>
  <c r="D470" i="4"/>
  <c r="C470" i="4" s="1"/>
  <c r="G19" i="35"/>
  <c r="G25" i="35"/>
  <c r="G27" i="35"/>
  <c r="C113" i="4"/>
  <c r="C116" i="4" s="1"/>
  <c r="H140" i="4"/>
  <c r="H138" i="4"/>
  <c r="G138" i="4"/>
  <c r="G140" i="4"/>
  <c r="H87" i="4"/>
  <c r="H88" i="4" s="1"/>
  <c r="C193" i="4"/>
  <c r="C199" i="4" s="1"/>
  <c r="C190" i="4"/>
  <c r="C196" i="4" s="1"/>
  <c r="G87" i="4"/>
  <c r="G88" i="4" s="1"/>
  <c r="E138" i="4"/>
  <c r="E140" i="4"/>
  <c r="G207" i="4"/>
  <c r="G210" i="4"/>
  <c r="G216" i="4" s="1"/>
  <c r="I88" i="4"/>
  <c r="I87" i="4"/>
  <c r="H17" i="35"/>
  <c r="H19" i="35" s="1"/>
  <c r="C27" i="35"/>
  <c r="E87" i="4"/>
  <c r="E88" i="4" s="1"/>
  <c r="F87" i="4"/>
  <c r="F88" i="4" s="1"/>
  <c r="C201" i="4"/>
  <c r="C195" i="4"/>
  <c r="D19" i="35"/>
  <c r="D27" i="35"/>
  <c r="D25" i="35"/>
  <c r="C204" i="4"/>
  <c r="C440" i="4"/>
  <c r="C430" i="4"/>
  <c r="C431" i="4" s="1"/>
  <c r="F19" i="35"/>
  <c r="F25" i="35"/>
  <c r="F27" i="35"/>
  <c r="C326" i="4"/>
  <c r="D213" i="4"/>
  <c r="D220" i="4"/>
  <c r="E220" i="4"/>
  <c r="E213" i="4"/>
  <c r="C231" i="4"/>
  <c r="C237" i="4"/>
  <c r="C135" i="4"/>
  <c r="C247" i="4"/>
  <c r="C253" i="4" s="1"/>
  <c r="C244" i="4"/>
  <c r="C127" i="4"/>
  <c r="C136" i="4" s="1"/>
  <c r="D136" i="4"/>
  <c r="D175" i="4" l="1"/>
  <c r="C164" i="4"/>
  <c r="C166" i="4" s="1"/>
  <c r="C175" i="4" s="1"/>
  <c r="D42" i="6"/>
  <c r="D43" i="6" s="1"/>
  <c r="D45" i="6" s="1"/>
  <c r="C20" i="35"/>
  <c r="D20" i="35"/>
  <c r="H20" i="35"/>
  <c r="H27" i="35"/>
  <c r="H28" i="35" s="1"/>
  <c r="D86" i="4"/>
  <c r="D87" i="4" s="1"/>
  <c r="C87" i="4" s="1"/>
  <c r="C217" i="4"/>
  <c r="C129" i="4"/>
  <c r="C132" i="4" s="1"/>
  <c r="D138" i="4"/>
  <c r="D140" i="4"/>
  <c r="H220" i="4"/>
  <c r="H213" i="4"/>
  <c r="C207" i="4"/>
  <c r="C210" i="4"/>
  <c r="C216" i="4" s="1"/>
  <c r="G220" i="4"/>
  <c r="G213" i="4"/>
  <c r="C115" i="4"/>
  <c r="C122" i="4" s="1"/>
  <c r="H25" i="35"/>
  <c r="C257" i="4"/>
  <c r="C250" i="4"/>
  <c r="C173" i="4" l="1"/>
  <c r="C42" i="6"/>
  <c r="C43" i="6" s="1"/>
  <c r="C45" i="6" s="1"/>
  <c r="C131" i="4"/>
  <c r="C138" i="4" s="1"/>
  <c r="C86" i="4"/>
  <c r="C88" i="4" s="1"/>
  <c r="C28" i="35"/>
  <c r="G20" i="35"/>
  <c r="F20" i="35"/>
  <c r="F28" i="35"/>
  <c r="G28" i="35"/>
  <c r="C213" i="4"/>
  <c r="C220" i="4"/>
  <c r="D88" i="4"/>
  <c r="D28" i="35"/>
  <c r="C140" i="4" l="1"/>
  <c r="BA392" i="7" l="1"/>
  <c r="BB392" i="7" s="1"/>
  <c r="BA140" i="7" l="1"/>
  <c r="BA153" i="7" l="1"/>
  <c r="BA164" i="7"/>
  <c r="BA403" i="7"/>
  <c r="BA142" i="7" l="1"/>
  <c r="BA102" i="7"/>
  <c r="BB148" i="7"/>
  <c r="BB153" i="7"/>
  <c r="BA228" i="7" l="1"/>
  <c r="BA405" i="7" l="1"/>
  <c r="BA231" i="7" l="1"/>
  <c r="BA236" i="7"/>
  <c r="K423" i="38" l="1"/>
  <c r="K425" i="38" s="1"/>
  <c r="K42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gzhkw6</author>
    <author>Anderson, Joel</author>
  </authors>
  <commentList>
    <comment ref="BA200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Misc Property Amort (Line 219)
</t>
        </r>
      </text>
    </comment>
    <comment ref="E213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amortization</t>
        </r>
      </text>
    </comment>
    <comment ref="BA295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Difference is customer advances and customer deposits</t>
        </r>
      </text>
    </comment>
    <comment ref="D317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Includes UG Storage Amort</t>
        </r>
      </text>
    </comment>
    <comment ref="E346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accumulated amortization</t>
        </r>
      </text>
    </comment>
    <comment ref="Y397" authorId="2" shapeId="0" xr:uid="{B4036BCF-705F-4F73-A42C-BB3D9D2F359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$3,521,000 for special contract reversal.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Joel</author>
  </authors>
  <commentList>
    <comment ref="I15" authorId="0" shapeId="0" xr:uid="{700575CB-CA4C-492E-950E-3D8FB4C9E41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From Natural Gas RR Model AMA 2025.  "RR SUMMARY"tab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A28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122 to 132 (Dec 2012)</t>
        </r>
      </text>
    </comment>
    <comment ref="A3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61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Land O'Lakes
</t>
        </r>
      </text>
    </comment>
    <comment ref="A62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Feb of 2012</t>
        </r>
      </text>
    </comment>
    <comment ref="A6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70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opened sept of 2012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F4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Nov 2011</t>
        </r>
      </text>
    </comment>
    <comment ref="F42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in early 2012</t>
        </r>
      </text>
    </comment>
    <comment ref="F43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
</t>
        </r>
      </text>
    </comment>
    <comment ref="F4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</t>
        </r>
      </text>
    </comment>
    <comment ref="F49" authorId="1" shapeId="0" xr:uid="{26DBC480-F89A-4297-AF35-B93AB0DFBC2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Switched from 148.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L10" authorId="0" shapeId="0" xr:uid="{ACA5D79D-D116-4047-A7F9-C9DB166BB1C9}">
      <text>
        <r>
          <rPr>
            <b/>
            <sz val="9"/>
            <color indexed="81"/>
            <rFont val="Tahoma"/>
            <family val="2"/>
          </rPr>
          <t>Joel Anderson:</t>
        </r>
        <r>
          <rPr>
            <sz val="9"/>
            <color indexed="81"/>
            <rFont val="Tahoma"/>
            <family val="2"/>
          </rPr>
          <t xml:space="preserve">
Used weighting from prior meter count report to assign meters to 9.30.21</t>
        </r>
      </text>
    </comment>
    <comment ref="A15" authorId="0" shapeId="0" xr:uid="{A0F6EBE6-C8A3-48DE-B61E-30635C608BE3}">
      <text>
        <r>
          <rPr>
            <b/>
            <sz val="8"/>
            <color indexed="81"/>
            <rFont val="Tahoma"/>
            <family val="2"/>
          </rPr>
          <t>Joel Anderson:</t>
        </r>
        <r>
          <rPr>
            <sz val="8"/>
            <color indexed="81"/>
            <rFont val="Tahoma"/>
            <family val="2"/>
          </rPr>
          <t xml:space="preserve">
Total average monthly bills from test period.</t>
        </r>
      </text>
    </comment>
    <comment ref="B66" authorId="1" shapeId="0" xr:uid="{E03B8113-D69D-4EF7-B841-4B875940969F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Total AMI cost per rate schedule.</t>
        </r>
      </text>
    </comment>
    <comment ref="C66" authorId="1" shapeId="0" xr:uid="{337DFED8-B39E-4264-9DDB-9162D78206B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Average # of customers for base year.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D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revenue study</t>
        </r>
      </text>
    </comment>
  </commentList>
</comments>
</file>

<file path=xl/sharedStrings.xml><?xml version="1.0" encoding="utf-8"?>
<sst xmlns="http://schemas.openxmlformats.org/spreadsheetml/2006/main" count="6766" uniqueCount="1911">
  <si>
    <t>Operation &amp; Maintenance Expenses</t>
  </si>
  <si>
    <t>Supervision &amp; Engineering</t>
  </si>
  <si>
    <t>Rents</t>
  </si>
  <si>
    <t>Proforma</t>
  </si>
  <si>
    <t>Description</t>
  </si>
  <si>
    <t>Totals</t>
  </si>
  <si>
    <t>Distribution Expenses</t>
  </si>
  <si>
    <t>Total Distribution Operation</t>
  </si>
  <si>
    <t>Meters</t>
  </si>
  <si>
    <t>Total Distribution Maintenance</t>
  </si>
  <si>
    <t>Total Distribution Expenses</t>
  </si>
  <si>
    <t>Customer Accounting Expenses</t>
  </si>
  <si>
    <t>901-OP</t>
  </si>
  <si>
    <t>Supervision</t>
  </si>
  <si>
    <t>902-OP</t>
  </si>
  <si>
    <t>Meter Reading</t>
  </si>
  <si>
    <t>903-OP</t>
  </si>
  <si>
    <t>904-OP</t>
  </si>
  <si>
    <t>Uncollectible Accounts</t>
  </si>
  <si>
    <t>905-OP</t>
  </si>
  <si>
    <t>Misc Customer Accounts Expenses</t>
  </si>
  <si>
    <t>Total Customer Accounting Expenses</t>
  </si>
  <si>
    <t>Customer Information Expenses</t>
  </si>
  <si>
    <t>907-OP</t>
  </si>
  <si>
    <t>908-OP</t>
  </si>
  <si>
    <t>Customer Assistance Expenses</t>
  </si>
  <si>
    <t>909-OP</t>
  </si>
  <si>
    <t>Advertising</t>
  </si>
  <si>
    <t>910-OP</t>
  </si>
  <si>
    <t>Total Customer Information Expenses</t>
  </si>
  <si>
    <t>Sales Expenses</t>
  </si>
  <si>
    <t>911-OP</t>
  </si>
  <si>
    <t>912-OP</t>
  </si>
  <si>
    <t>Demonstrating &amp; Selling Expenses</t>
  </si>
  <si>
    <t>913-OP</t>
  </si>
  <si>
    <t>Advertising Expenses</t>
  </si>
  <si>
    <t>916-OP</t>
  </si>
  <si>
    <t>Misc Sales Expenses</t>
  </si>
  <si>
    <t>Total Sales Expenses</t>
  </si>
  <si>
    <t>Subtotal Expenses</t>
  </si>
  <si>
    <t>Administrative &amp; General Expenses</t>
  </si>
  <si>
    <t>920-OP</t>
  </si>
  <si>
    <t>Admin &amp; General Salaries</t>
  </si>
  <si>
    <t>921-OP</t>
  </si>
  <si>
    <t>Office Supplies &amp; Expenses</t>
  </si>
  <si>
    <t>922-OP</t>
  </si>
  <si>
    <t>Admin Expenses Transferred - CR</t>
  </si>
  <si>
    <t>923-OP</t>
  </si>
  <si>
    <t>Outside Services Employed</t>
  </si>
  <si>
    <t>924-OP</t>
  </si>
  <si>
    <t>Property Insurance Premium</t>
  </si>
  <si>
    <t>925-OP</t>
  </si>
  <si>
    <t>Injuries &amp; Damages</t>
  </si>
  <si>
    <t>926-OP</t>
  </si>
  <si>
    <t>Employee Pension &amp; Benefits</t>
  </si>
  <si>
    <t>927-OP</t>
  </si>
  <si>
    <t>Franchise Requirements</t>
  </si>
  <si>
    <t>928-OP</t>
  </si>
  <si>
    <t>Regulatory Commission Expenses</t>
  </si>
  <si>
    <t>930-OP</t>
  </si>
  <si>
    <t>Miscellaneous &amp; General Expense</t>
  </si>
  <si>
    <t>931-OP</t>
  </si>
  <si>
    <t>935-MT</t>
  </si>
  <si>
    <t>Maintenance of General Plant</t>
  </si>
  <si>
    <t>Total Administrative &amp; General Expenses</t>
  </si>
  <si>
    <t>Total Operating &amp; Maintenance Expenses</t>
  </si>
  <si>
    <t>Taxes Other Than Income Taxes</t>
  </si>
  <si>
    <t>Excise</t>
  </si>
  <si>
    <t>Total Taxes Other Than Income Taxes</t>
  </si>
  <si>
    <t>Depreciation Expense</t>
  </si>
  <si>
    <t>Distribution Plant Depreciation Expense</t>
  </si>
  <si>
    <t>General Plant Depreciation Expense</t>
  </si>
  <si>
    <t>Total Depreciation Expense</t>
  </si>
  <si>
    <t>Amortization</t>
  </si>
  <si>
    <t>Total Amortization Expense</t>
  </si>
  <si>
    <t>Total Income Tax- Federal</t>
  </si>
  <si>
    <t>Total Deferred Income Tax Expense</t>
  </si>
  <si>
    <t>Total Operating Expenses</t>
  </si>
  <si>
    <t>Operating Revenues</t>
  </si>
  <si>
    <t>Other Operating Revenues</t>
  </si>
  <si>
    <t>Miscellaneous Service Revenues</t>
  </si>
  <si>
    <t>Total Other Operating Revenues</t>
  </si>
  <si>
    <t>Total Operating Revenues</t>
  </si>
  <si>
    <t>Rate Base</t>
  </si>
  <si>
    <t>Plant In Service</t>
  </si>
  <si>
    <t>Intangible Plant</t>
  </si>
  <si>
    <t>Miscellaneous - Computer Software</t>
  </si>
  <si>
    <t>Total Intangible Plant</t>
  </si>
  <si>
    <t>Land &amp; Land Rights</t>
  </si>
  <si>
    <t>Structures &amp; Improvements</t>
  </si>
  <si>
    <t>Distribution Plant</t>
  </si>
  <si>
    <t>Services</t>
  </si>
  <si>
    <t>Total Distribution Plant</t>
  </si>
  <si>
    <t>General Plant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</si>
  <si>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</si>
  <si>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</si>
  <si>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</si>
  <si>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</si>
  <si>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</si>
  <si>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</si>
  <si>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</si>
  <si>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Miscellaneous Equipment</t>
  </si>
  <si>
    <t>Total General Plant</t>
  </si>
  <si>
    <t>Total Plant In Service</t>
  </si>
  <si>
    <t>Accumulated Reserve For Depreciation</t>
  </si>
  <si>
    <t>Distribution Plant Accumulated Depreciation</t>
  </si>
  <si>
    <t>General Plant Accumulated Depreciation</t>
  </si>
  <si>
    <t>Total Accumulated Reserve for Depreciation</t>
  </si>
  <si>
    <t>Total Amortization</t>
  </si>
  <si>
    <t>Total Net Plant</t>
  </si>
  <si>
    <t>Total Rate Base</t>
  </si>
  <si>
    <t>DEMAND</t>
  </si>
  <si>
    <t>D02</t>
  </si>
  <si>
    <t>R01</t>
  </si>
  <si>
    <t>C01</t>
  </si>
  <si>
    <t>Total Other Rate Base Items</t>
  </si>
  <si>
    <t>Production</t>
  </si>
  <si>
    <t>Income Tax Items</t>
  </si>
  <si>
    <t>Distribution</t>
  </si>
  <si>
    <t>Pre-Tax Operating Income</t>
  </si>
  <si>
    <t>Total</t>
  </si>
  <si>
    <t>CUSTOMER</t>
  </si>
  <si>
    <t>REVENUE</t>
  </si>
  <si>
    <t>derived classif.</t>
  </si>
  <si>
    <t>as all other Dist Ops Exp</t>
  </si>
  <si>
    <t>D01</t>
  </si>
  <si>
    <t>D06</t>
  </si>
  <si>
    <t>D07</t>
  </si>
  <si>
    <t>C02</t>
  </si>
  <si>
    <t>C03</t>
  </si>
  <si>
    <t>C04</t>
  </si>
  <si>
    <t>C06</t>
  </si>
  <si>
    <t>Direct Assigned to Handbilled Customers</t>
  </si>
  <si>
    <t>allocation basis</t>
  </si>
  <si>
    <t>Customer Weightings</t>
  </si>
  <si>
    <t>Rate of Return</t>
  </si>
  <si>
    <t>Accum Depreciation</t>
  </si>
  <si>
    <t>Net Plant</t>
  </si>
  <si>
    <t>Accumulated Deferred FIT</t>
  </si>
  <si>
    <t>Miscellaneous Rate Base</t>
  </si>
  <si>
    <t>Revenue From Retail Rates</t>
  </si>
  <si>
    <t>Operating Expenses</t>
  </si>
  <si>
    <t>Income Tax</t>
  </si>
  <si>
    <t>Return Ratio</t>
  </si>
  <si>
    <t>Interest Expense</t>
  </si>
  <si>
    <t>Functional Cost Components at Current Return by Schedule</t>
  </si>
  <si>
    <t xml:space="preserve">Distribution </t>
  </si>
  <si>
    <t>Common</t>
  </si>
  <si>
    <t>Functional Cost Components at Uniform Current Return</t>
  </si>
  <si>
    <t>Functional Cost Components at Proposed Return by Schedule</t>
  </si>
  <si>
    <t>Functional Cost Components at Uniform Requested Return</t>
  </si>
  <si>
    <t>O</t>
  </si>
  <si>
    <t>Func</t>
  </si>
  <si>
    <t>P</t>
  </si>
  <si>
    <t>D</t>
  </si>
  <si>
    <t>R</t>
  </si>
  <si>
    <t>C</t>
  </si>
  <si>
    <t>Demand</t>
  </si>
  <si>
    <t>Customer</t>
  </si>
  <si>
    <t>Revenue</t>
  </si>
  <si>
    <t>General</t>
  </si>
  <si>
    <t>Rev. Related items</t>
  </si>
  <si>
    <t>Return on Rate Base</t>
  </si>
  <si>
    <t>Net Production Cost</t>
  </si>
  <si>
    <t>Distribution Exp</t>
  </si>
  <si>
    <t>Net Distribution Cost</t>
  </si>
  <si>
    <t>Distribution Related Rate Base</t>
  </si>
  <si>
    <t>Common Exp</t>
  </si>
  <si>
    <t>Net Common Cost</t>
  </si>
  <si>
    <t>Common Related Rate Base</t>
  </si>
  <si>
    <t>Total Uniform Current Cost</t>
  </si>
  <si>
    <t>Total Current Rate Revenue</t>
  </si>
  <si>
    <t>Total Proposed Rate Revenue</t>
  </si>
  <si>
    <t>Total Accumulated Depreciation</t>
  </si>
  <si>
    <t>Total Revenues</t>
  </si>
  <si>
    <t>Total O&amp;M Expenses</t>
  </si>
  <si>
    <t>Subtotal Production Cost</t>
  </si>
  <si>
    <t>Subtotal Distribution Cost</t>
  </si>
  <si>
    <t>Subtotal Common Cost</t>
  </si>
  <si>
    <t>Non-Revenue related Distrib cost</t>
  </si>
  <si>
    <t>Uncollectibles</t>
  </si>
  <si>
    <t>Commission Fees</t>
  </si>
  <si>
    <t>Washington ExciseTax</t>
  </si>
  <si>
    <t>Proposed Return</t>
  </si>
  <si>
    <t>Proposed Rate Revenue Increase</t>
  </si>
  <si>
    <t>Proposed Misc Revenue Increase</t>
  </si>
  <si>
    <t>Cost Classifications at Current Return by Schedule</t>
  </si>
  <si>
    <t>Cost Classifications at Uniform Current Return</t>
  </si>
  <si>
    <t>Cost Classifications at Proposed Return by Schedule</t>
  </si>
  <si>
    <t>Cost Classifications at Uniform Requested Return</t>
  </si>
  <si>
    <t>Subtotal Demand Cost</t>
  </si>
  <si>
    <t>Demand Related Rate Base</t>
  </si>
  <si>
    <t>Subtotal Customer Cost</t>
  </si>
  <si>
    <t>Customer Related Rate Base</t>
  </si>
  <si>
    <t>Net Energy Cost</t>
  </si>
  <si>
    <t>Net Demand Cost</t>
  </si>
  <si>
    <t>Net Customer Cost</t>
  </si>
  <si>
    <t>Total Cost</t>
  </si>
  <si>
    <t>Adj. Revenue Conversion Items</t>
  </si>
  <si>
    <t>Adj. Revenue Conversion Ratio</t>
  </si>
  <si>
    <t>Adj. Income Tax Items</t>
  </si>
  <si>
    <t>Adj. Return</t>
  </si>
  <si>
    <t>Adj. Income Tax Ratio</t>
  </si>
  <si>
    <t>Adj. Rate Rev. excl Conversion Items</t>
  </si>
  <si>
    <t>Non-Revenue related Energy cost</t>
  </si>
  <si>
    <t>Non-Revenue related Demand cost</t>
  </si>
  <si>
    <t>Non-Revenue related cost</t>
  </si>
  <si>
    <t>Net Cost</t>
  </si>
  <si>
    <t>Non-Revenue related Cust cost</t>
  </si>
  <si>
    <t>Amortization of Misc Intangible Plant</t>
  </si>
  <si>
    <t>Interest Expenses</t>
  </si>
  <si>
    <t>Admin &amp; General Expenses</t>
  </si>
  <si>
    <t>Distribution Plant Depreciation</t>
  </si>
  <si>
    <t>General Plant Depreciation</t>
  </si>
  <si>
    <t>Amortization Expense</t>
  </si>
  <si>
    <t>Current Revenue Requirements</t>
  </si>
  <si>
    <t>classif. basis (line)</t>
  </si>
  <si>
    <t>Total Income Taxes</t>
  </si>
  <si>
    <t>Acct</t>
  </si>
  <si>
    <t>Total Transmission Plant Accum Depr</t>
  </si>
  <si>
    <t>Total General Plant Accum Depreciation</t>
  </si>
  <si>
    <t>Total Distribution Plant Accum Depr</t>
  </si>
  <si>
    <t>Total Transmission Plant Depr Expense</t>
  </si>
  <si>
    <t>Total Distribution Plant Depr Expense</t>
  </si>
  <si>
    <t>Total General Plant Depr Expense</t>
  </si>
  <si>
    <t>Operating Exp before Income Tax items</t>
  </si>
  <si>
    <t>Total Depr &amp; Amort Expense</t>
  </si>
  <si>
    <t>Accum Amort of Intangible Plant-Software</t>
  </si>
  <si>
    <t>Total Accum Reserve for Depr &amp; Amort</t>
  </si>
  <si>
    <t>source</t>
  </si>
  <si>
    <t>input</t>
  </si>
  <si>
    <t>Allocation Factor</t>
  </si>
  <si>
    <t>Abbrev</t>
  </si>
  <si>
    <t>Allocated Dollars - Rate Base</t>
  </si>
  <si>
    <t>Pre-Tax Op Inc (R03)</t>
  </si>
  <si>
    <t>Allocated Dollars - Pre-tax Operating Expenses</t>
  </si>
  <si>
    <t>Underground Storage Plant</t>
  </si>
  <si>
    <t>Wells</t>
  </si>
  <si>
    <t>Lines</t>
  </si>
  <si>
    <t>Compressor Station Equipment</t>
  </si>
  <si>
    <t>Measuring &amp; Regulating Equipment</t>
  </si>
  <si>
    <t>Purification Equipment</t>
  </si>
  <si>
    <t>Other Equipment</t>
  </si>
  <si>
    <t>Total Underground Storage Plant</t>
  </si>
  <si>
    <t>Mains</t>
  </si>
  <si>
    <t>Meas &amp; Reg Station Equip-General</t>
  </si>
  <si>
    <t>Meas &amp; Reg Station Equip-City Gate</t>
  </si>
  <si>
    <t>Meter Installations</t>
  </si>
  <si>
    <t>House Regulators</t>
  </si>
  <si>
    <t>House Regulator Installations</t>
  </si>
  <si>
    <t>Industrial Meas &amp; Reg Station Equip</t>
  </si>
  <si>
    <t>Underground Storage Plant Accumulated Depreciation</t>
  </si>
  <si>
    <t>Land &amp; Land Rights Accum. Depr.</t>
  </si>
  <si>
    <t>Structures &amp; Improvements Accum. Depr.</t>
  </si>
  <si>
    <t>Wells Accum. Depr.</t>
  </si>
  <si>
    <t>Lines Accum. Depr.</t>
  </si>
  <si>
    <t>Compressor Station Equip. Accum. Depr.</t>
  </si>
  <si>
    <t>Measuring &amp; Regulating Equip. Accum. Depr.</t>
  </si>
  <si>
    <t>Purification Equipment Accum. Depr.</t>
  </si>
  <si>
    <t>Other Equipment Accum. Depr.</t>
  </si>
  <si>
    <t>Mains Accum. Depr.</t>
  </si>
  <si>
    <t>Meas &amp; Reg Station Equip-Gen. Accum. Depr.</t>
  </si>
  <si>
    <t>Meas &amp; Reg Station Equip-City Gate Accum. Depr.</t>
  </si>
  <si>
    <t>Services Accum. Depr.</t>
  </si>
  <si>
    <t>Meters Accum. Depr.</t>
  </si>
  <si>
    <t>Meter Installations Accum. Depr.</t>
  </si>
  <si>
    <t>House Regulators Accum. Depr.</t>
  </si>
  <si>
    <t>House Regulator Installations Accum. Depr.</t>
  </si>
  <si>
    <t>Industrial Meas &amp; Reg Station Equip Accum. Depr.</t>
  </si>
  <si>
    <t>Office Furniture &amp; Equipment Accum. Depr.</t>
  </si>
  <si>
    <t>Transportation Equipment Accum. Depr.</t>
  </si>
  <si>
    <t>Stores Equipment Accum. Depr.</t>
  </si>
  <si>
    <t>Tools, Shop &amp; Garage Equip. Accum. Depr.</t>
  </si>
  <si>
    <t>Laboratory Equipment Accum. Depr.</t>
  </si>
  <si>
    <t>Power Operated Equipment Accum. Depr.</t>
  </si>
  <si>
    <t>Communication Equipment Accum. Depr.</t>
  </si>
  <si>
    <t>Miscellaneous Equipment Accum. Depr.</t>
  </si>
  <si>
    <t>Intangible Gas Plant</t>
  </si>
  <si>
    <t>Intangible Distribution Plant</t>
  </si>
  <si>
    <t>Miscellaneous Rate Base Items</t>
  </si>
  <si>
    <t>Gas Inventory</t>
  </si>
  <si>
    <t>Open</t>
  </si>
  <si>
    <t>Purchased Gas Expenses</t>
  </si>
  <si>
    <t>Gas Research Contributions</t>
  </si>
  <si>
    <t>Proforma Purchased Gas Expense</t>
  </si>
  <si>
    <t>Other Gas Expenses</t>
  </si>
  <si>
    <t>Total Purchased Gas Expenses</t>
  </si>
  <si>
    <t>Underground Storage Expenses</t>
  </si>
  <si>
    <t>Total Underground Storage Operation</t>
  </si>
  <si>
    <t>Maps &amp; Records</t>
  </si>
  <si>
    <t>Wells Expenses</t>
  </si>
  <si>
    <t>Lines Expenses</t>
  </si>
  <si>
    <t>Compressor Station Expenses</t>
  </si>
  <si>
    <t>Compressor Station Fuel &amp; Power</t>
  </si>
  <si>
    <t>Measuring &amp; Regulator Station</t>
  </si>
  <si>
    <t>Purification Expenses</t>
  </si>
  <si>
    <t>Other Expenses</t>
  </si>
  <si>
    <t>Storage Well Royalties &amp; Rents</t>
  </si>
  <si>
    <t>814-OP</t>
  </si>
  <si>
    <t>815-OP</t>
  </si>
  <si>
    <t>816-OP</t>
  </si>
  <si>
    <t>817-OP</t>
  </si>
  <si>
    <t>818-OP</t>
  </si>
  <si>
    <t>819-OP</t>
  </si>
  <si>
    <t>820-OP</t>
  </si>
  <si>
    <t>821-OP</t>
  </si>
  <si>
    <t>824-OP</t>
  </si>
  <si>
    <t>825-OP</t>
  </si>
  <si>
    <t>826-OP</t>
  </si>
  <si>
    <t>830-MT</t>
  </si>
  <si>
    <t>831-MT</t>
  </si>
  <si>
    <t>832-MT</t>
  </si>
  <si>
    <t>833-MT</t>
  </si>
  <si>
    <t>834-MT</t>
  </si>
  <si>
    <t>835-MT</t>
  </si>
  <si>
    <t>836-MT</t>
  </si>
  <si>
    <t>837-MT</t>
  </si>
  <si>
    <t>Measuring and Regulator Station Expenses</t>
  </si>
  <si>
    <t>Total Underground Storage Maintenance</t>
  </si>
  <si>
    <t>Total Underground Storage Expenses</t>
  </si>
  <si>
    <t>870-OP</t>
  </si>
  <si>
    <t>871-OP</t>
  </si>
  <si>
    <t>874-OP</t>
  </si>
  <si>
    <t>875-OP</t>
  </si>
  <si>
    <t>876-OP</t>
  </si>
  <si>
    <t>877-OP</t>
  </si>
  <si>
    <t>878-OP</t>
  </si>
  <si>
    <t>879-OP</t>
  </si>
  <si>
    <t>880-OP</t>
  </si>
  <si>
    <t>881-OP</t>
  </si>
  <si>
    <t>Distribution Load Dispatching</t>
  </si>
  <si>
    <t>Mains &amp; Services Expense</t>
  </si>
  <si>
    <t>Measuring &amp; Regulating Stations-General</t>
  </si>
  <si>
    <t>Measuring &amp; Regulating Stations-Industrial</t>
  </si>
  <si>
    <t>Measuring &amp; Regulating Stations-City Gate</t>
  </si>
  <si>
    <t>Meters &amp; House Regulators Expenses</t>
  </si>
  <si>
    <t>Customer Installations</t>
  </si>
  <si>
    <t>Other Distribution Expense</t>
  </si>
  <si>
    <t>Meters &amp; House Regulators</t>
  </si>
  <si>
    <t>885-MT</t>
  </si>
  <si>
    <t>886-MT</t>
  </si>
  <si>
    <t>887-MT</t>
  </si>
  <si>
    <t>889-MT</t>
  </si>
  <si>
    <t>890-MT</t>
  </si>
  <si>
    <t>891-MT</t>
  </si>
  <si>
    <t>892-MT</t>
  </si>
  <si>
    <t>893-MT</t>
  </si>
  <si>
    <t>894-MT</t>
  </si>
  <si>
    <t>Customer Records &amp; Collection</t>
  </si>
  <si>
    <t>Misc Customer Service &amp; Info Expense</t>
  </si>
  <si>
    <t>Revenues From Retail Rates</t>
  </si>
  <si>
    <t>Admin &amp; Gen Exp Alloc</t>
  </si>
  <si>
    <t>Throughput</t>
  </si>
  <si>
    <t>Plant in Service</t>
  </si>
  <si>
    <t>All Customers</t>
  </si>
  <si>
    <t>Labor Expense</t>
  </si>
  <si>
    <t>Underground Storage</t>
  </si>
  <si>
    <t>Underground Storage Plant Depreciation Expense</t>
  </si>
  <si>
    <t>Land &amp; Land Rights Depr. Exp.</t>
  </si>
  <si>
    <t>Structures &amp; Improvements Depr. Exp.</t>
  </si>
  <si>
    <t>Wells Depr. Exp.</t>
  </si>
  <si>
    <t>Lines Depr. Exp.</t>
  </si>
  <si>
    <t>Compressor Station Equip. Depr. Exp.</t>
  </si>
  <si>
    <t>Measuring &amp; Regulating Equip. Depr. Exp.</t>
  </si>
  <si>
    <t>Purification Equipment Depr. Exp.</t>
  </si>
  <si>
    <t>Other Equipment Depr. Exp.</t>
  </si>
  <si>
    <t>Mains Depr. Exp.</t>
  </si>
  <si>
    <t>Meas &amp; Reg Station Equip-Gen Depr. Exp.</t>
  </si>
  <si>
    <t>Meas &amp; Reg Station Equip-City Gate Depr. Exp.</t>
  </si>
  <si>
    <t>Services Depr. Exp.</t>
  </si>
  <si>
    <t>Meters Depr. Exp.</t>
  </si>
  <si>
    <t>Meter Installations Depr. Exp.</t>
  </si>
  <si>
    <t>House Regulators Depr. Exp.</t>
  </si>
  <si>
    <t>House Regulator Installations Depr. Exp.</t>
  </si>
  <si>
    <t>Industrial Meas &amp; Reg Station Equip. Depr. Exp.</t>
  </si>
  <si>
    <t>Office Furniture &amp; Equipment Depr. Exp.</t>
  </si>
  <si>
    <t>Transportation Equipment Depr. Exp.</t>
  </si>
  <si>
    <t>Stores Equipment Depr. Exp.</t>
  </si>
  <si>
    <t>Tools, Shop &amp; Garage Equipment Depr. Exp.</t>
  </si>
  <si>
    <t>Laboratory Equipment Depr. Exp.</t>
  </si>
  <si>
    <t>Power Operated Equipment Depr. Exp.</t>
  </si>
  <si>
    <t>Communication Equipment Depr. Exp.</t>
  </si>
  <si>
    <t>Miscellaneous Equipment Depr. Exp.</t>
  </si>
  <si>
    <t>Misc Property Gain/Loss Amortization Exp.</t>
  </si>
  <si>
    <t>Intangible Distribution Plant Amortization Exp.</t>
  </si>
  <si>
    <t>Intangible Plant - Software Amortization Exp.</t>
  </si>
  <si>
    <t>Investment Tax Credit Adjustment (Net)</t>
  </si>
  <si>
    <t>48X</t>
  </si>
  <si>
    <t>Total Revenue From Retail Rates</t>
  </si>
  <si>
    <t>Off System Sales</t>
  </si>
  <si>
    <t>Rent From Gas Property</t>
  </si>
  <si>
    <t>Other Gas Revenue - JP Releases</t>
  </si>
  <si>
    <t>Other Gas Rev - Misc &amp; Spec Cont Rev</t>
  </si>
  <si>
    <t>483/484</t>
  </si>
  <si>
    <t>U</t>
  </si>
  <si>
    <t>Accumulated Deferred Income Taxes</t>
  </si>
  <si>
    <t>E01</t>
  </si>
  <si>
    <t>Sch 101</t>
  </si>
  <si>
    <t>Sch 111</t>
  </si>
  <si>
    <t>Sch 121</t>
  </si>
  <si>
    <t>Sch 131</t>
  </si>
  <si>
    <t>Sch 146</t>
  </si>
  <si>
    <t>UG/D Plant</t>
  </si>
  <si>
    <t>UG/D Plant (S03)</t>
  </si>
  <si>
    <t>E04</t>
  </si>
  <si>
    <t>Sales</t>
  </si>
  <si>
    <t>E06</t>
  </si>
  <si>
    <t>Therms - Small Mains</t>
  </si>
  <si>
    <t>Coincident Peak - Small Mains</t>
  </si>
  <si>
    <t>Coincident Peak - All</t>
  </si>
  <si>
    <t>DA 131</t>
  </si>
  <si>
    <t>DA 146</t>
  </si>
  <si>
    <t>Service Cost</t>
  </si>
  <si>
    <t>Meter Cost</t>
  </si>
  <si>
    <t>Regulator Cost</t>
  </si>
  <si>
    <t>Installations Cost</t>
  </si>
  <si>
    <t>Ind Meas &amp; Reg Cost</t>
  </si>
  <si>
    <t>Plant in Service (S17)</t>
  </si>
  <si>
    <t>UG Storage Plant (S14)</t>
  </si>
  <si>
    <t>Distrib Plant (S15)</t>
  </si>
  <si>
    <t>as Distrib Plant (40)</t>
  </si>
  <si>
    <t>Net Plant (S18)</t>
  </si>
  <si>
    <t>C10</t>
  </si>
  <si>
    <t>DA 101</t>
  </si>
  <si>
    <t>E07</t>
  </si>
  <si>
    <t xml:space="preserve"> Purchased Gas - Commodity</t>
  </si>
  <si>
    <t>Purchased Gas - Demand</t>
  </si>
  <si>
    <t>D05</t>
  </si>
  <si>
    <t>Purchased Gas - Commodity</t>
  </si>
  <si>
    <t>E08</t>
  </si>
  <si>
    <t>GTI Expense</t>
  </si>
  <si>
    <t>oth Dist Plt (S05); (S08)</t>
  </si>
  <si>
    <t>oth Dist Plt (S05); (S09)</t>
  </si>
  <si>
    <t>oth Dist Plt (S05); (S19)</t>
  </si>
  <si>
    <t>oth Dist Plt (S05); (S07)</t>
  </si>
  <si>
    <t>all oth Dist Exp (S04)</t>
  </si>
  <si>
    <t>(S04)</t>
  </si>
  <si>
    <t>oth Dist Plt (S05); (S06); (S21)</t>
  </si>
  <si>
    <t>oth Dist Plt (S05); (S06); (S20)</t>
  </si>
  <si>
    <t>Subtotal Expenses, excl PG/Uncollect</t>
  </si>
  <si>
    <t>Exp b4 A&amp;G x Gas/Uncoll(S02)</t>
  </si>
  <si>
    <t>100% C01</t>
  </si>
  <si>
    <t>input - DA 101</t>
  </si>
  <si>
    <t>Input - 100% GTI</t>
  </si>
  <si>
    <t>Input - 100% Throughput</t>
  </si>
  <si>
    <t>Input - 100% Install cost</t>
  </si>
  <si>
    <t>Input - 100% Svcs cost</t>
  </si>
  <si>
    <t>Input - 100% Mtrs cost</t>
  </si>
  <si>
    <t>Input - 100% Reg. cost</t>
  </si>
  <si>
    <t>Input - 100% Ind Meas cost</t>
  </si>
  <si>
    <t>Input - 100% Cust</t>
  </si>
  <si>
    <t>Input - 100% Rev</t>
  </si>
  <si>
    <t>Input - 100% Sales</t>
  </si>
  <si>
    <t>Total Rate Base (S01)</t>
  </si>
  <si>
    <t>Purchased Gas Costs</t>
  </si>
  <si>
    <t>Underground Storage Plant Depreciation</t>
  </si>
  <si>
    <t>SUMMARY BY FUNCTION WITH MARGIN ANALYSIS</t>
  </si>
  <si>
    <t>Exclude Cost of Gas w / Revenue Exp.</t>
  </si>
  <si>
    <t>Total Margin Revenue at Current Rates</t>
  </si>
  <si>
    <t>Underground Storage Related Rate Base</t>
  </si>
  <si>
    <t>UG Storage Exp</t>
  </si>
  <si>
    <t>Subtotal UG Storage Cost</t>
  </si>
  <si>
    <t>Net UG Storage Cost</t>
  </si>
  <si>
    <t>COMMODITY</t>
  </si>
  <si>
    <t>Commodity</t>
  </si>
  <si>
    <t>M</t>
  </si>
  <si>
    <t>DSM</t>
  </si>
  <si>
    <t>A</t>
  </si>
  <si>
    <t>Allocated</t>
  </si>
  <si>
    <t>Allocated Rate Base - ADFIT</t>
  </si>
  <si>
    <t>Total Allocated Rate Base</t>
  </si>
  <si>
    <t>Purchased Gas Cost - Commodity</t>
  </si>
  <si>
    <t>Purchased Gas Cost - Capacity</t>
  </si>
  <si>
    <t>Other Production Costs</t>
  </si>
  <si>
    <t>Rate Base by Function</t>
  </si>
  <si>
    <t>Allocated Net Expense</t>
  </si>
  <si>
    <t>Total Allocated Net Expense</t>
  </si>
  <si>
    <t>UG Storage Rev</t>
  </si>
  <si>
    <t>Margin per Therm at Current Rates</t>
  </si>
  <si>
    <t>Total Curr. Margin Melded Rate per Therm</t>
  </si>
  <si>
    <t>DSM Exp</t>
  </si>
  <si>
    <t>Cust Svc, Cust Info, Sales Exp</t>
  </si>
  <si>
    <t>Distribution Rev</t>
  </si>
  <si>
    <t>Common Rev</t>
  </si>
  <si>
    <t>Total Uniform Current Margin</t>
  </si>
  <si>
    <t>Non-Revenue related UG Storage cost</t>
  </si>
  <si>
    <t>Margin per Therm at Uniform Current Return</t>
  </si>
  <si>
    <t>Margin per Therm at Proposed Rates</t>
  </si>
  <si>
    <t>Margin per Therm at Uniform Proposed Return</t>
  </si>
  <si>
    <t>Total Margin Revenue at Proposed Rates</t>
  </si>
  <si>
    <t>Total Uniform Proposed Cost</t>
  </si>
  <si>
    <t>Total Uniform Proposed Margin</t>
  </si>
  <si>
    <t>Adj. Income Tax Items - Uniform</t>
  </si>
  <si>
    <t>Functional Cost Components at Current Rates</t>
  </si>
  <si>
    <t>Total Curr. Uniform Margin @ Melded Rate</t>
  </si>
  <si>
    <t>Margin to Cost Ratio at Current Rates</t>
  </si>
  <si>
    <t>Functional Cost Components at Proposed Rates</t>
  </si>
  <si>
    <t>Total Proposed Margin @ Melded Rates</t>
  </si>
  <si>
    <t>Functional Cost Components at Uniform Proposed Return</t>
  </si>
  <si>
    <t>Total Prop. Uniform Margin @ Melded Rates</t>
  </si>
  <si>
    <t>Margin to Cost Ratio at Proposed Rates</t>
  </si>
  <si>
    <t>SUMMARY BY CLASSIFICATION WITH UNIT COST ANALYSIS</t>
  </si>
  <si>
    <t xml:space="preserve">Cost by Classification at Curr. Return by Schedule </t>
  </si>
  <si>
    <t>Revenue per Therm at Current Rates</t>
  </si>
  <si>
    <t>Total Revenue per Therm at Current Rates</t>
  </si>
  <si>
    <t>Cost per Unit at Current Rates</t>
  </si>
  <si>
    <t xml:space="preserve">Cost by Classification at Uniform Current Return </t>
  </si>
  <si>
    <t>Cost per Therm at Current Return</t>
  </si>
  <si>
    <t xml:space="preserve">Commodity </t>
  </si>
  <si>
    <t xml:space="preserve">Demand </t>
  </si>
  <si>
    <t>Total Cost per Therm at Current Return</t>
  </si>
  <si>
    <t>Cost per Unit at Uniform Current Return</t>
  </si>
  <si>
    <t xml:space="preserve">Cost by Classification at Proposed Return by Schedule </t>
  </si>
  <si>
    <t>Revenue per Therm at Proposed Rates</t>
  </si>
  <si>
    <t>Total Revenue per Therm at Prop. Rates</t>
  </si>
  <si>
    <t>Cost per Unit at Proposed Rates</t>
  </si>
  <si>
    <t xml:space="preserve">Cost by Classification at Uniform Proposed Return </t>
  </si>
  <si>
    <t>Cost per Therm at Proposed Return</t>
  </si>
  <si>
    <t>Total Cost per Therm at Proposed Return</t>
  </si>
  <si>
    <t>Cost per Unit at Uniform Proposed Return</t>
  </si>
  <si>
    <t>Throughput Therms</t>
  </si>
  <si>
    <t>Number of Customers (Annualized)</t>
  </si>
  <si>
    <t>Peak Therms</t>
  </si>
  <si>
    <t>No. of Cust. Bills--Annual</t>
  </si>
  <si>
    <t>Commodity Related Rate Base</t>
  </si>
  <si>
    <t>Subtotal Commodity Cost</t>
  </si>
  <si>
    <t>Net Commodity Cost</t>
  </si>
  <si>
    <t>Commodity Exp</t>
  </si>
  <si>
    <t>Demand Exp</t>
  </si>
  <si>
    <t>Customer Exp</t>
  </si>
  <si>
    <t>Customer Rev</t>
  </si>
  <si>
    <t>Demand Rev</t>
  </si>
  <si>
    <t>Commodity Rev</t>
  </si>
  <si>
    <t>Expense</t>
  </si>
  <si>
    <t>Subtotal Net Expense</t>
  </si>
  <si>
    <t>Non-Revenue related Commodity cost</t>
  </si>
  <si>
    <t>Direct Assigned to Residential</t>
  </si>
  <si>
    <t>range name:  AllocFactors_E</t>
  </si>
  <si>
    <t>range name:  AllocFactors_D</t>
  </si>
  <si>
    <t>range name:  AllocFactors_C</t>
  </si>
  <si>
    <t>Input from Proforma Revenue Study</t>
  </si>
  <si>
    <t>Input GTI Contributions</t>
  </si>
  <si>
    <t>Input from Peak Study</t>
  </si>
  <si>
    <t>Direct Assignment Schedule 146</t>
  </si>
  <si>
    <t>Unweighted Customers</t>
  </si>
  <si>
    <t>Wtd Avg Service Cost</t>
  </si>
  <si>
    <t>Weighted Average Meter Cost</t>
  </si>
  <si>
    <t>all 3 ranges + R01, range name:  AllocFactors</t>
  </si>
  <si>
    <t>Input - Peak &amp; Avg Calc</t>
  </si>
  <si>
    <t>Input - Settlement</t>
  </si>
  <si>
    <t>Input - Peak &amp; Avg w/131&amp;146</t>
  </si>
  <si>
    <t>present conversion items, new spread</t>
  </si>
  <si>
    <t>incremental conversion items, new spread</t>
  </si>
  <si>
    <t>less: FIT--present</t>
  </si>
  <si>
    <t>less: FIT--incremental</t>
  </si>
  <si>
    <t>less: DFIT, SIT, ITC--present</t>
  </si>
  <si>
    <t>Present Return b4 conversion items</t>
  </si>
  <si>
    <t>Total Revenue Increase</t>
  </si>
  <si>
    <t>Proposed Rate Revenue</t>
  </si>
  <si>
    <t>Revenue Related Op Exp., current</t>
  </si>
  <si>
    <t>Rate Rev. excl Rev. Conversion Items, current</t>
  </si>
  <si>
    <t>Revenue Conversion Item Ratio, current</t>
  </si>
  <si>
    <t>Proposed Return b4 Tax, new spread</t>
  </si>
  <si>
    <t>allocated Misc Rev increase</t>
  </si>
  <si>
    <t>allocation basis - Dist Plant</t>
  </si>
  <si>
    <t>Peak-Average Energy</t>
  </si>
  <si>
    <t>Peak-Average Demand</t>
  </si>
  <si>
    <t>Input - purch vs. sched analysis</t>
  </si>
  <si>
    <t>Input - from PF Gas Costs</t>
  </si>
  <si>
    <t>same as Throughput, less Transport</t>
  </si>
  <si>
    <t>Labor Totals</t>
  </si>
  <si>
    <t>(see below)</t>
  </si>
  <si>
    <t>as all other Dist Ops Labor Exp</t>
  </si>
  <si>
    <t>% Change to get to Uniform Rates</t>
  </si>
  <si>
    <t>Rate Revenues at Uniform Present Rates</t>
  </si>
  <si>
    <t>Rate Change to get to Uniform Present Rates</t>
  </si>
  <si>
    <t>Proposed Rate of Return</t>
  </si>
  <si>
    <t>Proposed Return Ratio</t>
  </si>
  <si>
    <t>Net Operating Income</t>
  </si>
  <si>
    <t>Income Tax / Net Oper Income</t>
  </si>
  <si>
    <t>addback: Interest Expense</t>
  </si>
  <si>
    <t>less: Interest Expense</t>
  </si>
  <si>
    <t>Summary</t>
  </si>
  <si>
    <t>Customer Advances and Deposits</t>
  </si>
  <si>
    <t>as Plant in Service (56)</t>
  </si>
  <si>
    <t>WASHINGTON GAS</t>
  </si>
  <si>
    <t>Total Services</t>
  </si>
  <si>
    <t>Total Meters</t>
  </si>
  <si>
    <t>Meter, Services, Meter Reading &amp; Billing Costs by Schedule at Proposed Rate of Return</t>
  </si>
  <si>
    <t>Revenue Conversion Factor</t>
  </si>
  <si>
    <t xml:space="preserve">   Services Depr Exp</t>
  </si>
  <si>
    <t xml:space="preserve">   Meters Depr Exp</t>
  </si>
  <si>
    <t xml:space="preserve">   Services Exp</t>
  </si>
  <si>
    <t xml:space="preserve">   Meters Exp</t>
  </si>
  <si>
    <t xml:space="preserve">   Meter Reading</t>
  </si>
  <si>
    <t xml:space="preserve">   Revenue Conversion Factor </t>
  </si>
  <si>
    <t xml:space="preserve">   Expense Revenue Requirement</t>
  </si>
  <si>
    <t xml:space="preserve">   Total Customer Costs</t>
  </si>
  <si>
    <t xml:space="preserve">   Total Customers Bills</t>
  </si>
  <si>
    <t xml:space="preserve">   Avg Unit Cost</t>
  </si>
  <si>
    <t xml:space="preserve">   Total Expenses</t>
  </si>
  <si>
    <t>Rate Base Revenue Requirement</t>
  </si>
  <si>
    <t xml:space="preserve">   Billing Exp</t>
  </si>
  <si>
    <t>Input from Meter Cost Study</t>
  </si>
  <si>
    <t>813-010</t>
  </si>
  <si>
    <t>Gas Research Institute Expense</t>
  </si>
  <si>
    <t>Input from Typical Service Cost Study</t>
  </si>
  <si>
    <t>Other</t>
  </si>
  <si>
    <t>Debt Interest</t>
  </si>
  <si>
    <t>Crossfoot Error Test</t>
  </si>
  <si>
    <t xml:space="preserve"> -Interest Expense</t>
  </si>
  <si>
    <t>Non-Additive Input Items</t>
  </si>
  <si>
    <t>Diff</t>
  </si>
  <si>
    <t>from Case Pro Forma Total</t>
  </si>
  <si>
    <t>Net Income</t>
  </si>
  <si>
    <t>From Transportation of Gas</t>
  </si>
  <si>
    <t>489.9X</t>
  </si>
  <si>
    <t>Total Miscellaneous Rate Base Items</t>
  </si>
  <si>
    <t>Working Capital</t>
  </si>
  <si>
    <t>Customer Deposits</t>
  </si>
  <si>
    <t>Customer Advances</t>
  </si>
  <si>
    <t>per Books</t>
  </si>
  <si>
    <t>Balance</t>
  </si>
  <si>
    <t>Miscellaneous Rate Base Items and Revenues</t>
  </si>
  <si>
    <t>Natural Gas Utility</t>
  </si>
  <si>
    <t>Total Accumulated Amortization</t>
  </si>
  <si>
    <t>Miscellaneous-Computer Software</t>
  </si>
  <si>
    <t>303.1X</t>
  </si>
  <si>
    <t>Accumulated Amortization</t>
  </si>
  <si>
    <t>Total General Plant Accumulated Depreciaton</t>
  </si>
  <si>
    <t>Total Distribution Plant Accumulated Depreciation</t>
  </si>
  <si>
    <t>Total Underground Storage Plant Accum. Depr.</t>
  </si>
  <si>
    <t>Underground Storage Plant Accum. Depr.</t>
  </si>
  <si>
    <t>Accumulated Reserve for Depreciation</t>
  </si>
  <si>
    <t>Total Operating Expense</t>
  </si>
  <si>
    <t>Amortization of Deferred Income Taxes</t>
  </si>
  <si>
    <t>Income Tax - Federal</t>
  </si>
  <si>
    <t>Income Tax - State</t>
  </si>
  <si>
    <t>Total Operating Expense Before Income Tax Items</t>
  </si>
  <si>
    <t>Total Depreciation and Amortization Expense</t>
  </si>
  <si>
    <t>Total General Plant Depreciation Expense</t>
  </si>
  <si>
    <t>Total Distribution Plant Depreciation Expense</t>
  </si>
  <si>
    <t>Depreciation Expense &amp; Income Tax</t>
  </si>
  <si>
    <t>Total Underground Storage Plant Depr. Exp.</t>
  </si>
  <si>
    <t xml:space="preserve"> -Distribution</t>
  </si>
  <si>
    <t>Miscellaneous</t>
  </si>
  <si>
    <t>Total Business &amp; Occupation</t>
  </si>
  <si>
    <t xml:space="preserve"> -Open</t>
  </si>
  <si>
    <t>Business &amp; Occupation</t>
  </si>
  <si>
    <t>State Excise</t>
  </si>
  <si>
    <t>Total Property Related</t>
  </si>
  <si>
    <t xml:space="preserve"> -Administrative &amp; General</t>
  </si>
  <si>
    <t xml:space="preserve"> -Underground Storage</t>
  </si>
  <si>
    <t xml:space="preserve"> -Production</t>
  </si>
  <si>
    <t>Property Related</t>
  </si>
  <si>
    <t>Admin. Expenses Transferred - Credit</t>
  </si>
  <si>
    <t>Admin. &amp; General Salaries</t>
  </si>
  <si>
    <t>Admin, &amp; General, Other Taxes &amp; Depreciation Expense</t>
  </si>
  <si>
    <t>Total Customer Information Expense</t>
  </si>
  <si>
    <t>Customer Information Expense</t>
  </si>
  <si>
    <t>Total Distribution Expense</t>
  </si>
  <si>
    <t>Total Distribution Maintenance Expense</t>
  </si>
  <si>
    <t>888-MT</t>
  </si>
  <si>
    <t>Maintenance Expense</t>
  </si>
  <si>
    <t>Total Distribution Operation Expense</t>
  </si>
  <si>
    <t>Compressor Station Labor &amp; Expenses</t>
  </si>
  <si>
    <t>872-OP</t>
  </si>
  <si>
    <t>Operation Expense</t>
  </si>
  <si>
    <t>Operation and Maintenance Expenses</t>
  </si>
  <si>
    <t>813-xxx</t>
  </si>
  <si>
    <t>GTI Expenses</t>
  </si>
  <si>
    <t>Gas Used for Products Extraction</t>
  </si>
  <si>
    <t>811-00</t>
  </si>
  <si>
    <t>Total Purchased Gas Cost</t>
  </si>
  <si>
    <t>804.xx</t>
  </si>
  <si>
    <t>Net Natural Gas Storage Transactions</t>
  </si>
  <si>
    <t>808-xxx</t>
  </si>
  <si>
    <t>Gas Expense - Estimated Deferrals</t>
  </si>
  <si>
    <t>805-990</t>
  </si>
  <si>
    <t>Gas Expense - Estimated Amortizations</t>
  </si>
  <si>
    <t>805-980</t>
  </si>
  <si>
    <t>Gas Expense - Rate Deferrals</t>
  </si>
  <si>
    <t>805-120</t>
  </si>
  <si>
    <t>Gas Exp - Rate Amortizations</t>
  </si>
  <si>
    <t>805-110</t>
  </si>
  <si>
    <t>Gas Costs - Fixed Hedge</t>
  </si>
  <si>
    <t>804-010</t>
  </si>
  <si>
    <t>Off System Bookout Offset</t>
  </si>
  <si>
    <t>804-711</t>
  </si>
  <si>
    <t>Off System Gas Purchases - Bookout</t>
  </si>
  <si>
    <t>804-700</t>
  </si>
  <si>
    <t>Gas Purchases - Financial</t>
  </si>
  <si>
    <t>804-600</t>
  </si>
  <si>
    <t>Gas Transaction Fees</t>
  </si>
  <si>
    <t>804-170</t>
  </si>
  <si>
    <t>Gas Costs - Intracompany LDC Gas</t>
  </si>
  <si>
    <t>804-730</t>
  </si>
  <si>
    <t>Transaction Fees</t>
  </si>
  <si>
    <t>804-017</t>
  </si>
  <si>
    <t>Transport Variable Charges</t>
  </si>
  <si>
    <t>804-002</t>
  </si>
  <si>
    <t>Pipeline Demand Costs</t>
  </si>
  <si>
    <t>804-001</t>
  </si>
  <si>
    <t>Gas Purchases</t>
  </si>
  <si>
    <t>Pro Forma</t>
  </si>
  <si>
    <t>in bold</t>
  </si>
  <si>
    <t>Adjustments</t>
  </si>
  <si>
    <t xml:space="preserve"> </t>
  </si>
  <si>
    <t>G-PEB</t>
  </si>
  <si>
    <t>G-PLE</t>
  </si>
  <si>
    <t>G-PLN</t>
  </si>
  <si>
    <t>G-RI</t>
  </si>
  <si>
    <t>G-MR</t>
  </si>
  <si>
    <t>G-RET</t>
  </si>
  <si>
    <t>G-OSC</t>
  </si>
  <si>
    <t>G-NGL</t>
  </si>
  <si>
    <t>G-FIT</t>
  </si>
  <si>
    <t>G-ID</t>
  </si>
  <si>
    <t>G-RE</t>
  </si>
  <si>
    <t>G-UE</t>
  </si>
  <si>
    <t>G-EBO</t>
  </si>
  <si>
    <t>G-DDC</t>
  </si>
  <si>
    <t>G-DFIT</t>
  </si>
  <si>
    <t>Adj G-ROO</t>
  </si>
  <si>
    <t>Case</t>
  </si>
  <si>
    <t>$000's</t>
  </si>
  <si>
    <t>of All</t>
  </si>
  <si>
    <t>Property Tax</t>
  </si>
  <si>
    <t>Empl. Benefits</t>
  </si>
  <si>
    <t>Exec Labor</t>
  </si>
  <si>
    <t>Non-Exec Labor</t>
  </si>
  <si>
    <t>Excise Tax</t>
  </si>
  <si>
    <t>Charges to Subs</t>
  </si>
  <si>
    <t>Losses</t>
  </si>
  <si>
    <t>Damages</t>
  </si>
  <si>
    <t>B &amp; O Taxes</t>
  </si>
  <si>
    <t>and Credits</t>
  </si>
  <si>
    <t>Report</t>
  </si>
  <si>
    <t>Account</t>
  </si>
  <si>
    <t>check</t>
  </si>
  <si>
    <t>Net Total</t>
  </si>
  <si>
    <t>O&amp;M</t>
  </si>
  <si>
    <t>Restate</t>
  </si>
  <si>
    <t>Misc. Restating</t>
  </si>
  <si>
    <t>Office Space</t>
  </si>
  <si>
    <t>Eliminate</t>
  </si>
  <si>
    <t>Net Gains/</t>
  </si>
  <si>
    <t>FIT/DFIT</t>
  </si>
  <si>
    <t>Injuries &amp;</t>
  </si>
  <si>
    <t>Regulatory</t>
  </si>
  <si>
    <t>Uncollectible</t>
  </si>
  <si>
    <t>Deferred Debits</t>
  </si>
  <si>
    <t>Deferred FIT</t>
  </si>
  <si>
    <t>Per Results</t>
  </si>
  <si>
    <t>Notes</t>
  </si>
  <si>
    <t>Company Base Case</t>
  </si>
  <si>
    <t>Pro Forma Results of Operations</t>
  </si>
  <si>
    <t>Washington</t>
  </si>
  <si>
    <t>Veterans Hospital</t>
  </si>
  <si>
    <t>Valley Hosp &amp; Med Ctr</t>
  </si>
  <si>
    <t>Travis Pattern</t>
  </si>
  <si>
    <t>Spokane Steel</t>
  </si>
  <si>
    <t>Shamrock Paving</t>
  </si>
  <si>
    <t>Quarry Tile</t>
  </si>
  <si>
    <t>Purina Mills</t>
  </si>
  <si>
    <t>Lane Mt. Silica</t>
  </si>
  <si>
    <t>Lamb Weston</t>
  </si>
  <si>
    <t>Lakeland Village</t>
  </si>
  <si>
    <t>Inland NW Dairies</t>
  </si>
  <si>
    <t>Inland Empire Paper</t>
  </si>
  <si>
    <t>Inland Asphalt - Sullivan</t>
  </si>
  <si>
    <t>Huntwood Industries</t>
  </si>
  <si>
    <t>Franz Bakery</t>
  </si>
  <si>
    <t>Creach Greenhouse</t>
  </si>
  <si>
    <t>Boise Cascade</t>
  </si>
  <si>
    <t>BF Goodrich</t>
  </si>
  <si>
    <t>Baker Commodities</t>
  </si>
  <si>
    <t>American Linen</t>
  </si>
  <si>
    <t>Schedule 146</t>
  </si>
  <si>
    <t>Schedule 131/132</t>
  </si>
  <si>
    <t>4" P.E. cost per foot is avg. of trench installation and boring installation cost.</t>
  </si>
  <si>
    <t>3/4" cost per foot assume missile as "standard" installation method</t>
  </si>
  <si>
    <t>Assumptions:</t>
  </si>
  <si>
    <t>Weight</t>
  </si>
  <si>
    <t>Acct 380</t>
  </si>
  <si>
    <t>Service Cost (Fixed+Variable)</t>
  </si>
  <si>
    <t>Fixed Cost of Gas Service Pipe</t>
  </si>
  <si>
    <t>Variable Cost of Gas Service Pipe</t>
  </si>
  <si>
    <t xml:space="preserve">Cost per Foot </t>
  </si>
  <si>
    <t>ft.</t>
  </si>
  <si>
    <t xml:space="preserve">Typical Length of Service </t>
  </si>
  <si>
    <t>6" Steel</t>
  </si>
  <si>
    <t>4" Plastic</t>
  </si>
  <si>
    <t>3/4" Plastic</t>
  </si>
  <si>
    <t>Type and Size of Service Pipe</t>
  </si>
  <si>
    <t>IND/ROT/TBN</t>
  </si>
  <si>
    <t>COM</t>
  </si>
  <si>
    <t>DOM</t>
  </si>
  <si>
    <t>Type of Meter</t>
  </si>
  <si>
    <t>Peak Hr. Therm Requirements</t>
  </si>
  <si>
    <t>Schedule 121</t>
  </si>
  <si>
    <t>Schedule 111</t>
  </si>
  <si>
    <t>Schedule 101</t>
  </si>
  <si>
    <t>Transportation</t>
  </si>
  <si>
    <t>Interruptible</t>
  </si>
  <si>
    <t>Lg Gen Srvc</t>
  </si>
  <si>
    <t>Residential</t>
  </si>
  <si>
    <t>Lg Gen Srvc - High Load Factor</t>
  </si>
  <si>
    <t>Washington Jurisdiction</t>
  </si>
  <si>
    <t>Current Typical Services Cost</t>
  </si>
  <si>
    <t>Natural Gas System</t>
  </si>
  <si>
    <t>AVISTA UTILITIES</t>
  </si>
  <si>
    <t>ROT</t>
  </si>
  <si>
    <t>Community Colleges of Spokane</t>
  </si>
  <si>
    <t>IND</t>
  </si>
  <si>
    <t>Franz Bakery Spokane</t>
  </si>
  <si>
    <t>TBN</t>
  </si>
  <si>
    <t>Central Premix</t>
  </si>
  <si>
    <t>Gonzaga</t>
  </si>
  <si>
    <t>146</t>
  </si>
  <si>
    <t>121/122</t>
  </si>
  <si>
    <t>Sacred Heart Med. Ctr</t>
  </si>
  <si>
    <t>Inland Asphalt- Perry</t>
  </si>
  <si>
    <t>Eastern WA Univ</t>
  </si>
  <si>
    <t>Eastern St Hospital</t>
  </si>
  <si>
    <t>SPOKANE COUNTY COURTHOUSE</t>
  </si>
  <si>
    <t>Deaconness Med Ctr</t>
  </si>
  <si>
    <t>JOHANNA BEVERAGE CO</t>
  </si>
  <si>
    <t>Boise Cascade (Old Stimson)</t>
  </si>
  <si>
    <t>Western State Asphalt Thor</t>
  </si>
  <si>
    <t>Western State Asphalt Euclid</t>
  </si>
  <si>
    <t>Holy Family Hospital</t>
  </si>
  <si>
    <t>Schedule 121/122</t>
  </si>
  <si>
    <t xml:space="preserve">Meter Information from CSS </t>
  </si>
  <si>
    <t xml:space="preserve">Schedule 121, 131and 146 </t>
  </si>
  <si>
    <t>Install Cost</t>
  </si>
  <si>
    <t>Orig Cost</t>
  </si>
  <si>
    <t>Equip Type</t>
  </si>
  <si>
    <t>Sch 131/132</t>
  </si>
  <si>
    <t>Sch 121/122</t>
  </si>
  <si>
    <t>Sch 111/112</t>
  </si>
  <si>
    <t>Schedule Average</t>
  </si>
  <si>
    <t>Weighted Current Cost</t>
  </si>
  <si>
    <t>Number</t>
  </si>
  <si>
    <t>Equipment</t>
  </si>
  <si>
    <t>Schedule</t>
  </si>
  <si>
    <t xml:space="preserve">Washington Jurisdiction Natural Gas Distribution Cost Study </t>
  </si>
  <si>
    <t>Weighted Cost of Installed Meters</t>
  </si>
  <si>
    <t>Results of Operations</t>
  </si>
  <si>
    <t>Natural Gas Cost of Service Study</t>
  </si>
  <si>
    <t xml:space="preserve">     Other Regulatory Expenses</t>
  </si>
  <si>
    <t xml:space="preserve">     Pro Forma Commission Fees</t>
  </si>
  <si>
    <t xml:space="preserve">Revenue Adjustment </t>
  </si>
  <si>
    <t xml:space="preserve">     Pro Forma Account 928 Total</t>
  </si>
  <si>
    <t>Commission Fee Portion of Account 928</t>
  </si>
  <si>
    <t>* Percent of Scheduling labor compared to all Acct. 813 costs.</t>
  </si>
  <si>
    <t>Sales classification % for Acct. 813</t>
  </si>
  <si>
    <t>Throughput classification % for Acct. 813</t>
  </si>
  <si>
    <t>Pro forma Total Acct 813</t>
  </si>
  <si>
    <t>Purchasing</t>
  </si>
  <si>
    <t>Scheduling</t>
  </si>
  <si>
    <t>to Scheduling</t>
  </si>
  <si>
    <t>% assigned *</t>
  </si>
  <si>
    <t>is spent on dispatch which includes transportation customer gas.</t>
  </si>
  <si>
    <t>Per Interview with Gas Scheduling Staff:</t>
  </si>
  <si>
    <t>Account 813 Analysis</t>
  </si>
  <si>
    <t>Schedule 111/112</t>
  </si>
  <si>
    <t>$ by Sch</t>
  </si>
  <si>
    <t>PF Therms</t>
  </si>
  <si>
    <t>GTI Rate</t>
  </si>
  <si>
    <t>Pro forma</t>
  </si>
  <si>
    <t>GTI Voluntary Collections</t>
  </si>
  <si>
    <t>Usage</t>
  </si>
  <si>
    <t>HDD</t>
  </si>
  <si>
    <t>Bill Hist</t>
  </si>
  <si>
    <t>correlation between HDD and Usage</t>
  </si>
  <si>
    <t>r-squared = weather-related</t>
  </si>
  <si>
    <t>Deg Dys</t>
  </si>
  <si>
    <t>Dys Svc</t>
  </si>
  <si>
    <t>Read Date</t>
  </si>
  <si>
    <t>Avg Daily Usage</t>
  </si>
  <si>
    <t xml:space="preserve">Usage </t>
  </si>
  <si>
    <t xml:space="preserve">Date </t>
  </si>
  <si>
    <t>**   Weather Sensitive</t>
  </si>
  <si>
    <t>Community Colleges of Spokane - SFCC --  Avg. Daily Usage</t>
  </si>
  <si>
    <t>Total Non-Firm</t>
  </si>
  <si>
    <t>Total Sch 146</t>
  </si>
  <si>
    <t>Total Sch 132</t>
  </si>
  <si>
    <t>After adjustment:</t>
  </si>
  <si>
    <t>Revised Interrupt + Transport</t>
  </si>
  <si>
    <t>Adjustments to Int/Transp:</t>
  </si>
  <si>
    <t>less: Interrupt + Transport</t>
  </si>
  <si>
    <t>Less: Transportation Customers</t>
  </si>
  <si>
    <t>Less: Interruptible Sales</t>
  </si>
  <si>
    <t>Total Sch 148</t>
  </si>
  <si>
    <t>Veterans Adm Hospital</t>
  </si>
  <si>
    <t>Valley Hosp &amp; Medical Ctr (from 111)</t>
  </si>
  <si>
    <t>Sacred Heart Medical Ctr</t>
  </si>
  <si>
    <t>Lane Mountain</t>
  </si>
  <si>
    <t>Lamb Weston-Firm</t>
  </si>
  <si>
    <t>Inland Asphalt</t>
  </si>
  <si>
    <t>Holy Family</t>
  </si>
  <si>
    <t>Gonzaga (switched from 122 - 2009)</t>
  </si>
  <si>
    <t>Eastern Washington Univ</t>
  </si>
  <si>
    <t>Eastern State Hospital</t>
  </si>
  <si>
    <t>Empire Health (formerly Deaconess)</t>
  </si>
  <si>
    <t xml:space="preserve">Central Pre-Mix </t>
  </si>
  <si>
    <t>Washington Transportation Cust</t>
  </si>
  <si>
    <t>Airway Heights Corr. Center</t>
  </si>
  <si>
    <t>Washington Interruptible Customers</t>
  </si>
  <si>
    <t>WA Firm Req., Adjusted</t>
  </si>
  <si>
    <t>Washington, adjusted</t>
  </si>
  <si>
    <t>plus Adj. to Firm:</t>
  </si>
  <si>
    <t>Washington Firm Requirements</t>
  </si>
  <si>
    <t>WASHINGTON</t>
  </si>
  <si>
    <t>Sch</t>
  </si>
  <si>
    <t>b -  usage based on day's HDD:Total</t>
  </si>
  <si>
    <t>a -  usage based on weather factors</t>
  </si>
  <si>
    <t>Total Transportation</t>
  </si>
  <si>
    <t>Schedule 159</t>
  </si>
  <si>
    <t>Schedule 147</t>
  </si>
  <si>
    <t>Total Sales Peak Therms</t>
  </si>
  <si>
    <t>Total Firm Sales Peak Therms</t>
  </si>
  <si>
    <t>Total Schedule 121/122</t>
  </si>
  <si>
    <t>Total Schedule 111/112</t>
  </si>
  <si>
    <t>Total Schedule 101</t>
  </si>
  <si>
    <t>Adjusted Estimated Peak Therms</t>
  </si>
  <si>
    <t xml:space="preserve"> % of Firm Requirement</t>
  </si>
  <si>
    <t>Firm Requirement</t>
  </si>
  <si>
    <t>Consecutive 5-Day Peak</t>
  </si>
  <si>
    <t>TOTAL FIRM SCHEDULES:</t>
  </si>
  <si>
    <t>x</t>
  </si>
  <si>
    <t>b</t>
  </si>
  <si>
    <t>Residential 121/122</t>
  </si>
  <si>
    <t>a</t>
  </si>
  <si>
    <t>Residential 111/112</t>
  </si>
  <si>
    <t>Residential 101</t>
  </si>
  <si>
    <t>Peak Day</t>
  </si>
  <si>
    <t>Idaho Jurisdiction</t>
  </si>
  <si>
    <t>c -  usage based on avg. daily usage</t>
  </si>
  <si>
    <t>WA Total Peak Throughput</t>
  </si>
  <si>
    <t>Schedule 148</t>
  </si>
  <si>
    <t>c</t>
  </si>
  <si>
    <t>Average Daily Usage</t>
  </si>
  <si>
    <t>Days in Yr</t>
  </si>
  <si>
    <t>Pro forma Test Yr Usage (000's of therms)</t>
  </si>
  <si>
    <t xml:space="preserve">Proforma Test Yr Usage </t>
  </si>
  <si>
    <t>Average</t>
  </si>
  <si>
    <t>Peak</t>
  </si>
  <si>
    <t>Tot %</t>
  </si>
  <si>
    <t>147/159</t>
  </si>
  <si>
    <t>Subtotal</t>
  </si>
  <si>
    <t>less</t>
  </si>
  <si>
    <t>less Special Contract (Sch 147/159)</t>
  </si>
  <si>
    <t>Idaho Total Peak Throughput</t>
  </si>
  <si>
    <t>Schedule 111/112 (incl old 121/122)</t>
  </si>
  <si>
    <t>Jurisdiction</t>
  </si>
  <si>
    <t>average</t>
  </si>
  <si>
    <t>% of</t>
  </si>
  <si>
    <t>3-yr, 5-day</t>
  </si>
  <si>
    <t>less 148</t>
  </si>
  <si>
    <t>Washington Total Peak Throughput</t>
  </si>
  <si>
    <t>Costs</t>
  </si>
  <si>
    <t>Throughput - All Schedules</t>
  </si>
  <si>
    <t>Sales - Excludes 146</t>
  </si>
  <si>
    <t>same as Throughput, less Transport &amp; Interruptible</t>
  </si>
  <si>
    <t>131/132</t>
  </si>
  <si>
    <t>STATE OF WA CORRECTIONS</t>
  </si>
  <si>
    <t>Waste Mgmt of Spokane</t>
  </si>
  <si>
    <t>Spokane County Courthouse</t>
  </si>
  <si>
    <t>Waste Management of Spokane</t>
  </si>
  <si>
    <t>Lamb Weston (ConAgra)</t>
  </si>
  <si>
    <t>less Special Contract (Sch 148)</t>
  </si>
  <si>
    <t>Community Colleges of Spokane (SCC)</t>
  </si>
  <si>
    <t>Community Colleges of Spokane (SFCC)</t>
  </si>
  <si>
    <t>**  Weather Sensitive</t>
  </si>
  <si>
    <t>804/805-000</t>
  </si>
  <si>
    <t xml:space="preserve">Working </t>
  </si>
  <si>
    <t>Capital</t>
  </si>
  <si>
    <t>G-WC</t>
  </si>
  <si>
    <t>Property Taxes</t>
  </si>
  <si>
    <t>G-RPT</t>
  </si>
  <si>
    <t>Sch 132</t>
  </si>
  <si>
    <t>Adjustment 2.04 (G-RE)</t>
  </si>
  <si>
    <t>G-PPT</t>
  </si>
  <si>
    <t>Normalization</t>
  </si>
  <si>
    <t xml:space="preserve">Cross Check </t>
  </si>
  <si>
    <t xml:space="preserve">         </t>
  </si>
  <si>
    <t>376-All</t>
  </si>
  <si>
    <t>Net UG/D Plant</t>
  </si>
  <si>
    <t>Net UG/Dist Plant</t>
  </si>
  <si>
    <t>O&amp;M (less PG/Uncoll/Labor)</t>
  </si>
  <si>
    <t>O&amp;M Labor</t>
  </si>
  <si>
    <t>Customers</t>
  </si>
  <si>
    <t>Corporate Cost Allocator</t>
  </si>
  <si>
    <t>COMMON</t>
  </si>
  <si>
    <t>4-Factor</t>
  </si>
  <si>
    <t>Corporate Cost Allocator (4-Factor)</t>
  </si>
  <si>
    <t>- not used -</t>
  </si>
  <si>
    <t xml:space="preserve">Genl Plant </t>
  </si>
  <si>
    <t>Total Customer Related Costs</t>
  </si>
  <si>
    <t>Customer Related Unit Cost per Month</t>
  </si>
  <si>
    <t>Other Non-Gas Costs</t>
  </si>
  <si>
    <t>Other Non-Gas Unit Cost per Month</t>
  </si>
  <si>
    <t>Total Fixed Unit Cost per Month</t>
  </si>
  <si>
    <t>Fixed Costs Per Customer</t>
  </si>
  <si>
    <t>**  4-Factor consists of multiple functions so is calculated in the detail tab</t>
  </si>
  <si>
    <t>DA 131/132</t>
  </si>
  <si>
    <t>A&amp;G</t>
  </si>
  <si>
    <t>Adder Schedules</t>
  </si>
  <si>
    <t>G-EAS</t>
  </si>
  <si>
    <t>G-PREV</t>
  </si>
  <si>
    <t>Pro Forma Revenue</t>
  </si>
  <si>
    <t>Tax Benefit of Interest Expense</t>
  </si>
  <si>
    <t>Johanna Beverage Company</t>
  </si>
  <si>
    <t>detail from Annette's worksheet:</t>
  </si>
  <si>
    <t>Weather Normalization</t>
  </si>
  <si>
    <t>Gas Cost Adjust</t>
  </si>
  <si>
    <t>G-WNGC</t>
  </si>
  <si>
    <t xml:space="preserve">Pro Forma </t>
  </si>
  <si>
    <t>Weather Norm Adj</t>
  </si>
  <si>
    <t>Adjustment 2.10 (G-WNGC)</t>
  </si>
  <si>
    <t>Eliminate Adder Schedules</t>
  </si>
  <si>
    <t>Adjustment 2.11 (G-EAS)</t>
  </si>
  <si>
    <t>Margin to Cost Ratio at Prop. Rates</t>
  </si>
  <si>
    <t xml:space="preserve">Restating </t>
  </si>
  <si>
    <t>Incentives</t>
  </si>
  <si>
    <t xml:space="preserve">Restate </t>
  </si>
  <si>
    <t>Debt Int</t>
  </si>
  <si>
    <t>G-DI</t>
  </si>
  <si>
    <t xml:space="preserve">Misc Restating </t>
  </si>
  <si>
    <t>Non Exec Labor</t>
  </si>
  <si>
    <t>Adjustment 2.12 (G-MR)</t>
  </si>
  <si>
    <t>Northern Quest Casino</t>
  </si>
  <si>
    <t>Hollister Stier Laboratories</t>
  </si>
  <si>
    <t>Other (LEAP Program - Sch 101 only)</t>
  </si>
  <si>
    <t>DA 132</t>
  </si>
  <si>
    <t>Direct Assignment Schedule 131/132</t>
  </si>
  <si>
    <t>Spokane Industries</t>
  </si>
  <si>
    <t>Western State Asphalt</t>
  </si>
  <si>
    <t>input from Miller "ROR" tab</t>
  </si>
  <si>
    <t xml:space="preserve">Hollister-Stier </t>
  </si>
  <si>
    <t>Natural Gas Line Extension</t>
  </si>
  <si>
    <t>Tax Reform Amortization</t>
  </si>
  <si>
    <t>Excess Natural Gas Line Extension</t>
  </si>
  <si>
    <t>FISERVE Payment Processing</t>
  </si>
  <si>
    <t>Misc Amortization</t>
  </si>
  <si>
    <t>407.XXX</t>
  </si>
  <si>
    <t>Remove</t>
  </si>
  <si>
    <t xml:space="preserve">Other Gas Rev </t>
  </si>
  <si>
    <t>496.xx</t>
  </si>
  <si>
    <t>Other Gas Rev - Misc</t>
  </si>
  <si>
    <t>DA Sch 101</t>
  </si>
  <si>
    <t>Adjustment 3.01 (G-PREV)</t>
  </si>
  <si>
    <t>PF Labor, Non-Exec 3.03 (G-PLN)</t>
  </si>
  <si>
    <t>PF Empl. Benefits 3.05 (G-PEB)</t>
  </si>
  <si>
    <t>PF Labor, Exec 3.04 (G-PLE)</t>
  </si>
  <si>
    <t>LEAP/Fee Free</t>
  </si>
  <si>
    <t>Avg. Residential Service Length from Annual Report - Gas Engineering</t>
  </si>
  <si>
    <t>Approximately 75% of their time (booked to Account 813)</t>
  </si>
  <si>
    <t>2019 Total Cost</t>
  </si>
  <si>
    <t>Total Washington CBR/ROO</t>
  </si>
  <si>
    <t>Total adjustments</t>
  </si>
  <si>
    <t>Line No.</t>
  </si>
  <si>
    <t>Residential sales</t>
  </si>
  <si>
    <t>Commercial and industrial sales</t>
  </si>
  <si>
    <t>Total distribution expenses</t>
  </si>
  <si>
    <t>Total customer account expenses</t>
  </si>
  <si>
    <t>Intangible plant</t>
  </si>
  <si>
    <t>Total amortization expenses</t>
  </si>
  <si>
    <t xml:space="preserve">Taxes other than income </t>
  </si>
  <si>
    <t>Income taxes - federal taxes utility operating income</t>
  </si>
  <si>
    <t>Income taxes - other taxes utility operating income</t>
  </si>
  <si>
    <t>Provision for deferred income taxes</t>
  </si>
  <si>
    <t>Investment tax credit adjustment</t>
  </si>
  <si>
    <t>Total taxes</t>
  </si>
  <si>
    <t>Total natural gas plant in service</t>
  </si>
  <si>
    <t>Revenue Requirement</t>
  </si>
  <si>
    <t>FERC Acct #</t>
  </si>
  <si>
    <t>Total natural gas operating revenues</t>
  </si>
  <si>
    <t>Total sales of gas</t>
  </si>
  <si>
    <t>Total other operating revenues</t>
  </si>
  <si>
    <t>Total other gas supply expenses</t>
  </si>
  <si>
    <t>Total underground storage expenses - operation</t>
  </si>
  <si>
    <t>Total underground storage expenses - maintenance</t>
  </si>
  <si>
    <t>Total distribution expenses - operation</t>
  </si>
  <si>
    <t>Total distribution expenses - maintenance</t>
  </si>
  <si>
    <t>Customer account expenses</t>
  </si>
  <si>
    <t>403, 403.1</t>
  </si>
  <si>
    <t>Taxes</t>
  </si>
  <si>
    <t>410.1 - 411.1</t>
  </si>
  <si>
    <t xml:space="preserve">Total Intangible plant </t>
  </si>
  <si>
    <t>Underground storage plant</t>
  </si>
  <si>
    <t>Structures and improvements</t>
  </si>
  <si>
    <t>Other equipment</t>
  </si>
  <si>
    <t>Total underground storage plant</t>
  </si>
  <si>
    <t>Land and land rights</t>
  </si>
  <si>
    <t>Communication equipment</t>
  </si>
  <si>
    <t>Distribution plant</t>
  </si>
  <si>
    <t>Measuring and regulating station equipment - general</t>
  </si>
  <si>
    <t>Measuring and regulating station equipment - city gate check stations</t>
  </si>
  <si>
    <t>Meter installations</t>
  </si>
  <si>
    <t>House regulators</t>
  </si>
  <si>
    <t>House regulatory installations</t>
  </si>
  <si>
    <t>Industrial measuring and regulating station equipment</t>
  </si>
  <si>
    <t xml:space="preserve">Total distribution plant </t>
  </si>
  <si>
    <t>General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</si>
  <si>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</si>
  <si>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</si>
  <si>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</si>
  <si>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</si>
  <si>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</si>
  <si>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</si>
  <si>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Miscellaneous equipment</t>
  </si>
  <si>
    <t xml:space="preserve">Total general plant </t>
  </si>
  <si>
    <t>Acronym</t>
  </si>
  <si>
    <t>TOTAL</t>
  </si>
  <si>
    <t>B</t>
  </si>
  <si>
    <t>Natural gas operating revenues</t>
  </si>
  <si>
    <t>Adjustment Number</t>
  </si>
  <si>
    <t xml:space="preserve">Pro Forma Def. </t>
  </si>
  <si>
    <t>Debits &amp; Credits</t>
  </si>
  <si>
    <t>G-PRA</t>
  </si>
  <si>
    <t>G-PINS</t>
  </si>
  <si>
    <t>IS/IT</t>
  </si>
  <si>
    <t>G-PIT</t>
  </si>
  <si>
    <t>G-PAMI</t>
  </si>
  <si>
    <t>Total Restating adjustments</t>
  </si>
  <si>
    <t>Sum of restating adjustments</t>
  </si>
  <si>
    <t>Total Proforma adjustments</t>
  </si>
  <si>
    <t>Sum of proforma adjustments</t>
  </si>
  <si>
    <t>D+E</t>
  </si>
  <si>
    <t>Adjusted ROO</t>
  </si>
  <si>
    <t>C+F</t>
  </si>
  <si>
    <t>Revenue change to base rates</t>
  </si>
  <si>
    <t>RR Input and revenue sensitive items</t>
  </si>
  <si>
    <t>ROO after rate change</t>
  </si>
  <si>
    <t>G+H</t>
  </si>
  <si>
    <t>Residential Sales</t>
  </si>
  <si>
    <t>Commercial Sales</t>
  </si>
  <si>
    <t>Interdepartmental Revenue</t>
  </si>
  <si>
    <t>Unbilled Revenue</t>
  </si>
  <si>
    <t>Transportation for others</t>
  </si>
  <si>
    <t>Other Gas Revenue</t>
  </si>
  <si>
    <t>Adjustment 3.04 (G-PLN)</t>
  </si>
  <si>
    <t>E</t>
  </si>
  <si>
    <t>F</t>
  </si>
  <si>
    <t>G</t>
  </si>
  <si>
    <t>H</t>
  </si>
  <si>
    <t>I</t>
  </si>
  <si>
    <t>Transportation for Others</t>
  </si>
  <si>
    <t>Rent from Gas Property</t>
  </si>
  <si>
    <t>Other Gas Revenue - Misc</t>
  </si>
  <si>
    <t>Natural Gas Purchases</t>
  </si>
  <si>
    <t>804/805</t>
  </si>
  <si>
    <t>Total Purchased Gas Costs</t>
  </si>
  <si>
    <t xml:space="preserve">Gas Used for Products Extraction  </t>
  </si>
  <si>
    <t>Underground Storage Expenses - Operation</t>
  </si>
  <si>
    <t>Underground Storage Expenses - Maintenance</t>
  </si>
  <si>
    <t>Distribution Expenses - Operation</t>
  </si>
  <si>
    <t>Distribution Expenses - Maintenance</t>
  </si>
  <si>
    <t>Total Administrative &amp; General  Expenses</t>
  </si>
  <si>
    <t>Total Underground Storage Plant Depr. Exp</t>
  </si>
  <si>
    <t>Total Distribution Plant Depr. Exp</t>
  </si>
  <si>
    <t>Total General Plant Dpreciation Expense</t>
  </si>
  <si>
    <t>Distribution Plant Accum. Depr.</t>
  </si>
  <si>
    <t>General Plant Accum. Depr.</t>
  </si>
  <si>
    <t>Schedule 131</t>
  </si>
  <si>
    <t>Revenue Requirement Impact</t>
  </si>
  <si>
    <t>Change in Rate Base</t>
  </si>
  <si>
    <t>ROR</t>
  </si>
  <si>
    <t>Customer Expenses</t>
  </si>
  <si>
    <t>Common Expenses</t>
  </si>
  <si>
    <t>Transmission Expenses</t>
  </si>
  <si>
    <t>UTILITY COMPANY</t>
  </si>
  <si>
    <t>Summary of Adjustments</t>
  </si>
  <si>
    <t>Service territory : Washington</t>
  </si>
  <si>
    <t>Restating Adjustments</t>
  </si>
  <si>
    <t>Work paper reference</t>
  </si>
  <si>
    <t>Description of Adjustment</t>
  </si>
  <si>
    <t xml:space="preserve">NOI   </t>
  </si>
  <si>
    <t>Proforma Adjustments</t>
  </si>
  <si>
    <t>Service: Natural Gas</t>
  </si>
  <si>
    <t>Washington Natural Gas</t>
  </si>
  <si>
    <t>Restated Total</t>
  </si>
  <si>
    <t>Proforma Total</t>
  </si>
  <si>
    <t>Total Adjustments</t>
  </si>
  <si>
    <t>Return Requirement</t>
  </si>
  <si>
    <t>Total Operating Expenses (net of non-rate revenues)</t>
  </si>
  <si>
    <t>Present Revenue from Rates</t>
  </si>
  <si>
    <t>Net Income From Present Rates</t>
  </si>
  <si>
    <t>Net Income Deficiency (Sufficiency)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</si>
  <si>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</si>
  <si>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</si>
  <si>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</si>
  <si>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</si>
  <si>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</si>
  <si>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</si>
  <si>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</si>
  <si>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</si>
  <si>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</si>
  <si>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from conversion factor</t>
  </si>
  <si>
    <t>Purina Mills / Land O' Lakes</t>
  </si>
  <si>
    <t>Fairchild</t>
  </si>
  <si>
    <t>Kaiser Trentwood</t>
  </si>
  <si>
    <t>Mutual Materials</t>
  </si>
  <si>
    <t>Washington State Univ</t>
  </si>
  <si>
    <t>1-yr, 5-day</t>
  </si>
  <si>
    <t>Normalized Usage by Month</t>
  </si>
  <si>
    <t>WASHINGTON GAS SYSTEM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</si>
  <si>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</si>
  <si>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</si>
  <si>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</si>
  <si>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</si>
  <si>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</si>
  <si>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</si>
  <si>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</si>
  <si>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</si>
  <si>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</si>
  <si>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</si>
  <si>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</si>
  <si>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</si>
  <si>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</si>
  <si>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Revenue Run Billed Usage</t>
  </si>
  <si>
    <t>Small Service Schedule 101</t>
  </si>
  <si>
    <t>Large Service Schedule 111/112</t>
  </si>
  <si>
    <t>Interrupt Service Schedule 131/132</t>
  </si>
  <si>
    <t>Transport Service Schedule 146</t>
  </si>
  <si>
    <t>Special Contract Transport</t>
  </si>
  <si>
    <t>Total Revenue Run Billed Usage</t>
  </si>
  <si>
    <t>Adjustments to Revenue Runs</t>
  </si>
  <si>
    <t>Schedule 111/112 Adjustments</t>
  </si>
  <si>
    <t>Schedule 121/122 to 111/112</t>
  </si>
  <si>
    <t>Schedule 146 to 112 shifting</t>
  </si>
  <si>
    <t>Schedule 146 Adjustments</t>
  </si>
  <si>
    <t>Special Contract Adjustments</t>
  </si>
  <si>
    <t>Total Adjustments to Revenue Runs</t>
  </si>
  <si>
    <t>Net Unbilled Usage</t>
  </si>
  <si>
    <t>Weather Adjustment</t>
  </si>
  <si>
    <t>Total Weather Adjustment</t>
  </si>
  <si>
    <t>Normalized Test Year Usage</t>
  </si>
  <si>
    <t>Total Normalized Test Year Usage</t>
  </si>
  <si>
    <t>Winter Month Average</t>
  </si>
  <si>
    <t>Summer Month Average</t>
  </si>
  <si>
    <t>Winter</t>
  </si>
  <si>
    <t>Summer</t>
  </si>
  <si>
    <t>Winter 5 Month Total</t>
  </si>
  <si>
    <t>Summer 4 Month Total</t>
  </si>
  <si>
    <t>Winter Therms</t>
  </si>
  <si>
    <t>Excess Winter over Summer Therms</t>
  </si>
  <si>
    <t>Excess winter over summer</t>
  </si>
  <si>
    <t>AMI Software</t>
  </si>
  <si>
    <t xml:space="preserve">  AMI Existing Meters/ERTs Deferral A/D</t>
  </si>
  <si>
    <t>Average AMI module cost</t>
  </si>
  <si>
    <t>Average installed cost for new AMI meter module</t>
  </si>
  <si>
    <t>Total Cost for Rate Schedule</t>
  </si>
  <si>
    <t>Number of Meters/Modules</t>
  </si>
  <si>
    <t>Average new meter cost per customer</t>
  </si>
  <si>
    <t>N/A</t>
  </si>
  <si>
    <t>9.30.2021 Total Cost</t>
  </si>
  <si>
    <t>2020-2021 Heating Season</t>
  </si>
  <si>
    <t>Washington Potato/Oregon Potato</t>
  </si>
  <si>
    <t>Kalispel Linin Service</t>
  </si>
  <si>
    <t>09.2021 Rate Base</t>
  </si>
  <si>
    <t>G-EOP09.2021</t>
  </si>
  <si>
    <t>AMI Amortization</t>
  </si>
  <si>
    <t>G-LIRAP</t>
  </si>
  <si>
    <t>LIRAP Labor</t>
  </si>
  <si>
    <t>Insurance Expense</t>
  </si>
  <si>
    <t>G-PMisc</t>
  </si>
  <si>
    <t>Misc O&amp;M Expense</t>
  </si>
  <si>
    <t>Regulatory Asset - AFUDC</t>
  </si>
  <si>
    <t>Customer Tax Credit</t>
  </si>
  <si>
    <t>PF O&amp;M 3.14 (G-PMisc)</t>
  </si>
  <si>
    <t>5 Day Totals</t>
  </si>
  <si>
    <t>Usage not captured in AMI data</t>
  </si>
  <si>
    <t>The difference between sales and the amount captured by AMI is allocated to Sch 101 and 111</t>
  </si>
  <si>
    <t>Total Sales</t>
  </si>
  <si>
    <t>Total AMI Sales</t>
  </si>
  <si>
    <t>Total Without AMI Adj. from line 21</t>
  </si>
  <si>
    <t>Adjustment for AMI data</t>
  </si>
  <si>
    <t>Some data for Schedule 101 and 111 is incomplete due to some customers opting out of AMI.  This missing usage is allocated back to Schedule 101 and 111 on Tab'Demand - Firm Peak by Sch' on line 21 for purposes of this study.</t>
  </si>
  <si>
    <t>Conversion Factor</t>
  </si>
  <si>
    <t>Input Revenue From Rates (Proforma Revenue Study)</t>
  </si>
  <si>
    <t>Return on Rate Base @ 7.15%</t>
  </si>
  <si>
    <t>Actual daily Load</t>
  </si>
  <si>
    <t>Actual usage from AMI data</t>
  </si>
  <si>
    <t>Service Allocation Factors</t>
  </si>
  <si>
    <t>Washington Electric Cost Study</t>
  </si>
  <si>
    <t>Note 7</t>
  </si>
  <si>
    <t>Note 8</t>
  </si>
  <si>
    <t>Note 9</t>
  </si>
  <si>
    <t>Jurisdiction Allocation Factors</t>
  </si>
  <si>
    <t>month</t>
  </si>
  <si>
    <t>Note 1</t>
  </si>
  <si>
    <t>Note 4</t>
  </si>
  <si>
    <t>Accumulated Reserve</t>
  </si>
  <si>
    <t>FERC</t>
  </si>
  <si>
    <t>SRV</t>
  </si>
  <si>
    <t>JUR</t>
  </si>
  <si>
    <t>ldg_work_order_number</t>
  </si>
  <si>
    <t>ldg_work_order_description</t>
  </si>
  <si>
    <t>Sum of book_cost</t>
  </si>
  <si>
    <t>Sum of allocated_reserve</t>
  </si>
  <si>
    <t>Sum of net_book_value</t>
  </si>
  <si>
    <t>303000</t>
  </si>
  <si>
    <t>CD</t>
  </si>
  <si>
    <t>AA</t>
  </si>
  <si>
    <t>LMR Covrg Enhancements Phase 2</t>
  </si>
  <si>
    <t>Private Spectrum Purchase</t>
  </si>
  <si>
    <t>AN</t>
  </si>
  <si>
    <t>CDA Rathdrum sub Fiber Link</t>
  </si>
  <si>
    <t>ED</t>
  </si>
  <si>
    <t>WA</t>
  </si>
  <si>
    <t xml:space="preserve">EVSE Network Perp License		</t>
  </si>
  <si>
    <t>CONVERSION</t>
  </si>
  <si>
    <t>(blank)</t>
  </si>
  <si>
    <t>Dry Creek 230 Kv Sub-Com 028</t>
  </si>
  <si>
    <t>Bea Bel upgrd bell sub transm</t>
  </si>
  <si>
    <t>Deer Park-115kV Phasing</t>
  </si>
  <si>
    <t>Hatwai Fiber Integration Proj</t>
  </si>
  <si>
    <t>Bell Beacon Fiber Project</t>
  </si>
  <si>
    <t>2006 accelerated RAS</t>
  </si>
  <si>
    <t>BEA BEL upgd bell sub com</t>
  </si>
  <si>
    <t>BPA Moving AVA Load Area</t>
  </si>
  <si>
    <t>Boat Lift to IDFG - CFSA</t>
  </si>
  <si>
    <t>Lancaster BA Move to AVA</t>
  </si>
  <si>
    <t>Lancaster Interconnection</t>
  </si>
  <si>
    <t>2020 Kawasaki Mule</t>
  </si>
  <si>
    <t>CF Pack River Delta App O</t>
  </si>
  <si>
    <t>Vermilion Chapel Slide App B</t>
  </si>
  <si>
    <t>CS2 closing angle protec schm</t>
  </si>
  <si>
    <t>GD</t>
  </si>
  <si>
    <t>Rebld GS 311 Colfax intangible</t>
  </si>
  <si>
    <t>Bruce Rd HP Reinforcement</t>
  </si>
  <si>
    <t>Nine Mile Falls Gate stn upgde</t>
  </si>
  <si>
    <t>ID</t>
  </si>
  <si>
    <t>Upgrade Genesee gate meter</t>
  </si>
  <si>
    <t>Rathdrum taps</t>
  </si>
  <si>
    <t>Chase Rd Gate Stn intangible</t>
  </si>
  <si>
    <t>OR</t>
  </si>
  <si>
    <t>Rebld Merlin City Gate Stat-GP</t>
  </si>
  <si>
    <t>Glendale gas conv-Misc Inta</t>
  </si>
  <si>
    <t>Merlin Rbld upgrde misc intan</t>
  </si>
  <si>
    <t>Union Gate Stn Upgrade LaGrand</t>
  </si>
  <si>
    <t>Total Account 303000</t>
  </si>
  <si>
    <t>Ending 9/30/21 Balance per ROO 12E</t>
  </si>
  <si>
    <t>303100</t>
  </si>
  <si>
    <t xml:space="preserve">Spokane FAN Refresh Phase 1		</t>
  </si>
  <si>
    <t>Next Gen Radio Phase 1</t>
  </si>
  <si>
    <t>Avistacorp Website Replacement</t>
  </si>
  <si>
    <t>SCADA Expansion - Blanket</t>
  </si>
  <si>
    <t>Network Access Control Phase 3</t>
  </si>
  <si>
    <t>TFS Enhancements</t>
  </si>
  <si>
    <t>PCI Telephone Paymt Compliance</t>
  </si>
  <si>
    <t>MyAvista.com DR Systems</t>
  </si>
  <si>
    <t xml:space="preserve">Removable Media Control		</t>
  </si>
  <si>
    <t xml:space="preserve"> Web - QA/Auto. Testing Pkg1</t>
  </si>
  <si>
    <t>UI Planner Upgrade</t>
  </si>
  <si>
    <t>MS Office 2013 Refresh</t>
  </si>
  <si>
    <t>Endpoint Print Systems 2019</t>
  </si>
  <si>
    <t>Endpoint PC Systems Deploy2019</t>
  </si>
  <si>
    <t>(PCI) Walk-In - Kiosk</t>
  </si>
  <si>
    <t>Ent Central Log–Ingest Exp</t>
  </si>
  <si>
    <t>Sitecore Upgrade</t>
  </si>
  <si>
    <t>Cashbook Replacement</t>
  </si>
  <si>
    <t>RightFax System Refresh</t>
  </si>
  <si>
    <t>Java AMC Upgrade</t>
  </si>
  <si>
    <t>Email Syst Refr: Exchange-2010</t>
  </si>
  <si>
    <t>Basic Workspace Technology</t>
  </si>
  <si>
    <t>Video Managemnt System Refresh</t>
  </si>
  <si>
    <t>CXP Ph 1: Initial CRM Features</t>
  </si>
  <si>
    <t>EBS/PP Enhancements 2020 Pkg 2</t>
  </si>
  <si>
    <t>Digital Channel Features Pkg2</t>
  </si>
  <si>
    <t>CCB/MDM Features/Enh. Pkg.2</t>
  </si>
  <si>
    <t>Nucleus Blanket 2020</t>
  </si>
  <si>
    <t>CATSWeb Enhancements 2020</t>
  </si>
  <si>
    <t>Azure DevOps Features - 2020</t>
  </si>
  <si>
    <t>Edge Browser Implementation</t>
  </si>
  <si>
    <t>Corporate Vuln Scanning Refrsh</t>
  </si>
  <si>
    <t>Mission SIP Deployment</t>
  </si>
  <si>
    <t>Vulnerable Network Ref Pkg 1</t>
  </si>
  <si>
    <t>Authentication - ISE (ACS)</t>
  </si>
  <si>
    <t>Edge Firewall Refresh</t>
  </si>
  <si>
    <t>Microsoft Product Updates-ECPS</t>
  </si>
  <si>
    <t>Active Directory Refresh</t>
  </si>
  <si>
    <t>MS Teams Implementation</t>
  </si>
  <si>
    <t>GCN Remote Access</t>
  </si>
  <si>
    <t>ECM Upgrade</t>
  </si>
  <si>
    <t>My Clean Energy</t>
  </si>
  <si>
    <t>Globalscape Upgrade 2020</t>
  </si>
  <si>
    <t>FME Engine License Purchase</t>
  </si>
  <si>
    <t>Employee Relief Fund</t>
  </si>
  <si>
    <t>Edge Browser Implement Pkg 2</t>
  </si>
  <si>
    <t>Energy Managemnt Systm Upgrade</t>
  </si>
  <si>
    <t>What'sBest SW Lic Instal 20</t>
  </si>
  <si>
    <t>CC&amp;B/MDM Pkgs 1 2021</t>
  </si>
  <si>
    <t>Embarcadero Data Model License</t>
  </si>
  <si>
    <t>EBS/PP Enhancements 2021-Pkg.1</t>
  </si>
  <si>
    <t>Nucleus Enhancements 2021</t>
  </si>
  <si>
    <t>Windows Server 2012 OS - Pkg 3</t>
  </si>
  <si>
    <t>Maximo Enhancements Pkg 1 21</t>
  </si>
  <si>
    <t>CEF3 Lab Software &amp; Hardware</t>
  </si>
  <si>
    <t>Adobe Creative Packaging</t>
  </si>
  <si>
    <t>Bluebeam ReVu License</t>
  </si>
  <si>
    <t>Dep. Forecast in Fixed Assets</t>
  </si>
  <si>
    <t>New Fleet Bldg - Phys Sec</t>
  </si>
  <si>
    <t>IT for Fac Dollar Road - Ph1</t>
  </si>
  <si>
    <t>Atlas: Fiber Manager</t>
  </si>
  <si>
    <t>09906528 Fixed NetworkCorrectn</t>
  </si>
  <si>
    <t>EVSE Network Perp License-2019</t>
  </si>
  <si>
    <t>AMI Outage Data Analytics</t>
  </si>
  <si>
    <t>Energy Management Alerts-WA</t>
  </si>
  <si>
    <t>Electric Vehicle TOU Rate</t>
  </si>
  <si>
    <t>AMI Enhancements Jan June 2021</t>
  </si>
  <si>
    <t xml:space="preserve">Substation Access Control		</t>
  </si>
  <si>
    <t>Serveron TM View Upgrade</t>
  </si>
  <si>
    <t>Synergi Electric Upgrade</t>
  </si>
  <si>
    <t>ADSS Phase 3 Release 1</t>
  </si>
  <si>
    <t>ADSS Package #1</t>
  </si>
  <si>
    <t>ADSS Package #2</t>
  </si>
  <si>
    <t>ADSS Package #3</t>
  </si>
  <si>
    <t>Synergi Electric 6.1 Upgrade</t>
  </si>
  <si>
    <t>Realtime Turret System Refresh</t>
  </si>
  <si>
    <t>ADSS Package #4</t>
  </si>
  <si>
    <t>QTS / QTD</t>
  </si>
  <si>
    <t>Autodesk Inventor Upgrade-2019</t>
  </si>
  <si>
    <t>Global Mapper Upgrade-2019</t>
  </si>
  <si>
    <t>GPSS Mobile Solution</t>
  </si>
  <si>
    <t>Stackvision Upgrade 2019</t>
  </si>
  <si>
    <t>ADSS Phase 4 Pkg 1</t>
  </si>
  <si>
    <t>ADSS Phase 4 Pkg 2</t>
  </si>
  <si>
    <t>ADSS Phase 4 Pkg 3</t>
  </si>
  <si>
    <t>ADSS Phase 4 Pkg 4</t>
  </si>
  <si>
    <t>ADSS Phase 4 Pkg 5</t>
  </si>
  <si>
    <t>ADSS Phase 4 Pkg 6</t>
  </si>
  <si>
    <t>Energy Imbalance Market MV-90</t>
  </si>
  <si>
    <t>EMS Full Netwrk Model and Apps</t>
  </si>
  <si>
    <t>Synergi Electric - CY2020</t>
  </si>
  <si>
    <t>Serveron TMview Upgrade 2020</t>
  </si>
  <si>
    <t>Power DB Pro_Upgrade 2020</t>
  </si>
  <si>
    <t>CYMCAP Upgrade 2020</t>
  </si>
  <si>
    <t>Generation Anitvirus Update</t>
  </si>
  <si>
    <t>LIMS/WeighWiz/LabWiz 2020</t>
  </si>
  <si>
    <t>AMI Outage Data Analytics v2</t>
  </si>
  <si>
    <t>ADSS EIM Enh. Package</t>
  </si>
  <si>
    <t>SKM Power Tools Upgrade</t>
  </si>
  <si>
    <t>CROW Upgrade/Enhance 2020</t>
  </si>
  <si>
    <t>OATI Ferc Order 676 Implement</t>
  </si>
  <si>
    <t>ADSS Phase 4 2021:  Pkg. 7</t>
  </si>
  <si>
    <t>ADSS Phase 4 2021:  Pkg. 8</t>
  </si>
  <si>
    <t>OATI-webSmart OASIS</t>
  </si>
  <si>
    <t>KFCT- Solar CT Control SFTWR</t>
  </si>
  <si>
    <t>KFGS Repl Bailey Infin 90 desg</t>
  </si>
  <si>
    <t>CG HED-BatteryBank&amp;DC Upgrade</t>
  </si>
  <si>
    <t>Floating Pit Tag Antenna App C</t>
  </si>
  <si>
    <t>Colstrip Transmission - AN</t>
  </si>
  <si>
    <t>Prior Notification-Inspections</t>
  </si>
  <si>
    <t>ECM: Gas Compliance MAOP</t>
  </si>
  <si>
    <t>IRAS Upgrade -  2019</t>
  </si>
  <si>
    <t>Nostradamus Gas Upgrade</t>
  </si>
  <si>
    <t>Total Account 303100</t>
  </si>
  <si>
    <t>303102</t>
  </si>
  <si>
    <t>Endpoint Protection</t>
  </si>
  <si>
    <t>303103</t>
  </si>
  <si>
    <t>Digital Channel Pkg 1 2021</t>
  </si>
  <si>
    <t>GIS Enhancements 2021 Pkg 1</t>
  </si>
  <si>
    <t>GIS Enhancements 2021 Pkg 2</t>
  </si>
  <si>
    <t>MobilityintheField-2021 Pkg 1</t>
  </si>
  <si>
    <t>MobilityintheField-2021 Pkg 2</t>
  </si>
  <si>
    <t>Tableau Creator/Upgrade 2021</t>
  </si>
  <si>
    <t>Articulate 360 Upgrade 2021</t>
  </si>
  <si>
    <t>Rate Tool - AMI Load Study</t>
  </si>
  <si>
    <t>ABB Sendout Replacement</t>
  </si>
  <si>
    <t>Microsft Prod. Updts-ECPS Pk1</t>
  </si>
  <si>
    <t>303105</t>
  </si>
  <si>
    <t>Desigo CC Implementation</t>
  </si>
  <si>
    <t>Gurobi Optimizer Licenses</t>
  </si>
  <si>
    <t>ADSS Phase 4 2021: Pkg. 9</t>
  </si>
  <si>
    <t>Total Account 30310X</t>
  </si>
  <si>
    <t>303115</t>
  </si>
  <si>
    <t>Windows OS Upgrade</t>
  </si>
  <si>
    <t>CSS EAM Maximo Phase 2</t>
  </si>
  <si>
    <t>CSS EAM Maximo Phase 1</t>
  </si>
  <si>
    <t>Digital Signage Entrprise Infr</t>
  </si>
  <si>
    <t>Total Account 303115</t>
  </si>
  <si>
    <t>303120</t>
  </si>
  <si>
    <t>Meter Data Management-AMI-099</t>
  </si>
  <si>
    <t>Total Account 303120</t>
  </si>
  <si>
    <t>303121</t>
  </si>
  <si>
    <t>AMI - Itron Head End System</t>
  </si>
  <si>
    <t xml:space="preserve">AMI CVR Data Analytics		</t>
  </si>
  <si>
    <t xml:space="preserve">AMI Theft Data Analytics		</t>
  </si>
  <si>
    <t>AMI HES Phase II Functionality</t>
  </si>
  <si>
    <t>AMI Head End Disaster Recovery</t>
  </si>
  <si>
    <t>Endpoint Programming Equip</t>
  </si>
  <si>
    <t>AMI Load Disaggregation Tools</t>
  </si>
  <si>
    <t>AMI HES Enhancements</t>
  </si>
  <si>
    <t>AMI_HES Enhancements 2020</t>
  </si>
  <si>
    <t>AMI Outage Phase 2</t>
  </si>
  <si>
    <t>Total Account 303121</t>
  </si>
  <si>
    <t>303130</t>
  </si>
  <si>
    <t>EIM - Outage Management System</t>
  </si>
  <si>
    <t>303132</t>
  </si>
  <si>
    <t>Password Filtering</t>
  </si>
  <si>
    <t>303133</t>
  </si>
  <si>
    <t>Virtual Hold System Refresh</t>
  </si>
  <si>
    <t>Or. Primavera Cloud Imp. Ph. 1</t>
  </si>
  <si>
    <t>303135</t>
  </si>
  <si>
    <t>CXP Implm Additional Features</t>
  </si>
  <si>
    <t>Total Account 30313X</t>
  </si>
  <si>
    <t>Total per PowerPlant Report</t>
  </si>
  <si>
    <t>Difference</t>
  </si>
  <si>
    <t>% Difference</t>
  </si>
  <si>
    <t>Adjusted Peak Therms</t>
  </si>
  <si>
    <t>Daily Firm Therms</t>
  </si>
  <si>
    <t>Oregon Natural Gas</t>
  </si>
  <si>
    <t>Idaho Natural Gas</t>
  </si>
  <si>
    <t>Gas North</t>
  </si>
  <si>
    <t>Oregon Gas</t>
  </si>
  <si>
    <t>CD/AA</t>
  </si>
  <si>
    <t>GD/AA</t>
  </si>
  <si>
    <t>CD/AN</t>
  </si>
  <si>
    <t>Date</t>
  </si>
  <si>
    <t xml:space="preserve">Month </t>
  </si>
  <si>
    <t>Day</t>
  </si>
  <si>
    <t>Unit</t>
  </si>
  <si>
    <t>WA Sch. 101/102</t>
  </si>
  <si>
    <t>WA Sch. 111/112</t>
  </si>
  <si>
    <t>WA Sch. 132</t>
  </si>
  <si>
    <t>24 hour Average</t>
  </si>
  <si>
    <t>Therms</t>
  </si>
  <si>
    <t>Meter Count</t>
  </si>
  <si>
    <t>Therm/Meter</t>
  </si>
  <si>
    <t>5 day system peak</t>
  </si>
  <si>
    <t>Consecutive 5-Day Peak Firm Requirement</t>
  </si>
  <si>
    <t>Total Requirement by Delivery Point</t>
  </si>
  <si>
    <t>Washington CTP (Pipeline Vol Th)</t>
  </si>
  <si>
    <t>AVISTATURBINE</t>
  </si>
  <si>
    <t>COLFAX</t>
  </si>
  <si>
    <t>COLTON</t>
  </si>
  <si>
    <t>CONNELL</t>
  </si>
  <si>
    <t>ENDICOTT</t>
  </si>
  <si>
    <t>GOLDENDALE</t>
  </si>
  <si>
    <t>KEYSTONE</t>
  </si>
  <si>
    <t>LCRS</t>
  </si>
  <si>
    <t>LIND</t>
  </si>
  <si>
    <t>MED LAKE</t>
  </si>
  <si>
    <t>MICA</t>
  </si>
  <si>
    <t>NINE MILE</t>
  </si>
  <si>
    <t>PALOUSE</t>
  </si>
  <si>
    <t>PULLMAN</t>
  </si>
  <si>
    <t>RITZVILLE</t>
  </si>
  <si>
    <t>ROSL</t>
  </si>
  <si>
    <t>SJON</t>
  </si>
  <si>
    <t>SPAN</t>
  </si>
  <si>
    <t>SPO MEAD</t>
  </si>
  <si>
    <t>SPO WEST</t>
  </si>
  <si>
    <t>SPRAGUE</t>
  </si>
  <si>
    <t>STEVENS#2</t>
  </si>
  <si>
    <t>STEVENSON</t>
  </si>
  <si>
    <t>SWWP</t>
  </si>
  <si>
    <t>UNIONTOWN</t>
  </si>
  <si>
    <t>WARDEN (WA</t>
  </si>
  <si>
    <t>WA Total</t>
  </si>
  <si>
    <t>Washington Transportation Customers (DTC Points with WA and BTU Decision) (&amp; in a Customer Pool)</t>
  </si>
  <si>
    <t>Alsco Inc.</t>
  </si>
  <si>
    <t>Baker Commodities, Inc., Spokane Division</t>
  </si>
  <si>
    <t>Boise Cascade Corporation</t>
  </si>
  <si>
    <t>ConAgraFoods Lamb Weston, Inc. (Connell)</t>
  </si>
  <si>
    <t>Creach Greenhouse, Inc.</t>
  </si>
  <si>
    <t>Eastern Washington University</t>
  </si>
  <si>
    <t>Fairchild Air Force Base</t>
  </si>
  <si>
    <t>Franz Family Bakeries</t>
  </si>
  <si>
    <t>Gonzaga University</t>
  </si>
  <si>
    <t>Goodrich, Inc.</t>
  </si>
  <si>
    <t>Inland Asphalt Company</t>
  </si>
  <si>
    <t>Johanna Beverage Company LLC</t>
  </si>
  <si>
    <t>Jubilant Hollister Stier</t>
  </si>
  <si>
    <t>Kaiser Aluminum &amp; Chemical Corporation, Trentwood Works</t>
  </si>
  <si>
    <t>Kalispel Linen Service</t>
  </si>
  <si>
    <t>Land O' Lakes-Spokane</t>
  </si>
  <si>
    <t>Lane Mountain Silica Company</t>
  </si>
  <si>
    <t>Mutual Materials of Washington</t>
  </si>
  <si>
    <t>Oldcastle APG-West, Inc. dba Central Pre-Mix - Sakrete</t>
  </si>
  <si>
    <t>Oregon Potato Company</t>
  </si>
  <si>
    <t>Quarry Tile Company</t>
  </si>
  <si>
    <t>Sacred Heart Medical Center</t>
  </si>
  <si>
    <t>Shamrock Paving Company</t>
  </si>
  <si>
    <t>Spokane Industries, Inc.</t>
  </si>
  <si>
    <t>Spokane VA Medical Center</t>
  </si>
  <si>
    <t>TRA dba Huntwood Industries / Huntwood Custom Cabinets</t>
  </si>
  <si>
    <t>Travis Pattern &amp; Foundry</t>
  </si>
  <si>
    <t>Washington State University Board of Regents</t>
  </si>
  <si>
    <t>Waste Management of Washington</t>
  </si>
  <si>
    <t>WA Total:</t>
  </si>
  <si>
    <t>FERC Account</t>
  </si>
  <si>
    <t>(All)</t>
  </si>
  <si>
    <t>Sum of Transaction Amount</t>
  </si>
  <si>
    <t>00655</t>
  </si>
  <si>
    <t>03997</t>
  </si>
  <si>
    <t>04001</t>
  </si>
  <si>
    <t>04794</t>
  </si>
  <si>
    <t>Trading</t>
  </si>
  <si>
    <t>04936</t>
  </si>
  <si>
    <t>05543</t>
  </si>
  <si>
    <t>55329</t>
  </si>
  <si>
    <t>57520</t>
  </si>
  <si>
    <t>75830</t>
  </si>
  <si>
    <t>85931</t>
  </si>
  <si>
    <t>Grand Total</t>
  </si>
  <si>
    <t>Natural Gas Scheduling</t>
  </si>
  <si>
    <t>Total Pay</t>
  </si>
  <si>
    <t>Equip sub type</t>
  </si>
  <si>
    <t>year</t>
  </si>
  <si>
    <t>Ave Install Cost</t>
  </si>
  <si>
    <t>Ave Original Cost</t>
  </si>
  <si>
    <t>GM</t>
  </si>
  <si>
    <t>Customer Class Receive a New Smart Meter/Module?</t>
  </si>
  <si>
    <t>Type of Meter/Module Installed</t>
  </si>
  <si>
    <t>Number of Meter/Modules Total</t>
  </si>
  <si>
    <t>Cost of Individual Meter/Module</t>
  </si>
  <si>
    <t>Unit Cost to Install Each Meter/Module</t>
  </si>
  <si>
    <t>Total Install Cost (meter + install)</t>
  </si>
  <si>
    <t>Hardware</t>
  </si>
  <si>
    <t>Install</t>
  </si>
  <si>
    <t>General Service</t>
  </si>
  <si>
    <t>101/102</t>
  </si>
  <si>
    <t>YES</t>
  </si>
  <si>
    <t>ERG-7000-001 American Residential 1ft</t>
  </si>
  <si>
    <t>ERG-7000-001 American Residential 2ft</t>
  </si>
  <si>
    <t>ERG-7000-002 Sensus/Rockwell 11 tooth Residential 2ft</t>
  </si>
  <si>
    <t>ERG-7000-007 American/Itron Commercial</t>
  </si>
  <si>
    <t>ERG-7000-502 Remote w/5’ cable</t>
  </si>
  <si>
    <t>ERG-7000-505 Remote Mount For IMCW Index</t>
  </si>
  <si>
    <t>Large General Service</t>
  </si>
  <si>
    <t>111/112/116</t>
  </si>
  <si>
    <t xml:space="preserve">Interruptible Service </t>
  </si>
  <si>
    <t>YES/POSSIBLE</t>
  </si>
  <si>
    <t>Transportation Service</t>
  </si>
  <si>
    <t>NO</t>
  </si>
  <si>
    <t>Special Contracts</t>
  </si>
  <si>
    <t>148</t>
  </si>
  <si>
    <t>Natural Gas AMI Module Install Costs</t>
  </si>
  <si>
    <t>Natural Gas Meter Install Costs</t>
  </si>
  <si>
    <t>Type of Service</t>
  </si>
  <si>
    <t>Schedule #</t>
  </si>
  <si>
    <t>Total Gas:</t>
  </si>
  <si>
    <t>Brandon Wagner utilizing "GAS SERVICE COSTS WORKSHEET - WA"</t>
  </si>
  <si>
    <t>Customer usage per Feb 21 bill</t>
  </si>
  <si>
    <t>Spokane Valley Hospital - Average daily usage</t>
  </si>
  <si>
    <t>Twelve Months Ended June 30, 2023</t>
  </si>
  <si>
    <t>Row Labels</t>
  </si>
  <si>
    <t>00138</t>
  </si>
  <si>
    <t>01117</t>
  </si>
  <si>
    <t>02411</t>
  </si>
  <si>
    <t>03866</t>
  </si>
  <si>
    <t>37514</t>
  </si>
  <si>
    <t>WUTC Docket No. UE-24____</t>
  </si>
  <si>
    <t>Schedule 131/132 Adjustments</t>
  </si>
  <si>
    <t>Schedule 146 to 132 shifting</t>
  </si>
  <si>
    <t>Run Date 08/07/2023 12:42:27</t>
  </si>
  <si>
    <t>Start Date 12/19/2022</t>
  </si>
  <si>
    <t>Ergon Asphalt &amp; Emulsion, Inc</t>
  </si>
  <si>
    <t>2022-2023 Heating Season</t>
  </si>
  <si>
    <t>HDD Spokane CF6 December 2022</t>
  </si>
  <si>
    <t>Customer usage per Dec 22 bill</t>
  </si>
  <si>
    <t>Airway Heights Corrections</t>
  </si>
  <si>
    <t>Spokane County Court House</t>
  </si>
  <si>
    <t>Deaconess Medical Center</t>
  </si>
  <si>
    <t>Source:  2023 Meter first install cost - Files received from Brandon Wagner.</t>
  </si>
  <si>
    <t>111/112</t>
  </si>
  <si>
    <t>G-EDIT</t>
  </si>
  <si>
    <t>EDIT (RSGM)</t>
  </si>
  <si>
    <t>G-Pinc</t>
  </si>
  <si>
    <t>G-CCA</t>
  </si>
  <si>
    <t>CCA Labor</t>
  </si>
  <si>
    <t>G-CAP23E</t>
  </si>
  <si>
    <t>G-DEP</t>
  </si>
  <si>
    <t>G-CAP24E</t>
  </si>
  <si>
    <t>G-NRA</t>
  </si>
  <si>
    <t>G-ETRM</t>
  </si>
  <si>
    <t>G-PBOD</t>
  </si>
  <si>
    <t>Capital Add. To 12/31/23 EOP</t>
  </si>
  <si>
    <t>Dep. Expense</t>
  </si>
  <si>
    <t>Capital Add. To 12/31/24 EOP</t>
  </si>
  <si>
    <t>New Reg. Amort.</t>
  </si>
  <si>
    <t>Nucleus/ETRM Exp.</t>
  </si>
  <si>
    <t>BOD Fees Exp.</t>
  </si>
  <si>
    <t>G-CAP25A</t>
  </si>
  <si>
    <t>G-Offsets25</t>
  </si>
  <si>
    <t>Provisional Capital Add.</t>
  </si>
  <si>
    <t>to 12.31.25 AMA</t>
  </si>
  <si>
    <t>2024-2025</t>
  </si>
  <si>
    <t xml:space="preserve">Cap. Adds O&amp;M and Rev. </t>
  </si>
  <si>
    <t>Time period : Twelve Months ended June 30, 2023</t>
  </si>
  <si>
    <t>HMI Backhaul &amp; MON, PST, UPF</t>
  </si>
  <si>
    <t>API Management Tool</t>
  </si>
  <si>
    <t>HMI Upgrade - GCC (PLC Lab)</t>
  </si>
  <si>
    <t>ESRI UN Release 1 -Gas Foun 21</t>
  </si>
  <si>
    <t>Oracle EBS Upgrade</t>
  </si>
  <si>
    <t>Wireless Mesh Imp Pkg 2</t>
  </si>
  <si>
    <t>Biztalk System Upgrade</t>
  </si>
  <si>
    <t>PI Enhancements 2021</t>
  </si>
  <si>
    <t>Intranet Enhancements 2021</t>
  </si>
  <si>
    <t>CC&amp;B/MDM Pkgs 2 2021</t>
  </si>
  <si>
    <t>Resource Hub Enhancements 2021</t>
  </si>
  <si>
    <t>CATSWeb Enhancements 2021</t>
  </si>
  <si>
    <t>EBS/PP Enhancements 2021-Pkg.2</t>
  </si>
  <si>
    <t>SIP- Contact Centers</t>
  </si>
  <si>
    <t>Azure DevOps Features 2021</t>
  </si>
  <si>
    <t>GPSS Maximo Enhancements 2021</t>
  </si>
  <si>
    <t>Availability Workbench 2021</t>
  </si>
  <si>
    <t>Assetworks Upgrade 2021</t>
  </si>
  <si>
    <t>Cognos BI Expansion 2021</t>
  </si>
  <si>
    <t>CATSWeb Upgrade 2021</t>
  </si>
  <si>
    <t>Rugged Computer Refresh</t>
  </si>
  <si>
    <t>Maximo Enhancements Pkg 2 21</t>
  </si>
  <si>
    <t>Maximo Enhancements Pkg3 21</t>
  </si>
  <si>
    <t>Endpoint Software Prod. XPU 21</t>
  </si>
  <si>
    <t>Vmware OS Refresh (vSphere)</t>
  </si>
  <si>
    <t>MOM Application Re-Write</t>
  </si>
  <si>
    <t>Maximo 2021/2022 Upgrade</t>
  </si>
  <si>
    <t>Citrix Product Updates Pkg 1</t>
  </si>
  <si>
    <t>Smarsh Vantage Licenses 2021</t>
  </si>
  <si>
    <t>GCN: ACS to ISE</t>
  </si>
  <si>
    <t>Server Operating System Rfrsh</t>
  </si>
  <si>
    <t>Rugged Computer Rfrsh Pkg 2</t>
  </si>
  <si>
    <t>CC&amp;B/MDM Pkg 1 2022</t>
  </si>
  <si>
    <t>CC&amp;B/MDM Pkg 2 2022</t>
  </si>
  <si>
    <t>SCADA SOONonCIP NetApp Refresh</t>
  </si>
  <si>
    <t>Maximo Enh 2022 Pkg 1</t>
  </si>
  <si>
    <t>Maximo Enh 2022 Pkg 2</t>
  </si>
  <si>
    <t>PI Enhancements 2022</t>
  </si>
  <si>
    <t>Nucleus Expansion 2022</t>
  </si>
  <si>
    <t>EBS/PP Expansion 2022 - Pkg #1</t>
  </si>
  <si>
    <t>EBS/PP Expansion 2022 - Pkg #2</t>
  </si>
  <si>
    <t>Digital Channel Pkg 2 2022</t>
  </si>
  <si>
    <t>BI/ETL Expansion Pkg.#1 2022</t>
  </si>
  <si>
    <t>BI/ETL Expansion Pkg.#2 2022</t>
  </si>
  <si>
    <t>App Dynamics Expansion 2022</t>
  </si>
  <si>
    <t>The Hub Expansion 2022</t>
  </si>
  <si>
    <t>Intranet Expansion 2022</t>
  </si>
  <si>
    <t>CATSWeb Expansion 2022</t>
  </si>
  <si>
    <t>Azure DevOps Expansion 2022</t>
  </si>
  <si>
    <t>GPSS Maximo Expansion 2022</t>
  </si>
  <si>
    <t>CC&amp;B/MDM Upgrade/Refresh 2022</t>
  </si>
  <si>
    <t>Globalscape Upgrade 2022</t>
  </si>
  <si>
    <t>CFT: Start Service Phase 1</t>
  </si>
  <si>
    <t>Alation Upgrade</t>
  </si>
  <si>
    <t>Email Sys Rfrsh Exchange Ph 2</t>
  </si>
  <si>
    <t>GenAppDel CDAA 2022 Pkg1</t>
  </si>
  <si>
    <t>Remittance Processing Refresh</t>
  </si>
  <si>
    <t>ECPU - XPU Pkg 3</t>
  </si>
  <si>
    <t>Depreciation F.A. Phase 2</t>
  </si>
  <si>
    <t>Clarity App Upgrade &amp; SSO</t>
  </si>
  <si>
    <t>ECM Expansion 2022</t>
  </si>
  <si>
    <t>FCS Phase 2 Upgrade</t>
  </si>
  <si>
    <t>Conference Room AV</t>
  </si>
  <si>
    <t>WCP Dispatch Tallysman Pkg 1</t>
  </si>
  <si>
    <t>Tait Product Updates - Pkg 1</t>
  </si>
  <si>
    <t>Video Player Update</t>
  </si>
  <si>
    <t>Comm Product Updates Package 1</t>
  </si>
  <si>
    <t>Contact Center Updates</t>
  </si>
  <si>
    <t>Infrastructure as Code Pkg 1</t>
  </si>
  <si>
    <t>Svr Operate Sys Rfrsh 2022PKG2</t>
  </si>
  <si>
    <t>CTS: CC&amp;B-MDM Enhance. 23 Pkg1</t>
  </si>
  <si>
    <t>Azure DevOps Upgrade</t>
  </si>
  <si>
    <t>SOSR 2023 Pkg 1</t>
  </si>
  <si>
    <t>Infrastructure as Code Pkg 2</t>
  </si>
  <si>
    <t>EBS/PP Enhancements 2023 Pkg.1</t>
  </si>
  <si>
    <t>BI - ETL Expansion 2023 Pkg #1</t>
  </si>
  <si>
    <t>ECPU - XPU 2023 Pkg 4</t>
  </si>
  <si>
    <t>On Bill Repayment</t>
  </si>
  <si>
    <t>CXP: CETA Database</t>
  </si>
  <si>
    <t>Perf. Based Rate-Making Rep.</t>
  </si>
  <si>
    <t>DMS PRISM 11 Upgrade</t>
  </si>
  <si>
    <t>HMI Upgrade Control Software</t>
  </si>
  <si>
    <t>EIM - Settlements &amp; Analytics</t>
  </si>
  <si>
    <t>MV90 System Upgrade</t>
  </si>
  <si>
    <t>TWACS System Upgrade</t>
  </si>
  <si>
    <t>Power Database Pro 2021</t>
  </si>
  <si>
    <t>Synergi Electric 2021</t>
  </si>
  <si>
    <t>Aspen OneLiner Upgrade 2021</t>
  </si>
  <si>
    <t xml:space="preserve"> EIMCAISO Dispatch Integration</t>
  </si>
  <si>
    <t>CymCap 2021 - Repl</t>
  </si>
  <si>
    <t>EIM - MV90 Additional Licenses</t>
  </si>
  <si>
    <t>PSCAD Implementation</t>
  </si>
  <si>
    <t>Innovation Lab Data Platform</t>
  </si>
  <si>
    <t>Global Mapper Upgrades 2021</t>
  </si>
  <si>
    <t>VibroZoom Licenses</t>
  </si>
  <si>
    <t>GenAppDel EDAN 2022 Pkg1</t>
  </si>
  <si>
    <t>GenAppDel EDAN 2022 Pkg2</t>
  </si>
  <si>
    <t>Common Module Interface (CIM)</t>
  </si>
  <si>
    <t>Generation Camera Enhancement</t>
  </si>
  <si>
    <t>ADSS Expansion Pkg. #2 - 2022</t>
  </si>
  <si>
    <t>ADSS - EIM Performance</t>
  </si>
  <si>
    <t>Digital Exchange Enhancements</t>
  </si>
  <si>
    <t>EIM - Fall Market Upgrade</t>
  </si>
  <si>
    <t>EIM - Testing Automation</t>
  </si>
  <si>
    <t>StackVision Upgrade</t>
  </si>
  <si>
    <t xml:space="preserve"> EIM - Market Expansion Pkg. 1</t>
  </si>
  <si>
    <t>CS2 FAMOS Software Purchase</t>
  </si>
  <si>
    <t>AMI Enhancements 2021 Jul-Dec</t>
  </si>
  <si>
    <t>Always On</t>
  </si>
  <si>
    <t>AMI Enhancements 2022 Pkg 1</t>
  </si>
  <si>
    <t>AMI Enhancements 2022 Pkg 2</t>
  </si>
  <si>
    <t>Oregon Bill Discount 2022</t>
  </si>
  <si>
    <t>Oregon Bill Discount Phase 2</t>
  </si>
  <si>
    <t>303101</t>
  </si>
  <si>
    <t>DIP Data Analytics</t>
  </si>
  <si>
    <t>Conditional Access Neworking 1</t>
  </si>
  <si>
    <t>Splunk ES Expansion + SIEM</t>
  </si>
  <si>
    <t>SCADA Internal FW Refresh</t>
  </si>
  <si>
    <t>Digital Channel Pkg 1 2022</t>
  </si>
  <si>
    <t>CFT: Outage Resiliency 2022</t>
  </si>
  <si>
    <t>Alation License Renewal</t>
  </si>
  <si>
    <t>Tableau License Renewal</t>
  </si>
  <si>
    <t>CFT: Digital Channel 23 Pkg 1</t>
  </si>
  <si>
    <t>O365 License True Up 2022</t>
  </si>
  <si>
    <t>Aurora / Plexos Licenses</t>
  </si>
  <si>
    <t>Cisco Licensing Svr Implement</t>
  </si>
  <si>
    <t>GIS Enhancements 2021 Pkg 3</t>
  </si>
  <si>
    <t>App Dynamics Enhancements 2021</t>
  </si>
  <si>
    <t>MobilityintheField-2021 Pkg 3</t>
  </si>
  <si>
    <t>Digital Channel Pkg 2 2021</t>
  </si>
  <si>
    <t>811 Risk Tool</t>
  </si>
  <si>
    <t>Teams Voice Implementation</t>
  </si>
  <si>
    <t>Citrix Intermediate System</t>
  </si>
  <si>
    <t>CFT: Outage Resiliency 2021</t>
  </si>
  <si>
    <t>O365 License Renewal 2021</t>
  </si>
  <si>
    <t>Nipper Licenses</t>
  </si>
  <si>
    <t>ESRI ELA 2021</t>
  </si>
  <si>
    <t>ECPU - XPU Pkg 2</t>
  </si>
  <si>
    <t>ESRI UN Enhancements 2022</t>
  </si>
  <si>
    <t>GIS Enhancements 2022 Pkg 1</t>
  </si>
  <si>
    <t>GIS Enhancements 2022 Pkg 2</t>
  </si>
  <si>
    <t>MobilityintheField2022 Pkg 1</t>
  </si>
  <si>
    <t>MobilityintheField2022 Pkg 2</t>
  </si>
  <si>
    <t>MPU - ECPS Pkg 2</t>
  </si>
  <si>
    <t>AuditBond License Renewal</t>
  </si>
  <si>
    <t>Cognos Application Upgrade</t>
  </si>
  <si>
    <t>Articulate 360 Upgrade</t>
  </si>
  <si>
    <t>Netmotion License Renewal</t>
  </si>
  <si>
    <t>API Management Expansion 2022</t>
  </si>
  <si>
    <t>Schneider ELA 2022</t>
  </si>
  <si>
    <t>RSA Token Expansion 2</t>
  </si>
  <si>
    <t>Citrix Product Updates Pkg 2</t>
  </si>
  <si>
    <t>Devolutions License Renewal</t>
  </si>
  <si>
    <t>Visual Studio License Renewal</t>
  </si>
  <si>
    <t>Security Splunk Renewal</t>
  </si>
  <si>
    <t>Articulate 360 License Renewal</t>
  </si>
  <si>
    <t>Maximo Enhancements 2023 Pkg 1</t>
  </si>
  <si>
    <t>MPU ECPS Pkg 3</t>
  </si>
  <si>
    <t>Adobe Acrobat Renewal</t>
  </si>
  <si>
    <t>MobilityintheField 2023 Pkg 1</t>
  </si>
  <si>
    <t>Maximo Conversion License 2022</t>
  </si>
  <si>
    <t>MPU ECS 2023 Pkg 2</t>
  </si>
  <si>
    <t>App Dynamics License Renewal</t>
  </si>
  <si>
    <t>Venafi License Renewal</t>
  </si>
  <si>
    <t>SCCM Implementation for GPSS</t>
  </si>
  <si>
    <t>WF RES:  Fire-Weather Dashbrd</t>
  </si>
  <si>
    <t>RSA Token Expansion</t>
  </si>
  <si>
    <t>Cognos BI License Renewal</t>
  </si>
  <si>
    <t>EIM - ADSS Enhancements Ph. 2</t>
  </si>
  <si>
    <t>ADSS Phase 4 2021: Pkg. 10</t>
  </si>
  <si>
    <t>EIM-ADSS Disaster Recovery</t>
  </si>
  <si>
    <t>ADSS Expansion - 2022 Pkg. #1</t>
  </si>
  <si>
    <t>AMI CVR  Data Analytics</t>
  </si>
  <si>
    <t>EIM - PRSC Scheduling</t>
  </si>
  <si>
    <t>EIM - EESC Scheduling</t>
  </si>
  <si>
    <t>EIM - Energy Accounting</t>
  </si>
  <si>
    <t>EIM - VER Forecast</t>
  </si>
  <si>
    <t>EIM - OMS Ph. 2</t>
  </si>
  <si>
    <t>303131</t>
  </si>
  <si>
    <t>Edge Security Enhancements</t>
  </si>
  <si>
    <t>IAG - SOX Integration</t>
  </si>
  <si>
    <t>Conflict of Interest Module</t>
  </si>
  <si>
    <t>Or. Primavera Cloud Imp. Ph. 2</t>
  </si>
  <si>
    <t>Employee Text Msg Sys Imp</t>
  </si>
  <si>
    <t>Telematics 2025 - Software</t>
  </si>
  <si>
    <t>Microsoft Product Updts-ECS 21</t>
  </si>
  <si>
    <t>DDoS Protection</t>
  </si>
  <si>
    <t>Intelex Ph. 3 - Inspections</t>
  </si>
  <si>
    <t>FERC Reporting &amp; SSO Imp.</t>
  </si>
  <si>
    <t>DSM Prgrms Phase 3 Residential</t>
  </si>
  <si>
    <t>Intelex Phase 4 - OSHA</t>
  </si>
  <si>
    <t>Privilege Management Refresh</t>
  </si>
  <si>
    <t>Arcos Enhancements 2022</t>
  </si>
  <si>
    <t>Intelex Ph. 5 - Indust.Hygiene</t>
  </si>
  <si>
    <t>Drip 7 Training &amp; Prg Launch</t>
  </si>
  <si>
    <t>303134</t>
  </si>
  <si>
    <t>OATI FERC Order 676-J</t>
  </si>
  <si>
    <t>UltiPro Enhancements 2020</t>
  </si>
  <si>
    <t>DAAP Enhancements 2021</t>
  </si>
  <si>
    <t>AMI Load Disaggregation - CFT</t>
  </si>
  <si>
    <t>CXP: Features&amp;Enhancments 2021</t>
  </si>
  <si>
    <t>Outbound Call Campaign Refresh</t>
  </si>
  <si>
    <t>CXP: Features Phase 1 2022</t>
  </si>
  <si>
    <t>CXP: Features Phase 2 2022</t>
  </si>
  <si>
    <t>DAAP Expansion 2022</t>
  </si>
  <si>
    <t>UltiPro Expansion 2022</t>
  </si>
  <si>
    <t>ALN Mobile &amp; SSO</t>
  </si>
  <si>
    <t>Cloud Security Enhancements</t>
  </si>
  <si>
    <t>CXP: Features Pkg 1 2023</t>
  </si>
  <si>
    <t>June 30, 2023 Balances by Project Number for Account 303</t>
  </si>
  <si>
    <t>Columns A-H Results of PowerPlant Query "2023.06.Intangible Assets.NBV"</t>
  </si>
  <si>
    <t>Total Ending 6/30/23 Balance per ROO 12E</t>
  </si>
  <si>
    <t>Source: Natural Gas AMI Module Install Costs.</t>
  </si>
  <si>
    <t>Final Cost of Advanced Meters and Natural Gas Modules for Cust Rate Schedules in WA</t>
  </si>
  <si>
    <t>Source: Salary information for scheduling employees (FERC Account 813)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</si>
</sst>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"/>
    <numFmt numFmtId="166" formatCode="#,##0.0000;\-#,##0.0000;"/>
    <numFmt numFmtId="167" formatCode="0.0%"/>
    <numFmt numFmtId="168" formatCode="#,##0;\-#,##0;"/>
    <numFmt numFmtId="169" formatCode="0.0000%"/>
    <numFmt numFmtId="170" formatCode="&quot;$&quot;#,##0.00000"/>
    <numFmt numFmtId="171" formatCode="#,##0.000000"/>
    <numFmt numFmtId="172" formatCode="&quot;$&quot;#,##0.00"/>
    <numFmt numFmtId="173" formatCode="0.000"/>
    <numFmt numFmtId="175" formatCode="_(&quot;$&quot;* #,##0.00000_);_(&quot;$&quot;* \(#,##0.00000\);_(&quot;$&quot;* &quot;-&quot;?????_);_(@_)"/>
    <numFmt numFmtId="176" formatCode="_(&quot;$&quot;* #,##0.000000_);_(&quot;$&quot;* \(#,##0.000000\);_(&quot;$&quot;* &quot;-&quot;??????_);_(@_)"/>
    <numFmt numFmtId="177" formatCode="#,##0\ ;\(#,##0\)"/>
    <numFmt numFmtId="178" formatCode="&quot;&quot;"/>
    <numFmt numFmtId="179" formatCode="&quot;(&quot;0&quot;)&quot;"/>
    <numFmt numFmtId="180" formatCode="#,##0.00\ ;\(#,##0.00\)"/>
    <numFmt numFmtId="181" formatCode="_(* #,##0_);_(* \(#,##0\);_(* &quot;-&quot;??_);_(@_)"/>
    <numFmt numFmtId="182" formatCode="0.000%"/>
    <numFmt numFmtId="183" formatCode="m/d/yy"/>
    <numFmt numFmtId="184" formatCode="[$-409]mmmm\-yy;@"/>
    <numFmt numFmtId="185" formatCode="mmm\ d\,\ yy"/>
    <numFmt numFmtId="186" formatCode="#,##0.000"/>
    <numFmt numFmtId="187" formatCode="_(&quot;$&quot;* #,##0_);_(&quot;$&quot;* \(#,##0\);_(&quot;$&quot;* &quot;-&quot;??_);_(@_)"/>
    <numFmt numFmtId="188" formatCode="#,##0.0"/>
    <numFmt numFmtId="189" formatCode="_(* #,##0.0_);_(* \(#,##0.0\);_(* &quot;-&quot;??_);_(@_)"/>
    <numFmt numFmtId="190" formatCode="_(* #,##0.000000_);_(* \(#,##0.000000\);_(* &quot;-&quot;??_);_(@_)"/>
    <numFmt numFmtId="191" formatCode="mmm/dd/yyyy"/>
    <numFmt numFmtId="192" formatCode="00"/>
    <numFmt numFmtId="193" formatCode="#,##0.000\ ;\(#,##0.000\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name val="Arial"/>
      <family val="2"/>
    </font>
    <font>
      <i/>
      <u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u/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name val="Geneva"/>
    </font>
    <font>
      <sz val="10"/>
      <color indexed="14"/>
      <name val="Arial Narrow"/>
      <family val="2"/>
    </font>
    <font>
      <b/>
      <sz val="10"/>
      <name val="Arial Narrow"/>
      <family val="2"/>
    </font>
    <font>
      <sz val="10"/>
      <color indexed="12"/>
      <name val="Arial Narrow"/>
      <family val="2"/>
    </font>
    <font>
      <sz val="10"/>
      <color rgb="FF0000FF"/>
      <name val="Arial Narrow"/>
      <family val="2"/>
    </font>
    <font>
      <b/>
      <sz val="10"/>
      <color indexed="12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sz val="10"/>
      <color indexed="16"/>
      <name val="Arial Narrow"/>
      <family val="2"/>
    </font>
    <font>
      <b/>
      <sz val="8"/>
      <color indexed="81"/>
      <name val="Tahoma"/>
      <family val="2"/>
    </font>
    <font>
      <sz val="10"/>
      <color theme="1"/>
      <name val="Arial"/>
      <family val="2"/>
    </font>
    <font>
      <b/>
      <u/>
      <sz val="10"/>
      <name val="Times New Roman"/>
      <family val="1"/>
    </font>
    <font>
      <sz val="10"/>
      <color indexed="12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sz val="10"/>
      <color indexed="6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B050"/>
      <name val="Arial Narrow"/>
      <family val="2"/>
    </font>
    <font>
      <sz val="10"/>
      <color rgb="FF00B050"/>
      <name val="Arial"/>
      <family val="2"/>
    </font>
    <font>
      <sz val="10"/>
      <color rgb="FF00B0F0"/>
      <name val="Times New Roman"/>
      <family val="1"/>
    </font>
    <font>
      <sz val="10"/>
      <color rgb="FF00B0F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0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sz val="10"/>
      <color rgb="FF0000FF"/>
      <name val="Times New Roman"/>
      <family val="1"/>
    </font>
    <font>
      <sz val="10"/>
      <color rgb="FF00B050"/>
      <name val="Times New Roman"/>
      <family val="1"/>
    </font>
    <font>
      <sz val="10"/>
      <color rgb="FFFF00FF"/>
      <name val="Arial Narrow"/>
      <family val="2"/>
    </font>
    <font>
      <b/>
      <sz val="10"/>
      <color rgb="FF00B050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u/>
      <sz val="12"/>
      <name val="Times New Roman"/>
      <family val="1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0"/>
      <name val="Arial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2E09B7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theme="1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9">
    <xf numFmtId="0" fontId="0" fillId="0" borderId="0"/>
    <xf numFmtId="0" fontId="6" fillId="0" borderId="0"/>
    <xf numFmtId="9" fontId="27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" fontId="6" fillId="3" borderId="0" applyFont="0" applyFill="0" applyBorder="0" applyAlignment="0" applyProtection="0"/>
    <xf numFmtId="5" fontId="6" fillId="3" borderId="0" applyFont="0" applyFill="0" applyBorder="0" applyAlignment="0" applyProtection="0"/>
    <xf numFmtId="0" fontId="6" fillId="3" borderId="0" applyFont="0" applyFill="0" applyBorder="0" applyAlignment="0" applyProtection="0"/>
    <xf numFmtId="2" fontId="6" fillId="3" borderId="0" applyFont="0" applyFill="0" applyBorder="0" applyAlignment="0" applyProtection="0"/>
    <xf numFmtId="41" fontId="46" fillId="4" borderId="25">
      <alignment horizontal="left"/>
      <protection locked="0"/>
    </xf>
    <xf numFmtId="44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30" applyNumberFormat="0" applyAlignment="0" applyProtection="0"/>
    <xf numFmtId="0" fontId="57" fillId="9" borderId="31" applyNumberFormat="0" applyAlignment="0" applyProtection="0"/>
    <xf numFmtId="0" fontId="58" fillId="9" borderId="30" applyNumberFormat="0" applyAlignment="0" applyProtection="0"/>
    <xf numFmtId="0" fontId="59" fillId="0" borderId="32" applyNumberFormat="0" applyFill="0" applyAlignment="0" applyProtection="0"/>
    <xf numFmtId="0" fontId="60" fillId="10" borderId="3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64" fillId="35" borderId="0" applyNumberFormat="0" applyBorder="0" applyAlignment="0" applyProtection="0"/>
    <xf numFmtId="0" fontId="5" fillId="0" borderId="0"/>
    <xf numFmtId="0" fontId="5" fillId="11" borderId="34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34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8" fillId="0" borderId="0"/>
    <xf numFmtId="0" fontId="6" fillId="0" borderId="0"/>
    <xf numFmtId="43" fontId="6" fillId="0" borderId="0" applyFont="0" applyFill="0" applyBorder="0" applyAlignment="0" applyProtection="0"/>
  </cellStyleXfs>
  <cellXfs count="809">
    <xf numFmtId="0" fontId="0" fillId="0" borderId="0" xfId="0"/>
    <xf numFmtId="0" fontId="7" fillId="0" borderId="0" xfId="0" applyFont="1"/>
    <xf numFmtId="3" fontId="0" fillId="0" borderId="0" xfId="0" applyNumberFormat="1"/>
    <xf numFmtId="3" fontId="0" fillId="0" borderId="1" xfId="0" applyNumberFormat="1" applyBorder="1"/>
    <xf numFmtId="3" fontId="0" fillId="0" borderId="2" xfId="0" applyNumberFormat="1" applyBorder="1"/>
    <xf numFmtId="3" fontId="0" fillId="0" borderId="0" xfId="0" applyNumberFormat="1" applyBorder="1"/>
    <xf numFmtId="3" fontId="0" fillId="0" borderId="3" xfId="0" applyNumberFormat="1" applyBorder="1"/>
    <xf numFmtId="0" fontId="9" fillId="0" borderId="0" xfId="0" applyFont="1" applyProtection="1"/>
    <xf numFmtId="3" fontId="10" fillId="0" borderId="0" xfId="0" applyNumberFormat="1" applyFont="1"/>
    <xf numFmtId="3" fontId="11" fillId="0" borderId="0" xfId="0" applyNumberFormat="1" applyFont="1"/>
    <xf numFmtId="0" fontId="11" fillId="0" borderId="0" xfId="0" applyFont="1"/>
    <xf numFmtId="0" fontId="10" fillId="0" borderId="0" xfId="0" applyFont="1"/>
    <xf numFmtId="166" fontId="10" fillId="0" borderId="0" xfId="0" applyNumberFormat="1" applyFont="1"/>
    <xf numFmtId="166" fontId="6" fillId="0" borderId="2" xfId="0" applyNumberFormat="1" applyFont="1" applyBorder="1"/>
    <xf numFmtId="166" fontId="0" fillId="0" borderId="0" xfId="0" applyNumberFormat="1"/>
    <xf numFmtId="166" fontId="6" fillId="0" borderId="0" xfId="0" applyNumberFormat="1" applyFont="1"/>
    <xf numFmtId="166" fontId="0" fillId="0" borderId="2" xfId="0" applyNumberFormat="1" applyBorder="1"/>
    <xf numFmtId="0" fontId="12" fillId="0" borderId="0" xfId="0" applyFont="1"/>
    <xf numFmtId="3" fontId="0" fillId="0" borderId="4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3" fontId="0" fillId="0" borderId="0" xfId="0" applyNumberFormat="1" applyFill="1"/>
    <xf numFmtId="166" fontId="0" fillId="0" borderId="1" xfId="0" applyNumberFormat="1" applyBorder="1"/>
    <xf numFmtId="3" fontId="10" fillId="0" borderId="0" xfId="0" applyNumberFormat="1" applyFont="1" applyFill="1"/>
    <xf numFmtId="0" fontId="6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10" fontId="0" fillId="0" borderId="0" xfId="0" applyNumberFormat="1"/>
    <xf numFmtId="0" fontId="0" fillId="0" borderId="0" xfId="0" applyAlignment="1">
      <alignment horizontal="left" indent="1"/>
    </xf>
    <xf numFmtId="0" fontId="13" fillId="0" borderId="0" xfId="0" applyFont="1" applyAlignment="1">
      <alignment horizontal="left" indent="1"/>
    </xf>
    <xf numFmtId="0" fontId="14" fillId="0" borderId="0" xfId="0" applyFont="1"/>
    <xf numFmtId="10" fontId="6" fillId="0" borderId="0" xfId="0" applyNumberFormat="1" applyFont="1"/>
    <xf numFmtId="10" fontId="11" fillId="0" borderId="0" xfId="0" applyNumberFormat="1" applyFont="1"/>
    <xf numFmtId="168" fontId="0" fillId="0" borderId="0" xfId="0" applyNumberFormat="1"/>
    <xf numFmtId="0" fontId="7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/>
    <xf numFmtId="3" fontId="6" fillId="0" borderId="2" xfId="0" applyNumberFormat="1" applyFont="1" applyBorder="1"/>
    <xf numFmtId="3" fontId="6" fillId="0" borderId="0" xfId="0" applyNumberFormat="1" applyFont="1" applyBorder="1"/>
    <xf numFmtId="166" fontId="0" fillId="0" borderId="0" xfId="0" applyNumberFormat="1" applyBorder="1"/>
    <xf numFmtId="169" fontId="0" fillId="0" borderId="0" xfId="0" applyNumberFormat="1"/>
    <xf numFmtId="170" fontId="0" fillId="0" borderId="0" xfId="0" applyNumberFormat="1"/>
    <xf numFmtId="170" fontId="0" fillId="0" borderId="2" xfId="0" applyNumberFormat="1" applyBorder="1"/>
    <xf numFmtId="10" fontId="0" fillId="0" borderId="2" xfId="0" applyNumberFormat="1" applyBorder="1"/>
    <xf numFmtId="172" fontId="0" fillId="0" borderId="0" xfId="0" applyNumberFormat="1"/>
    <xf numFmtId="3" fontId="0" fillId="0" borderId="2" xfId="0" applyNumberFormat="1" applyFill="1" applyBorder="1"/>
    <xf numFmtId="0" fontId="0" fillId="0" borderId="0" xfId="0" applyFill="1"/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6" fillId="0" borderId="3" xfId="0" applyNumberFormat="1" applyFont="1" applyBorder="1"/>
    <xf numFmtId="0" fontId="7" fillId="0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 applyAlignment="1">
      <alignment horizontal="left" indent="2"/>
    </xf>
    <xf numFmtId="3" fontId="0" fillId="0" borderId="0" xfId="0" applyNumberFormat="1" applyAlignment="1">
      <alignment horizontal="center"/>
    </xf>
    <xf numFmtId="0" fontId="12" fillId="0" borderId="0" xfId="0" applyFont="1" applyAlignment="1">
      <alignment horizontal="left" indent="1"/>
    </xf>
    <xf numFmtId="3" fontId="15" fillId="0" borderId="0" xfId="0" applyNumberFormat="1" applyFont="1"/>
    <xf numFmtId="0" fontId="15" fillId="0" borderId="0" xfId="0" applyFont="1"/>
    <xf numFmtId="3" fontId="15" fillId="0" borderId="0" xfId="0" applyNumberFormat="1" applyFont="1" applyBorder="1"/>
    <xf numFmtId="3" fontId="16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/>
    <xf numFmtId="10" fontId="0" fillId="0" borderId="0" xfId="0" applyNumberFormat="1" applyBorder="1"/>
    <xf numFmtId="170" fontId="0" fillId="0" borderId="0" xfId="0" applyNumberFormat="1" applyBorder="1"/>
    <xf numFmtId="3" fontId="17" fillId="0" borderId="0" xfId="0" applyNumberFormat="1" applyFont="1" applyAlignment="1">
      <alignment horizontal="left"/>
    </xf>
    <xf numFmtId="3" fontId="17" fillId="0" borderId="0" xfId="0" applyNumberFormat="1" applyFont="1" applyBorder="1" applyAlignment="1">
      <alignment horizontal="left"/>
    </xf>
    <xf numFmtId="168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4" fontId="17" fillId="0" borderId="0" xfId="0" applyNumberFormat="1" applyFont="1" applyAlignment="1">
      <alignment horizontal="left"/>
    </xf>
    <xf numFmtId="0" fontId="7" fillId="0" borderId="0" xfId="0" applyFont="1" applyAlignment="1"/>
    <xf numFmtId="0" fontId="0" fillId="0" borderId="0" xfId="0" applyAlignment="1"/>
    <xf numFmtId="3" fontId="0" fillId="0" borderId="3" xfId="0" applyNumberFormat="1" applyFill="1" applyBorder="1"/>
    <xf numFmtId="168" fontId="0" fillId="0" borderId="0" xfId="0" applyNumberFormat="1" applyAlignment="1">
      <alignment horizontal="center"/>
    </xf>
    <xf numFmtId="165" fontId="0" fillId="0" borderId="0" xfId="0" applyNumberFormat="1" applyFill="1" applyBorder="1"/>
    <xf numFmtId="3" fontId="0" fillId="0" borderId="0" xfId="0" applyNumberFormat="1" applyFill="1" applyBorder="1"/>
    <xf numFmtId="166" fontId="10" fillId="0" borderId="0" xfId="0" applyNumberFormat="1" applyFont="1" applyFill="1"/>
    <xf numFmtId="173" fontId="0" fillId="0" borderId="0" xfId="0" applyNumberFormat="1" applyFill="1"/>
    <xf numFmtId="0" fontId="18" fillId="0" borderId="0" xfId="0" applyFont="1" applyAlignment="1" applyProtection="1">
      <alignment horizontal="left"/>
    </xf>
    <xf numFmtId="3" fontId="6" fillId="0" borderId="0" xfId="0" applyNumberFormat="1" applyFont="1" applyFill="1"/>
    <xf numFmtId="0" fontId="11" fillId="0" borderId="0" xfId="0" applyFont="1" applyAlignment="1"/>
    <xf numFmtId="164" fontId="0" fillId="0" borderId="0" xfId="0" applyNumberFormat="1"/>
    <xf numFmtId="168" fontId="0" fillId="0" borderId="0" xfId="0" applyNumberFormat="1" applyBorder="1" applyAlignment="1">
      <alignment horizontal="center"/>
    </xf>
    <xf numFmtId="0" fontId="0" fillId="0" borderId="0" xfId="0" applyBorder="1"/>
    <xf numFmtId="0" fontId="14" fillId="0" borderId="0" xfId="0" applyFont="1" applyAlignment="1"/>
    <xf numFmtId="4" fontId="7" fillId="0" borderId="0" xfId="0" applyNumberFormat="1" applyFont="1"/>
    <xf numFmtId="10" fontId="0" fillId="0" borderId="5" xfId="0" applyNumberFormat="1" applyBorder="1"/>
    <xf numFmtId="10" fontId="0" fillId="0" borderId="6" xfId="0" applyNumberFormat="1" applyBorder="1"/>
    <xf numFmtId="10" fontId="0" fillId="0" borderId="7" xfId="0" applyNumberFormat="1" applyBorder="1"/>
    <xf numFmtId="10" fontId="0" fillId="0" borderId="8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3" fontId="19" fillId="0" borderId="0" xfId="0" applyNumberFormat="1" applyFont="1"/>
    <xf numFmtId="3" fontId="6" fillId="0" borderId="2" xfId="0" applyNumberFormat="1" applyFont="1" applyFill="1" applyBorder="1"/>
    <xf numFmtId="3" fontId="7" fillId="0" borderId="0" xfId="0" applyNumberFormat="1" applyFont="1"/>
    <xf numFmtId="3" fontId="7" fillId="0" borderId="2" xfId="0" applyNumberFormat="1" applyFont="1" applyBorder="1"/>
    <xf numFmtId="10" fontId="7" fillId="0" borderId="0" xfId="0" applyNumberFormat="1" applyFont="1" applyBorder="1"/>
    <xf numFmtId="10" fontId="7" fillId="0" borderId="0" xfId="0" applyNumberFormat="1" applyFont="1"/>
    <xf numFmtId="165" fontId="0" fillId="0" borderId="0" xfId="0" applyNumberFormat="1"/>
    <xf numFmtId="0" fontId="20" fillId="0" borderId="0" xfId="0" applyFont="1" applyAlignment="1">
      <alignment horizontal="left" indent="1"/>
    </xf>
    <xf numFmtId="0" fontId="20" fillId="0" borderId="0" xfId="0" applyFont="1"/>
    <xf numFmtId="0" fontId="21" fillId="0" borderId="0" xfId="0" applyFont="1"/>
    <xf numFmtId="171" fontId="10" fillId="0" borderId="0" xfId="0" applyNumberFormat="1" applyFont="1" applyFill="1"/>
    <xf numFmtId="0" fontId="17" fillId="0" borderId="0" xfId="0" applyFont="1" applyFill="1" applyAlignment="1">
      <alignment horizontal="left"/>
    </xf>
    <xf numFmtId="166" fontId="6" fillId="0" borderId="0" xfId="0" applyNumberFormat="1" applyFont="1" applyFill="1"/>
    <xf numFmtId="3" fontId="22" fillId="0" borderId="0" xfId="0" applyNumberFormat="1" applyFont="1"/>
    <xf numFmtId="0" fontId="6" fillId="0" borderId="0" xfId="0" applyFont="1" applyAlignment="1">
      <alignment horizontal="center" wrapText="1"/>
    </xf>
    <xf numFmtId="166" fontId="6" fillId="0" borderId="0" xfId="0" applyNumberFormat="1" applyFont="1" applyBorder="1"/>
    <xf numFmtId="166" fontId="15" fillId="0" borderId="0" xfId="0" applyNumberFormat="1" applyFont="1"/>
    <xf numFmtId="167" fontId="6" fillId="0" borderId="0" xfId="0" applyNumberFormat="1" applyFont="1"/>
    <xf numFmtId="0" fontId="20" fillId="0" borderId="0" xfId="0" applyFont="1" applyAlignment="1"/>
    <xf numFmtId="166" fontId="6" fillId="0" borderId="2" xfId="0" applyNumberFormat="1" applyFont="1" applyFill="1" applyBorder="1"/>
    <xf numFmtId="168" fontId="0" fillId="0" borderId="0" xfId="0" applyNumberFormat="1" applyFill="1" applyAlignment="1">
      <alignment horizontal="center"/>
    </xf>
    <xf numFmtId="10" fontId="0" fillId="0" borderId="0" xfId="0" applyNumberFormat="1" applyFill="1"/>
    <xf numFmtId="0" fontId="10" fillId="0" borderId="0" xfId="0" applyFont="1" applyFill="1"/>
    <xf numFmtId="3" fontId="15" fillId="0" borderId="0" xfId="0" applyNumberFormat="1" applyFont="1" applyFill="1"/>
    <xf numFmtId="42" fontId="0" fillId="0" borderId="0" xfId="0" applyNumberFormat="1"/>
    <xf numFmtId="42" fontId="0" fillId="0" borderId="10" xfId="0" applyNumberFormat="1" applyBorder="1"/>
    <xf numFmtId="0" fontId="25" fillId="0" borderId="0" xfId="0" applyFont="1"/>
    <xf numFmtId="1" fontId="0" fillId="0" borderId="0" xfId="0" applyNumberFormat="1"/>
    <xf numFmtId="44" fontId="7" fillId="0" borderId="0" xfId="0" applyNumberFormat="1" applyFont="1"/>
    <xf numFmtId="175" fontId="6" fillId="0" borderId="10" xfId="0" applyNumberFormat="1" applyFont="1" applyFill="1" applyBorder="1"/>
    <xf numFmtId="176" fontId="6" fillId="0" borderId="10" xfId="0" applyNumberFormat="1" applyFont="1" applyFill="1" applyBorder="1"/>
    <xf numFmtId="42" fontId="0" fillId="0" borderId="0" xfId="0" applyNumberFormat="1" applyFill="1"/>
    <xf numFmtId="10" fontId="0" fillId="0" borderId="0" xfId="2" applyNumberFormat="1" applyFont="1"/>
    <xf numFmtId="3" fontId="10" fillId="0" borderId="0" xfId="1" applyNumberFormat="1" applyFont="1" applyFill="1"/>
    <xf numFmtId="0" fontId="15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15" fillId="0" borderId="0" xfId="0" applyFont="1" applyFill="1"/>
    <xf numFmtId="168" fontId="6" fillId="0" borderId="0" xfId="0" applyNumberFormat="1" applyFont="1" applyFill="1" applyAlignment="1">
      <alignment horizontal="center"/>
    </xf>
    <xf numFmtId="3" fontId="26" fillId="0" borderId="0" xfId="0" applyNumberFormat="1" applyFont="1" applyFill="1"/>
    <xf numFmtId="0" fontId="9" fillId="0" borderId="0" xfId="3" applyFont="1" applyProtection="1">
      <protection locked="0"/>
    </xf>
    <xf numFmtId="0" fontId="9" fillId="0" borderId="0" xfId="3" applyFont="1" applyAlignment="1" applyProtection="1">
      <alignment horizontal="center"/>
      <protection locked="0"/>
    </xf>
    <xf numFmtId="0" fontId="30" fillId="0" borderId="0" xfId="3"/>
    <xf numFmtId="0" fontId="9" fillId="0" borderId="0" xfId="3" applyFont="1" applyFill="1" applyProtection="1">
      <protection locked="0"/>
    </xf>
    <xf numFmtId="3" fontId="9" fillId="0" borderId="0" xfId="3" applyNumberFormat="1" applyFont="1" applyAlignment="1" applyProtection="1">
      <protection locked="0"/>
    </xf>
    <xf numFmtId="177" fontId="9" fillId="0" borderId="0" xfId="3" applyNumberFormat="1" applyFont="1" applyProtection="1">
      <protection locked="0"/>
    </xf>
    <xf numFmtId="177" fontId="9" fillId="0" borderId="0" xfId="3" applyNumberFormat="1" applyFont="1" applyFill="1" applyProtection="1">
      <protection locked="0"/>
    </xf>
    <xf numFmtId="0" fontId="9" fillId="0" borderId="0" xfId="3" applyFont="1" applyAlignment="1" applyProtection="1">
      <alignment horizontal="left"/>
    </xf>
    <xf numFmtId="0" fontId="9" fillId="0" borderId="0" xfId="3" applyFont="1" applyProtection="1"/>
    <xf numFmtId="0" fontId="9" fillId="0" borderId="0" xfId="3" applyFont="1" applyAlignment="1" applyProtection="1">
      <alignment horizontal="center"/>
    </xf>
    <xf numFmtId="3" fontId="9" fillId="0" borderId="0" xfId="3" applyNumberFormat="1" applyFont="1" applyAlignment="1" applyProtection="1"/>
    <xf numFmtId="3" fontId="31" fillId="0" borderId="0" xfId="3" applyNumberFormat="1" applyFont="1" applyAlignment="1" applyProtection="1"/>
    <xf numFmtId="177" fontId="32" fillId="0" borderId="0" xfId="3" applyNumberFormat="1" applyFont="1" applyProtection="1"/>
    <xf numFmtId="177" fontId="9" fillId="0" borderId="0" xfId="3" applyNumberFormat="1" applyFont="1" applyProtection="1"/>
    <xf numFmtId="177" fontId="33" fillId="0" borderId="0" xfId="3" applyNumberFormat="1" applyFont="1" applyFill="1" applyProtection="1">
      <protection locked="0"/>
    </xf>
    <xf numFmtId="10" fontId="9" fillId="0" borderId="0" xfId="4" applyNumberFormat="1" applyFont="1" applyProtection="1">
      <protection locked="0"/>
    </xf>
    <xf numFmtId="0" fontId="32" fillId="0" borderId="0" xfId="3" applyFont="1" applyAlignment="1" applyProtection="1">
      <alignment horizontal="center"/>
    </xf>
    <xf numFmtId="177" fontId="31" fillId="0" borderId="0" xfId="3" applyNumberFormat="1" applyFont="1" applyFill="1" applyProtection="1">
      <protection locked="0"/>
    </xf>
    <xf numFmtId="0" fontId="32" fillId="0" borderId="0" xfId="3" applyFont="1" applyProtection="1">
      <protection locked="0"/>
    </xf>
    <xf numFmtId="177" fontId="32" fillId="0" borderId="0" xfId="3" applyNumberFormat="1" applyFont="1" applyFill="1" applyProtection="1"/>
    <xf numFmtId="177" fontId="32" fillId="0" borderId="0" xfId="3" applyNumberFormat="1" applyFont="1" applyProtection="1">
      <protection locked="0"/>
    </xf>
    <xf numFmtId="0" fontId="32" fillId="0" borderId="0" xfId="3" applyFont="1" applyProtection="1"/>
    <xf numFmtId="177" fontId="32" fillId="0" borderId="2" xfId="3" applyNumberFormat="1" applyFont="1" applyBorder="1" applyProtection="1"/>
    <xf numFmtId="177" fontId="32" fillId="0" borderId="2" xfId="3" applyNumberFormat="1" applyFont="1" applyFill="1" applyBorder="1" applyProtection="1"/>
    <xf numFmtId="2" fontId="9" fillId="0" borderId="0" xfId="3" applyNumberFormat="1" applyFont="1" applyAlignment="1" applyProtection="1">
      <alignment horizontal="left"/>
    </xf>
    <xf numFmtId="3" fontId="9" fillId="0" borderId="0" xfId="3" quotePrefix="1" applyNumberFormat="1" applyFont="1" applyAlignment="1" applyProtection="1">
      <alignment horizontal="left"/>
    </xf>
    <xf numFmtId="177" fontId="9" fillId="0" borderId="2" xfId="3" applyNumberFormat="1" applyFont="1" applyBorder="1" applyProtection="1"/>
    <xf numFmtId="177" fontId="9" fillId="0" borderId="2" xfId="3" applyNumberFormat="1" applyFont="1" applyBorder="1" applyProtection="1">
      <protection locked="0"/>
    </xf>
    <xf numFmtId="177" fontId="9" fillId="0" borderId="2" xfId="3" applyNumberFormat="1" applyFont="1" applyFill="1" applyBorder="1" applyProtection="1">
      <protection locked="0"/>
    </xf>
    <xf numFmtId="0" fontId="32" fillId="0" borderId="0" xfId="3" applyFont="1" applyAlignment="1" applyProtection="1">
      <alignment horizontal="left"/>
    </xf>
    <xf numFmtId="177" fontId="34" fillId="0" borderId="0" xfId="3" applyNumberFormat="1" applyFont="1" applyFill="1" applyProtection="1">
      <protection locked="0"/>
    </xf>
    <xf numFmtId="3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/>
    <xf numFmtId="178" fontId="9" fillId="0" borderId="0" xfId="3" applyNumberFormat="1" applyFont="1" applyAlignment="1" applyProtection="1">
      <alignment horizontal="left"/>
    </xf>
    <xf numFmtId="179" fontId="9" fillId="0" borderId="0" xfId="3" applyNumberFormat="1" applyFont="1" applyAlignment="1" applyProtection="1">
      <alignment horizontal="center"/>
    </xf>
    <xf numFmtId="2" fontId="9" fillId="0" borderId="0" xfId="3" applyNumberFormat="1" applyFont="1" applyAlignment="1" applyProtection="1">
      <alignment horizontal="center"/>
    </xf>
    <xf numFmtId="177" fontId="9" fillId="0" borderId="0" xfId="3" applyNumberFormat="1" applyFont="1" applyFill="1" applyProtection="1"/>
    <xf numFmtId="18" fontId="9" fillId="0" borderId="0" xfId="3" applyNumberFormat="1" applyFont="1" applyProtection="1"/>
    <xf numFmtId="15" fontId="9" fillId="0" borderId="0" xfId="3" applyNumberFormat="1" applyFont="1" applyProtection="1"/>
    <xf numFmtId="15" fontId="9" fillId="0" borderId="0" xfId="3" applyNumberFormat="1" applyFont="1" applyFill="1" applyProtection="1"/>
    <xf numFmtId="177" fontId="9" fillId="0" borderId="0" xfId="3" applyNumberFormat="1" applyFont="1" applyAlignment="1" applyProtection="1">
      <alignment horizontal="right"/>
    </xf>
    <xf numFmtId="2" fontId="32" fillId="0" borderId="0" xfId="3" applyNumberFormat="1" applyFont="1" applyAlignment="1" applyProtection="1">
      <alignment horizontal="left"/>
    </xf>
    <xf numFmtId="177" fontId="32" fillId="0" borderId="2" xfId="3" applyNumberFormat="1" applyFont="1" applyFill="1" applyBorder="1" applyProtection="1">
      <protection locked="0"/>
    </xf>
    <xf numFmtId="177" fontId="35" fillId="0" borderId="0" xfId="3" applyNumberFormat="1" applyFont="1" applyProtection="1">
      <protection locked="0"/>
    </xf>
    <xf numFmtId="4" fontId="9" fillId="0" borderId="0" xfId="3" applyNumberFormat="1" applyFont="1" applyAlignment="1" applyProtection="1">
      <alignment horizontal="center"/>
    </xf>
    <xf numFmtId="0" fontId="36" fillId="0" borderId="0" xfId="3" applyFont="1" applyProtection="1"/>
    <xf numFmtId="0" fontId="30" fillId="0" borderId="0" xfId="3" applyFill="1"/>
    <xf numFmtId="10" fontId="9" fillId="0" borderId="0" xfId="4" applyNumberFormat="1" applyFont="1" applyFill="1" applyProtection="1">
      <protection locked="0"/>
    </xf>
    <xf numFmtId="1" fontId="9" fillId="0" borderId="0" xfId="3" applyNumberFormat="1" applyFont="1" applyAlignment="1" applyProtection="1">
      <alignment horizontal="left"/>
    </xf>
    <xf numFmtId="177" fontId="9" fillId="0" borderId="0" xfId="3" applyNumberFormat="1" applyFont="1" applyAlignment="1" applyProtection="1">
      <alignment horizontal="center"/>
    </xf>
    <xf numFmtId="180" fontId="9" fillId="0" borderId="0" xfId="3" applyNumberFormat="1" applyFont="1" applyAlignment="1" applyProtection="1">
      <alignment horizontal="left"/>
    </xf>
    <xf numFmtId="3" fontId="9" fillId="0" borderId="0" xfId="3" applyNumberFormat="1" applyFont="1" applyProtection="1">
      <protection locked="0"/>
    </xf>
    <xf numFmtId="177" fontId="32" fillId="0" borderId="0" xfId="3" applyNumberFormat="1" applyFont="1" applyBorder="1" applyProtection="1"/>
    <xf numFmtId="177" fontId="32" fillId="0" borderId="0" xfId="3" applyNumberFormat="1" applyFont="1" applyFill="1" applyBorder="1" applyProtection="1"/>
    <xf numFmtId="177" fontId="9" fillId="0" borderId="0" xfId="3" applyNumberFormat="1" applyFont="1" applyBorder="1" applyProtection="1"/>
    <xf numFmtId="177" fontId="9" fillId="0" borderId="0" xfId="3" applyNumberFormat="1" applyFont="1" applyFill="1" applyBorder="1" applyProtection="1"/>
    <xf numFmtId="177" fontId="37" fillId="0" borderId="0" xfId="3" applyNumberFormat="1" applyFont="1" applyProtection="1">
      <protection locked="0"/>
    </xf>
    <xf numFmtId="3" fontId="9" fillId="0" borderId="0" xfId="3" applyNumberFormat="1" applyFont="1" applyProtection="1"/>
    <xf numFmtId="3" fontId="32" fillId="0" borderId="0" xfId="3" applyNumberFormat="1" applyFont="1" applyProtection="1"/>
    <xf numFmtId="0" fontId="9" fillId="0" borderId="0" xfId="3" applyFont="1" applyFill="1" applyProtection="1"/>
    <xf numFmtId="177" fontId="32" fillId="0" borderId="2" xfId="3" applyNumberFormat="1" applyFont="1" applyBorder="1" applyProtection="1">
      <protection locked="0"/>
    </xf>
    <xf numFmtId="0" fontId="9" fillId="0" borderId="0" xfId="3" applyFont="1" applyFill="1" applyAlignment="1" applyProtection="1">
      <alignment horizontal="center"/>
      <protection locked="0"/>
    </xf>
    <xf numFmtId="178" fontId="9" fillId="0" borderId="0" xfId="3" applyNumberFormat="1" applyFont="1" applyAlignment="1" applyProtection="1">
      <alignment horizontal="center"/>
      <protection locked="0"/>
    </xf>
    <xf numFmtId="2" fontId="9" fillId="0" borderId="0" xfId="5" applyNumberFormat="1" applyFont="1" applyAlignment="1" applyProtection="1">
      <alignment horizontal="center" vertical="center"/>
    </xf>
    <xf numFmtId="0" fontId="9" fillId="0" borderId="0" xfId="3" applyFont="1" applyBorder="1" applyProtection="1">
      <protection locked="0"/>
    </xf>
    <xf numFmtId="0" fontId="9" fillId="0" borderId="0" xfId="3" applyFont="1" applyFill="1" applyAlignment="1" applyProtection="1">
      <alignment horizontal="right"/>
      <protection locked="0"/>
    </xf>
    <xf numFmtId="0" fontId="6" fillId="0" borderId="0" xfId="1"/>
    <xf numFmtId="10" fontId="6" fillId="0" borderId="0" xfId="1" applyNumberFormat="1"/>
    <xf numFmtId="0" fontId="6" fillId="0" borderId="0" xfId="1" applyAlignment="1">
      <alignment horizontal="center"/>
    </xf>
    <xf numFmtId="0" fontId="6" fillId="0" borderId="0" xfId="1" applyFont="1"/>
    <xf numFmtId="0" fontId="6" fillId="0" borderId="0" xfId="1" applyFill="1"/>
    <xf numFmtId="0" fontId="6" fillId="0" borderId="0" xfId="1" applyBorder="1"/>
    <xf numFmtId="0" fontId="7" fillId="0" borderId="0" xfId="1" applyFont="1"/>
    <xf numFmtId="0" fontId="6" fillId="0" borderId="0" xfId="1" applyAlignment="1">
      <alignment horizontal="right"/>
    </xf>
    <xf numFmtId="0" fontId="6" fillId="0" borderId="0" xfId="1" applyAlignment="1">
      <alignment horizontal="left"/>
    </xf>
    <xf numFmtId="7" fontId="6" fillId="0" borderId="0" xfId="1" applyNumberFormat="1"/>
    <xf numFmtId="0" fontId="23" fillId="0" borderId="0" xfId="1" applyFont="1"/>
    <xf numFmtId="7" fontId="6" fillId="0" borderId="0" xfId="1" applyNumberFormat="1" applyFill="1"/>
    <xf numFmtId="7" fontId="7" fillId="0" borderId="0" xfId="1" applyNumberFormat="1" applyFont="1" applyFill="1"/>
    <xf numFmtId="0" fontId="6" fillId="0" borderId="2" xfId="1" applyFill="1" applyBorder="1"/>
    <xf numFmtId="0" fontId="6" fillId="0" borderId="2" xfId="1" applyFill="1" applyBorder="1" applyAlignment="1">
      <alignment horizontal="center"/>
    </xf>
    <xf numFmtId="0" fontId="18" fillId="0" borderId="0" xfId="11"/>
    <xf numFmtId="0" fontId="18" fillId="0" borderId="0" xfId="11" applyAlignment="1">
      <alignment horizontal="center"/>
    </xf>
    <xf numFmtId="0" fontId="18" fillId="0" borderId="0" xfId="11" applyFill="1"/>
    <xf numFmtId="0" fontId="18" fillId="0" borderId="0" xfId="11" applyFill="1" applyAlignment="1">
      <alignment horizontal="center"/>
    </xf>
    <xf numFmtId="0" fontId="18" fillId="0" borderId="11" xfId="11" applyBorder="1"/>
    <xf numFmtId="0" fontId="18" fillId="0" borderId="10" xfId="11" applyBorder="1"/>
    <xf numFmtId="0" fontId="18" fillId="0" borderId="9" xfId="11" applyBorder="1"/>
    <xf numFmtId="0" fontId="18" fillId="0" borderId="8" xfId="11" applyBorder="1"/>
    <xf numFmtId="0" fontId="18" fillId="0" borderId="0" xfId="11" applyBorder="1"/>
    <xf numFmtId="0" fontId="18" fillId="0" borderId="7" xfId="11" applyBorder="1"/>
    <xf numFmtId="0" fontId="41" fillId="0" borderId="8" xfId="11" quotePrefix="1" applyFont="1" applyBorder="1" applyAlignment="1">
      <alignment horizontal="right"/>
    </xf>
    <xf numFmtId="0" fontId="41" fillId="0" borderId="0" xfId="11" quotePrefix="1" applyFont="1" applyBorder="1" applyAlignment="1">
      <alignment horizontal="right"/>
    </xf>
    <xf numFmtId="0" fontId="18" fillId="0" borderId="6" xfId="11" applyBorder="1"/>
    <xf numFmtId="0" fontId="18" fillId="0" borderId="2" xfId="11" applyBorder="1"/>
    <xf numFmtId="0" fontId="41" fillId="0" borderId="5" xfId="11" applyFont="1" applyBorder="1"/>
    <xf numFmtId="0" fontId="43" fillId="0" borderId="0" xfId="11" applyFont="1" applyAlignment="1">
      <alignment horizontal="left"/>
    </xf>
    <xf numFmtId="0" fontId="43" fillId="0" borderId="0" xfId="11" applyFont="1" applyAlignment="1">
      <alignment horizontal="right"/>
    </xf>
    <xf numFmtId="0" fontId="43" fillId="0" borderId="0" xfId="11" applyFont="1"/>
    <xf numFmtId="181" fontId="0" fillId="0" borderId="0" xfId="13" applyNumberFormat="1" applyFont="1"/>
    <xf numFmtId="43" fontId="18" fillId="0" borderId="0" xfId="11" applyNumberFormat="1"/>
    <xf numFmtId="43" fontId="44" fillId="0" borderId="0" xfId="13" applyFont="1"/>
    <xf numFmtId="181" fontId="42" fillId="0" borderId="0" xfId="13" applyNumberFormat="1" applyFont="1" applyFill="1"/>
    <xf numFmtId="0" fontId="44" fillId="0" borderId="0" xfId="11" applyFont="1"/>
    <xf numFmtId="181" fontId="18" fillId="0" borderId="0" xfId="13" applyNumberFormat="1" applyFont="1"/>
    <xf numFmtId="0" fontId="44" fillId="0" borderId="0" xfId="11" quotePrefix="1" applyFont="1" applyAlignment="1">
      <alignment horizontal="left"/>
    </xf>
    <xf numFmtId="4" fontId="44" fillId="0" borderId="0" xfId="11" applyNumberFormat="1" applyFont="1"/>
    <xf numFmtId="0" fontId="18" fillId="0" borderId="0" xfId="11" applyAlignment="1">
      <alignment horizontal="right"/>
    </xf>
    <xf numFmtId="0" fontId="18" fillId="0" borderId="0" xfId="11" applyAlignment="1">
      <alignment horizontal="left"/>
    </xf>
    <xf numFmtId="0" fontId="18" fillId="0" borderId="0" xfId="11" quotePrefix="1" applyAlignment="1">
      <alignment horizontal="left"/>
    </xf>
    <xf numFmtId="172" fontId="0" fillId="0" borderId="0" xfId="12" applyNumberFormat="1" applyFont="1"/>
    <xf numFmtId="43" fontId="18" fillId="0" borderId="0" xfId="13"/>
    <xf numFmtId="181" fontId="18" fillId="0" borderId="0" xfId="13" applyNumberFormat="1"/>
    <xf numFmtId="43" fontId="18" fillId="0" borderId="0" xfId="13" applyBorder="1"/>
    <xf numFmtId="181" fontId="18" fillId="0" borderId="0" xfId="13" applyNumberFormat="1" applyFont="1" applyBorder="1"/>
    <xf numFmtId="0" fontId="18" fillId="0" borderId="0" xfId="11" applyFill="1" applyBorder="1"/>
    <xf numFmtId="181" fontId="18" fillId="0" borderId="2" xfId="11" applyNumberFormat="1" applyBorder="1"/>
    <xf numFmtId="181" fontId="0" fillId="0" borderId="2" xfId="13" applyNumberFormat="1" applyFont="1" applyBorder="1"/>
    <xf numFmtId="10" fontId="44" fillId="0" borderId="0" xfId="11" applyNumberFormat="1" applyFont="1"/>
    <xf numFmtId="181" fontId="18" fillId="0" borderId="0" xfId="11" applyNumberFormat="1" applyBorder="1"/>
    <xf numFmtId="182" fontId="0" fillId="0" borderId="0" xfId="14" applyNumberFormat="1" applyFont="1" applyBorder="1"/>
    <xf numFmtId="9" fontId="18" fillId="0" borderId="0" xfId="11" applyNumberFormat="1"/>
    <xf numFmtId="181" fontId="0" fillId="0" borderId="0" xfId="13" applyNumberFormat="1" applyFont="1" applyBorder="1"/>
    <xf numFmtId="0" fontId="18" fillId="0" borderId="0" xfId="11" applyBorder="1" applyAlignment="1">
      <alignment horizontal="right"/>
    </xf>
    <xf numFmtId="0" fontId="18" fillId="0" borderId="0" xfId="11" applyFont="1" applyBorder="1"/>
    <xf numFmtId="0" fontId="6" fillId="0" borderId="0" xfId="1" applyAlignment="1"/>
    <xf numFmtId="3" fontId="6" fillId="0" borderId="0" xfId="1" applyNumberFormat="1" applyFill="1"/>
    <xf numFmtId="3" fontId="6" fillId="0" borderId="0" xfId="1" applyNumberFormat="1"/>
    <xf numFmtId="0" fontId="45" fillId="0" borderId="0" xfId="1" applyFont="1"/>
    <xf numFmtId="3" fontId="6" fillId="0" borderId="0" xfId="1" applyNumberFormat="1" applyFill="1" applyBorder="1"/>
    <xf numFmtId="3" fontId="10" fillId="0" borderId="0" xfId="1" applyNumberFormat="1" applyFont="1" applyFill="1" applyBorder="1"/>
    <xf numFmtId="183" fontId="6" fillId="0" borderId="0" xfId="1" applyNumberFormat="1" applyFill="1" applyBorder="1"/>
    <xf numFmtId="165" fontId="6" fillId="0" borderId="0" xfId="1" applyNumberFormat="1" applyFill="1" applyBorder="1"/>
    <xf numFmtId="0" fontId="7" fillId="0" borderId="0" xfId="1" applyFont="1" applyAlignment="1">
      <alignment horizontal="right"/>
    </xf>
    <xf numFmtId="183" fontId="7" fillId="0" borderId="0" xfId="1" applyNumberFormat="1" applyFont="1"/>
    <xf numFmtId="165" fontId="6" fillId="0" borderId="0" xfId="1" applyNumberFormat="1"/>
    <xf numFmtId="0" fontId="29" fillId="0" borderId="0" xfId="1" applyFont="1"/>
    <xf numFmtId="0" fontId="6" fillId="0" borderId="2" xfId="1" applyBorder="1"/>
    <xf numFmtId="3" fontId="26" fillId="0" borderId="0" xfId="1" applyNumberFormat="1" applyFont="1" applyFill="1"/>
    <xf numFmtId="183" fontId="10" fillId="0" borderId="0" xfId="1" applyNumberFormat="1" applyFont="1" applyFill="1"/>
    <xf numFmtId="0" fontId="14" fillId="0" borderId="0" xfId="1" applyFont="1" applyAlignment="1">
      <alignment horizontal="right"/>
    </xf>
    <xf numFmtId="3" fontId="10" fillId="0" borderId="0" xfId="1" applyNumberFormat="1" applyFont="1"/>
    <xf numFmtId="0" fontId="7" fillId="0" borderId="0" xfId="1" quotePrefix="1" applyFont="1" applyAlignment="1"/>
    <xf numFmtId="3" fontId="6" fillId="0" borderId="22" xfId="1" applyNumberFormat="1" applyFill="1" applyBorder="1"/>
    <xf numFmtId="184" fontId="6" fillId="0" borderId="24" xfId="1" applyNumberFormat="1" applyBorder="1"/>
    <xf numFmtId="10" fontId="6" fillId="0" borderId="0" xfId="1" applyNumberFormat="1" applyBorder="1"/>
    <xf numFmtId="183" fontId="6" fillId="0" borderId="0" xfId="1" applyNumberFormat="1"/>
    <xf numFmtId="3" fontId="6" fillId="0" borderId="19" xfId="1" applyNumberFormat="1" applyFill="1" applyBorder="1"/>
    <xf numFmtId="0" fontId="6" fillId="0" borderId="20" xfId="1" applyFill="1" applyBorder="1"/>
    <xf numFmtId="3" fontId="6" fillId="0" borderId="21" xfId="1" applyNumberFormat="1" applyBorder="1"/>
    <xf numFmtId="3" fontId="6" fillId="0" borderId="2" xfId="1" applyNumberFormat="1" applyBorder="1"/>
    <xf numFmtId="10" fontId="6" fillId="0" borderId="2" xfId="1" applyNumberFormat="1" applyBorder="1"/>
    <xf numFmtId="14" fontId="6" fillId="0" borderId="0" xfId="1" applyNumberFormat="1"/>
    <xf numFmtId="168" fontId="6" fillId="0" borderId="0" xfId="1" applyNumberFormat="1" applyFill="1"/>
    <xf numFmtId="3" fontId="6" fillId="0" borderId="3" xfId="1" applyNumberFormat="1" applyFill="1" applyBorder="1"/>
    <xf numFmtId="3" fontId="10" fillId="0" borderId="0" xfId="1" applyNumberFormat="1" applyFont="1" applyAlignment="1">
      <alignment horizontal="center"/>
    </xf>
    <xf numFmtId="0" fontId="6" fillId="0" borderId="0" xfId="1" applyAlignment="1">
      <alignment horizontal="left" indent="1"/>
    </xf>
    <xf numFmtId="3" fontId="6" fillId="0" borderId="2" xfId="1" applyNumberFormat="1" applyFill="1" applyBorder="1"/>
    <xf numFmtId="3" fontId="6" fillId="0" borderId="0" xfId="1" applyNumberFormat="1" applyFont="1" applyFill="1"/>
    <xf numFmtId="3" fontId="6" fillId="0" borderId="0" xfId="1" applyNumberFormat="1" applyFont="1"/>
    <xf numFmtId="0" fontId="14" fillId="0" borderId="0" xfId="1" applyFont="1"/>
    <xf numFmtId="3" fontId="6" fillId="0" borderId="2" xfId="1" applyNumberFormat="1" applyFont="1" applyFill="1" applyBorder="1"/>
    <xf numFmtId="3" fontId="6" fillId="0" borderId="2" xfId="1" applyNumberFormat="1" applyFont="1" applyBorder="1"/>
    <xf numFmtId="0" fontId="7" fillId="0" borderId="0" xfId="1" quotePrefix="1" applyFont="1" applyFill="1" applyAlignment="1">
      <alignment horizontal="center"/>
    </xf>
    <xf numFmtId="0" fontId="7" fillId="0" borderId="0" xfId="1" applyFont="1" applyAlignment="1"/>
    <xf numFmtId="3" fontId="6" fillId="0" borderId="1" xfId="1" applyNumberFormat="1" applyFont="1" applyFill="1" applyBorder="1"/>
    <xf numFmtId="0" fontId="6" fillId="0" borderId="0" xfId="1" applyFont="1" applyAlignment="1">
      <alignment horizontal="left" indent="1"/>
    </xf>
    <xf numFmtId="0" fontId="10" fillId="0" borderId="0" xfId="1" applyFont="1" applyAlignment="1">
      <alignment horizontal="center"/>
    </xf>
    <xf numFmtId="0" fontId="10" fillId="0" borderId="0" xfId="1" applyFont="1" applyFill="1" applyAlignment="1">
      <alignment horizontal="center"/>
    </xf>
    <xf numFmtId="0" fontId="6" fillId="0" borderId="0" xfId="1" applyFont="1" applyFill="1" applyAlignment="1">
      <alignment horizontal="left" indent="1"/>
    </xf>
    <xf numFmtId="0" fontId="6" fillId="0" borderId="23" xfId="1" applyFill="1" applyBorder="1"/>
    <xf numFmtId="185" fontId="9" fillId="0" borderId="23" xfId="1" applyNumberFormat="1" applyFont="1" applyFill="1" applyBorder="1" applyAlignment="1">
      <alignment horizontal="center"/>
    </xf>
    <xf numFmtId="185" fontId="9" fillId="0" borderId="23" xfId="1" applyNumberFormat="1" applyFont="1" applyBorder="1"/>
    <xf numFmtId="0" fontId="7" fillId="0" borderId="23" xfId="1" applyFont="1" applyBorder="1" applyAlignment="1">
      <alignment horizontal="center"/>
    </xf>
    <xf numFmtId="0" fontId="6" fillId="0" borderId="0" xfId="1" applyFill="1" applyAlignment="1">
      <alignment horizontal="centerContinuous"/>
    </xf>
    <xf numFmtId="0" fontId="22" fillId="0" borderId="0" xfId="1" quotePrefix="1" applyFont="1" applyFill="1" applyAlignment="1">
      <alignment horizontal="centerContinuous"/>
    </xf>
    <xf numFmtId="181" fontId="6" fillId="0" borderId="0" xfId="1" applyNumberFormat="1"/>
    <xf numFmtId="181" fontId="6" fillId="0" borderId="0" xfId="1" applyNumberFormat="1" applyBorder="1"/>
    <xf numFmtId="3" fontId="6" fillId="0" borderId="0" xfId="1" applyNumberFormat="1" applyBorder="1"/>
    <xf numFmtId="181" fontId="6" fillId="0" borderId="0" xfId="10" applyNumberFormat="1" applyBorder="1"/>
    <xf numFmtId="3" fontId="6" fillId="0" borderId="2" xfId="1" applyNumberFormat="1" applyBorder="1" applyAlignment="1"/>
    <xf numFmtId="181" fontId="6" fillId="0" borderId="2" xfId="10" applyNumberFormat="1" applyFont="1" applyBorder="1"/>
    <xf numFmtId="3" fontId="6" fillId="0" borderId="0" xfId="1" applyNumberFormat="1" applyAlignment="1"/>
    <xf numFmtId="181" fontId="6" fillId="0" borderId="2" xfId="1" applyNumberFormat="1" applyBorder="1"/>
    <xf numFmtId="3" fontId="6" fillId="0" borderId="0" xfId="1" applyNumberFormat="1" applyAlignment="1">
      <alignment horizontal="right"/>
    </xf>
    <xf numFmtId="0" fontId="14" fillId="0" borderId="0" xfId="1" applyFont="1" applyAlignment="1"/>
    <xf numFmtId="3" fontId="6" fillId="0" borderId="7" xfId="1" applyNumberFormat="1" applyFont="1" applyBorder="1"/>
    <xf numFmtId="0" fontId="6" fillId="0" borderId="8" xfId="1" applyBorder="1"/>
    <xf numFmtId="0" fontId="6" fillId="0" borderId="7" xfId="1" applyBorder="1"/>
    <xf numFmtId="0" fontId="6" fillId="0" borderId="7" xfId="1" applyBorder="1" applyAlignment="1">
      <alignment horizontal="center"/>
    </xf>
    <xf numFmtId="0" fontId="6" fillId="0" borderId="6" xfId="1" applyBorder="1"/>
    <xf numFmtId="0" fontId="6" fillId="0" borderId="5" xfId="1" applyBorder="1"/>
    <xf numFmtId="0" fontId="25" fillId="0" borderId="0" xfId="1" applyFont="1"/>
    <xf numFmtId="183" fontId="10" fillId="0" borderId="0" xfId="1" applyNumberFormat="1" applyFont="1" applyFill="1" applyAlignment="1">
      <alignment horizontal="center"/>
    </xf>
    <xf numFmtId="3" fontId="26" fillId="0" borderId="0" xfId="1" applyNumberFormat="1" applyFont="1" applyBorder="1"/>
    <xf numFmtId="0" fontId="6" fillId="0" borderId="11" xfId="1" applyBorder="1"/>
    <xf numFmtId="0" fontId="6" fillId="0" borderId="10" xfId="1" applyBorder="1"/>
    <xf numFmtId="0" fontId="6" fillId="0" borderId="9" xfId="1" applyBorder="1"/>
    <xf numFmtId="10" fontId="7" fillId="0" borderId="8" xfId="6" applyNumberFormat="1" applyFont="1" applyBorder="1"/>
    <xf numFmtId="3" fontId="10" fillId="2" borderId="0" xfId="10" applyNumberFormat="1" applyFont="1" applyFill="1" applyBorder="1"/>
    <xf numFmtId="3" fontId="10" fillId="2" borderId="0" xfId="1" applyNumberFormat="1" applyFont="1" applyFill="1" applyBorder="1"/>
    <xf numFmtId="0" fontId="14" fillId="0" borderId="8" xfId="1" applyFont="1" applyBorder="1" applyAlignment="1">
      <alignment horizontal="right"/>
    </xf>
    <xf numFmtId="0" fontId="14" fillId="0" borderId="0" xfId="1" applyFont="1" applyBorder="1" applyAlignment="1">
      <alignment horizontal="right"/>
    </xf>
    <xf numFmtId="0" fontId="6" fillId="0" borderId="2" xfId="1" applyBorder="1" applyAlignment="1">
      <alignment horizontal="center"/>
    </xf>
    <xf numFmtId="10" fontId="0" fillId="0" borderId="0" xfId="6" applyNumberFormat="1" applyFont="1"/>
    <xf numFmtId="3" fontId="6" fillId="0" borderId="8" xfId="1" applyNumberFormat="1" applyBorder="1"/>
    <xf numFmtId="3" fontId="6" fillId="0" borderId="7" xfId="1" applyNumberFormat="1" applyBorder="1"/>
    <xf numFmtId="10" fontId="0" fillId="0" borderId="2" xfId="6" applyNumberFormat="1" applyFont="1" applyBorder="1"/>
    <xf numFmtId="3" fontId="6" fillId="0" borderId="5" xfId="1" applyNumberFormat="1" applyBorder="1"/>
    <xf numFmtId="3" fontId="6" fillId="0" borderId="6" xfId="1" applyNumberFormat="1" applyBorder="1"/>
    <xf numFmtId="3" fontId="0" fillId="0" borderId="8" xfId="10" applyNumberFormat="1" applyFont="1" applyBorder="1"/>
    <xf numFmtId="3" fontId="0" fillId="0" borderId="0" xfId="10" applyNumberFormat="1" applyFont="1"/>
    <xf numFmtId="3" fontId="0" fillId="0" borderId="7" xfId="10" applyNumberFormat="1" applyFont="1" applyBorder="1"/>
    <xf numFmtId="3" fontId="7" fillId="0" borderId="7" xfId="1" applyNumberFormat="1" applyFont="1" applyBorder="1"/>
    <xf numFmtId="10" fontId="0" fillId="0" borderId="1" xfId="6" applyNumberFormat="1" applyFont="1" applyBorder="1"/>
    <xf numFmtId="3" fontId="6" fillId="0" borderId="12" xfId="1" applyNumberFormat="1" applyBorder="1"/>
    <xf numFmtId="3" fontId="6" fillId="0" borderId="13" xfId="1" applyNumberFormat="1" applyBorder="1"/>
    <xf numFmtId="3" fontId="6" fillId="0" borderId="1" xfId="1" applyNumberFormat="1" applyBorder="1"/>
    <xf numFmtId="14" fontId="6" fillId="0" borderId="8" xfId="1" applyNumberFormat="1" applyBorder="1"/>
    <xf numFmtId="14" fontId="6" fillId="0" borderId="7" xfId="1" applyNumberFormat="1" applyBorder="1"/>
    <xf numFmtId="3" fontId="6" fillId="0" borderId="0" xfId="10" applyNumberFormat="1" applyFont="1" applyFill="1" applyBorder="1"/>
    <xf numFmtId="3" fontId="6" fillId="0" borderId="0" xfId="1" applyNumberFormat="1" applyFont="1" applyFill="1" applyBorder="1"/>
    <xf numFmtId="183" fontId="6" fillId="0" borderId="8" xfId="1" applyNumberFormat="1" applyBorder="1"/>
    <xf numFmtId="183" fontId="6" fillId="0" borderId="7" xfId="1" applyNumberFormat="1" applyBorder="1"/>
    <xf numFmtId="0" fontId="7" fillId="0" borderId="8" xfId="1" applyFont="1" applyBorder="1" applyAlignment="1">
      <alignment horizontal="centerContinuous"/>
    </xf>
    <xf numFmtId="0" fontId="7" fillId="0" borderId="0" xfId="1" applyFont="1" applyAlignment="1">
      <alignment horizontal="centerContinuous"/>
    </xf>
    <xf numFmtId="0" fontId="45" fillId="0" borderId="0" xfId="1" applyFont="1" applyAlignment="1">
      <alignment horizontal="centerContinuous"/>
    </xf>
    <xf numFmtId="0" fontId="29" fillId="0" borderId="9" xfId="1" applyFont="1" applyBorder="1"/>
    <xf numFmtId="0" fontId="29" fillId="0" borderId="10" xfId="1" applyFont="1" applyBorder="1"/>
    <xf numFmtId="0" fontId="29" fillId="0" borderId="11" xfId="1" applyFont="1" applyBorder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indent="1"/>
    </xf>
    <xf numFmtId="3" fontId="66" fillId="0" borderId="0" xfId="0" applyNumberFormat="1" applyFont="1"/>
    <xf numFmtId="10" fontId="65" fillId="0" borderId="0" xfId="4" applyNumberFormat="1" applyFont="1" applyFill="1" applyProtection="1">
      <protection locked="0"/>
    </xf>
    <xf numFmtId="166" fontId="66" fillId="0" borderId="0" xfId="0" applyNumberFormat="1" applyFont="1" applyFill="1"/>
    <xf numFmtId="0" fontId="6" fillId="0" borderId="0" xfId="1" applyFont="1" applyFill="1"/>
    <xf numFmtId="3" fontId="66" fillId="0" borderId="0" xfId="0" applyNumberFormat="1" applyFont="1" applyFill="1"/>
    <xf numFmtId="43" fontId="66" fillId="0" borderId="0" xfId="0" applyNumberFormat="1" applyFont="1" applyFill="1"/>
    <xf numFmtId="0" fontId="66" fillId="0" borderId="0" xfId="0" applyFont="1" applyFill="1"/>
    <xf numFmtId="43" fontId="6" fillId="0" borderId="0" xfId="21" applyFont="1"/>
    <xf numFmtId="166" fontId="15" fillId="0" borderId="0" xfId="0" applyNumberFormat="1" applyFont="1" applyFill="1"/>
    <xf numFmtId="0" fontId="6" fillId="0" borderId="6" xfId="1" applyFont="1" applyBorder="1"/>
    <xf numFmtId="0" fontId="6" fillId="0" borderId="5" xfId="1" applyFont="1" applyBorder="1"/>
    <xf numFmtId="3" fontId="6" fillId="0" borderId="0" xfId="1" applyNumberFormat="1" applyFont="1" applyBorder="1"/>
    <xf numFmtId="0" fontId="6" fillId="0" borderId="7" xfId="1" applyFont="1" applyBorder="1"/>
    <xf numFmtId="0" fontId="6" fillId="0" borderId="2" xfId="1" applyFont="1" applyBorder="1"/>
    <xf numFmtId="10" fontId="6" fillId="0" borderId="0" xfId="2" applyNumberFormat="1" applyFont="1" applyFill="1"/>
    <xf numFmtId="181" fontId="6" fillId="0" borderId="0" xfId="21" applyNumberFormat="1" applyFont="1" applyFill="1"/>
    <xf numFmtId="3" fontId="6" fillId="0" borderId="3" xfId="1" applyNumberFormat="1" applyFont="1" applyFill="1" applyBorder="1"/>
    <xf numFmtId="0" fontId="26" fillId="0" borderId="0" xfId="1" applyFont="1" applyAlignment="1">
      <alignment horizontal="center"/>
    </xf>
    <xf numFmtId="181" fontId="6" fillId="0" borderId="0" xfId="64" applyNumberFormat="1" applyFont="1" applyFill="1"/>
    <xf numFmtId="3" fontId="54" fillId="6" borderId="0" xfId="28" applyNumberFormat="1"/>
    <xf numFmtId="3" fontId="53" fillId="5" borderId="0" xfId="27" applyNumberFormat="1"/>
    <xf numFmtId="0" fontId="53" fillId="5" borderId="0" xfId="27"/>
    <xf numFmtId="177" fontId="53" fillId="5" borderId="0" xfId="27" applyNumberFormat="1" applyProtection="1">
      <protection locked="0"/>
    </xf>
    <xf numFmtId="181" fontId="0" fillId="0" borderId="0" xfId="13" applyNumberFormat="1" applyFont="1" applyFill="1"/>
    <xf numFmtId="0" fontId="6" fillId="0" borderId="0" xfId="1" applyFont="1" applyAlignment="1">
      <alignment horizontal="left"/>
    </xf>
    <xf numFmtId="181" fontId="67" fillId="0" borderId="0" xfId="13" applyNumberFormat="1" applyFont="1" applyFill="1"/>
    <xf numFmtId="181" fontId="18" fillId="0" borderId="0" xfId="11" applyNumberFormat="1"/>
    <xf numFmtId="175" fontId="68" fillId="0" borderId="10" xfId="0" applyNumberFormat="1" applyFont="1" applyFill="1" applyBorder="1"/>
    <xf numFmtId="176" fontId="68" fillId="0" borderId="10" xfId="0" applyNumberFormat="1" applyFont="1" applyFill="1" applyBorder="1"/>
    <xf numFmtId="177" fontId="33" fillId="0" borderId="0" xfId="3" applyNumberFormat="1" applyFont="1" applyFill="1" applyProtection="1"/>
    <xf numFmtId="2" fontId="9" fillId="0" borderId="0" xfId="3" applyNumberFormat="1" applyFont="1" applyFill="1" applyAlignment="1" applyProtection="1">
      <alignment horizontal="left"/>
    </xf>
    <xf numFmtId="0" fontId="29" fillId="0" borderId="0" xfId="0" applyFont="1"/>
    <xf numFmtId="3" fontId="29" fillId="0" borderId="0" xfId="0" applyNumberFormat="1" applyFont="1"/>
    <xf numFmtId="167" fontId="0" fillId="0" borderId="0" xfId="2" applyNumberFormat="1" applyFont="1"/>
    <xf numFmtId="0" fontId="69" fillId="0" borderId="0" xfId="0" applyFont="1"/>
    <xf numFmtId="0" fontId="69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0" fontId="71" fillId="0" borderId="0" xfId="0" applyFont="1" applyProtection="1"/>
    <xf numFmtId="0" fontId="29" fillId="0" borderId="0" xfId="0" quotePrefix="1" applyFont="1" applyAlignment="1">
      <alignment horizontal="left" indent="1"/>
    </xf>
    <xf numFmtId="0" fontId="6" fillId="0" borderId="0" xfId="82"/>
    <xf numFmtId="3" fontId="6" fillId="0" borderId="0" xfId="82" applyNumberFormat="1"/>
    <xf numFmtId="44" fontId="7" fillId="0" borderId="0" xfId="82" applyNumberFormat="1" applyFont="1"/>
    <xf numFmtId="44" fontId="6" fillId="0" borderId="0" xfId="83" applyFont="1"/>
    <xf numFmtId="0" fontId="7" fillId="0" borderId="0" xfId="0" applyFont="1" applyAlignment="1">
      <alignment horizontal="center"/>
    </xf>
    <xf numFmtId="43" fontId="0" fillId="0" borderId="0" xfId="21" applyFont="1"/>
    <xf numFmtId="0" fontId="0" fillId="0" borderId="5" xfId="0" applyBorder="1"/>
    <xf numFmtId="0" fontId="0" fillId="0" borderId="2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0" borderId="0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3" fontId="0" fillId="0" borderId="8" xfId="0" applyNumberFormat="1" applyBorder="1"/>
    <xf numFmtId="10" fontId="0" fillId="0" borderId="0" xfId="2" applyNumberFormat="1" applyFont="1" applyBorder="1"/>
    <xf numFmtId="10" fontId="0" fillId="0" borderId="8" xfId="2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0" xfId="0" applyFont="1" applyAlignment="1">
      <alignment horizontal="left" indent="1"/>
    </xf>
    <xf numFmtId="181" fontId="0" fillId="0" borderId="0" xfId="21" applyNumberFormat="1" applyFont="1" applyBorder="1"/>
    <xf numFmtId="181" fontId="0" fillId="0" borderId="8" xfId="21" applyNumberFormat="1" applyFont="1" applyBorder="1"/>
    <xf numFmtId="3" fontId="22" fillId="0" borderId="0" xfId="0" applyNumberFormat="1" applyFont="1" applyFill="1"/>
    <xf numFmtId="3" fontId="7" fillId="0" borderId="0" xfId="0" applyNumberFormat="1" applyFont="1" applyFill="1"/>
    <xf numFmtId="10" fontId="7" fillId="0" borderId="0" xfId="0" applyNumberFormat="1" applyFont="1" applyFill="1"/>
    <xf numFmtId="4" fontId="0" fillId="0" borderId="0" xfId="0" applyNumberFormat="1" applyFill="1"/>
    <xf numFmtId="4" fontId="6" fillId="0" borderId="0" xfId="0" applyNumberFormat="1" applyFont="1" applyFill="1"/>
    <xf numFmtId="168" fontId="6" fillId="0" borderId="0" xfId="0" applyNumberFormat="1" applyFont="1" applyFill="1"/>
    <xf numFmtId="181" fontId="26" fillId="0" borderId="23" xfId="21" applyNumberFormat="1" applyFont="1" applyFill="1" applyBorder="1"/>
    <xf numFmtId="0" fontId="7" fillId="0" borderId="0" xfId="1" applyFont="1" applyFill="1" applyAlignment="1">
      <alignment horizontal="right"/>
    </xf>
    <xf numFmtId="4" fontId="7" fillId="0" borderId="0" xfId="0" applyNumberFormat="1" applyFont="1" applyFill="1"/>
    <xf numFmtId="0" fontId="15" fillId="0" borderId="0" xfId="0" applyFont="1" applyFill="1" applyAlignment="1">
      <alignment horizontal="left"/>
    </xf>
    <xf numFmtId="9" fontId="0" fillId="0" borderId="0" xfId="2" applyFont="1"/>
    <xf numFmtId="166" fontId="26" fillId="0" borderId="0" xfId="0" applyNumberFormat="1" applyFont="1"/>
    <xf numFmtId="3" fontId="15" fillId="0" borderId="0" xfId="1" applyNumberFormat="1" applyFont="1"/>
    <xf numFmtId="0" fontId="0" fillId="0" borderId="0" xfId="0" applyFill="1" applyAlignment="1">
      <alignment horizontal="center"/>
    </xf>
    <xf numFmtId="166" fontId="0" fillId="0" borderId="0" xfId="0" applyNumberFormat="1" applyFill="1"/>
    <xf numFmtId="166" fontId="15" fillId="0" borderId="24" xfId="0" applyNumberFormat="1" applyFont="1" applyFill="1" applyBorder="1"/>
    <xf numFmtId="0" fontId="0" fillId="0" borderId="23" xfId="0" applyFill="1" applyBorder="1"/>
    <xf numFmtId="0" fontId="0" fillId="0" borderId="22" xfId="0" applyFill="1" applyBorder="1"/>
    <xf numFmtId="0" fontId="74" fillId="0" borderId="0" xfId="11" applyFont="1" applyFill="1"/>
    <xf numFmtId="0" fontId="74" fillId="0" borderId="0" xfId="11" applyFont="1"/>
    <xf numFmtId="0" fontId="18" fillId="0" borderId="0" xfId="11" applyFont="1" applyFill="1"/>
    <xf numFmtId="171" fontId="0" fillId="0" borderId="0" xfId="0" applyNumberFormat="1"/>
    <xf numFmtId="0" fontId="9" fillId="0" borderId="0" xfId="5" applyNumberFormat="1" applyFont="1" applyFill="1" applyAlignment="1" applyProtection="1">
      <alignment horizontal="center" vertical="center"/>
    </xf>
    <xf numFmtId="2" fontId="9" fillId="0" borderId="0" xfId="3" applyNumberFormat="1" applyFont="1" applyFill="1" applyAlignment="1" applyProtection="1">
      <alignment horizontal="center"/>
    </xf>
    <xf numFmtId="178" fontId="9" fillId="0" borderId="0" xfId="3" applyNumberFormat="1" applyFont="1" applyFill="1" applyAlignment="1" applyProtection="1">
      <alignment horizontal="center"/>
    </xf>
    <xf numFmtId="177" fontId="53" fillId="0" borderId="0" xfId="27" applyNumberFormat="1" applyFill="1" applyProtection="1">
      <protection locked="0"/>
    </xf>
    <xf numFmtId="0" fontId="9" fillId="0" borderId="0" xfId="3" applyFont="1" applyFill="1" applyAlignment="1" applyProtection="1">
      <alignment horizontal="right"/>
    </xf>
    <xf numFmtId="22" fontId="9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right"/>
    </xf>
    <xf numFmtId="18" fontId="9" fillId="0" borderId="0" xfId="3" applyNumberFormat="1" applyFont="1" applyFill="1" applyProtection="1"/>
    <xf numFmtId="0" fontId="0" fillId="0" borderId="0" xfId="0" applyAlignment="1">
      <alignment shrinkToFit="1"/>
    </xf>
    <xf numFmtId="2" fontId="9" fillId="0" borderId="0" xfId="5" applyNumberFormat="1" applyFont="1" applyFill="1" applyAlignment="1" applyProtection="1">
      <alignment horizontal="center" vertical="center"/>
    </xf>
    <xf numFmtId="0" fontId="9" fillId="0" borderId="0" xfId="3" applyFont="1" applyFill="1" applyAlignment="1" applyProtection="1">
      <alignment horizontal="center"/>
    </xf>
    <xf numFmtId="177" fontId="38" fillId="0" borderId="0" xfId="3" applyNumberFormat="1" applyFont="1" applyFill="1" applyProtection="1">
      <protection locked="0"/>
    </xf>
    <xf numFmtId="0" fontId="71" fillId="0" borderId="0" xfId="3" applyFont="1" applyFill="1" applyAlignment="1" applyProtection="1">
      <alignment horizontal="center"/>
      <protection locked="0"/>
    </xf>
    <xf numFmtId="177" fontId="34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left"/>
    </xf>
    <xf numFmtId="177" fontId="34" fillId="0" borderId="0" xfId="3" applyNumberFormat="1" applyFont="1" applyFill="1" applyBorder="1" applyProtection="1"/>
    <xf numFmtId="181" fontId="76" fillId="0" borderId="0" xfId="13" applyNumberFormat="1" applyFont="1" applyFill="1"/>
    <xf numFmtId="10" fontId="18" fillId="0" borderId="0" xfId="11" applyNumberFormat="1" applyFont="1" applyFill="1"/>
    <xf numFmtId="10" fontId="0" fillId="0" borderId="0" xfId="2" applyNumberFormat="1" applyFont="1" applyFill="1"/>
    <xf numFmtId="187" fontId="0" fillId="0" borderId="0" xfId="20" applyNumberFormat="1" applyFont="1" applyFill="1"/>
    <xf numFmtId="0" fontId="26" fillId="0" borderId="0" xfId="0" applyFont="1" applyFill="1"/>
    <xf numFmtId="167" fontId="0" fillId="0" borderId="0" xfId="2" applyNumberFormat="1" applyFont="1" applyFill="1"/>
    <xf numFmtId="183" fontId="6" fillId="0" borderId="0" xfId="1" applyNumberFormat="1" applyFont="1" applyFill="1" applyAlignment="1">
      <alignment horizontal="center"/>
    </xf>
    <xf numFmtId="0" fontId="71" fillId="0" borderId="0" xfId="3" applyFont="1" applyFill="1" applyProtection="1"/>
    <xf numFmtId="3" fontId="77" fillId="0" borderId="0" xfId="3" applyNumberFormat="1" applyFont="1" applyAlignment="1" applyProtection="1"/>
    <xf numFmtId="181" fontId="6" fillId="0" borderId="0" xfId="1" applyNumberFormat="1" applyFont="1"/>
    <xf numFmtId="0" fontId="42" fillId="0" borderId="0" xfId="11" applyFont="1" applyFill="1"/>
    <xf numFmtId="177" fontId="33" fillId="0" borderId="0" xfId="3" applyNumberFormat="1" applyFont="1" applyFill="1" applyBorder="1" applyProtection="1"/>
    <xf numFmtId="166" fontId="26" fillId="0" borderId="0" xfId="0" applyNumberFormat="1" applyFont="1" applyFill="1"/>
    <xf numFmtId="183" fontId="6" fillId="0" borderId="0" xfId="1" applyNumberFormat="1" applyBorder="1"/>
    <xf numFmtId="181" fontId="6" fillId="36" borderId="0" xfId="21" applyNumberFormat="1" applyFont="1" applyFill="1"/>
    <xf numFmtId="1" fontId="0" fillId="0" borderId="0" xfId="0" applyNumberFormat="1" applyFill="1"/>
    <xf numFmtId="3" fontId="31" fillId="0" borderId="0" xfId="3" applyNumberFormat="1" applyFont="1" applyFill="1" applyAlignment="1" applyProtection="1"/>
    <xf numFmtId="177" fontId="65" fillId="0" borderId="0" xfId="3" applyNumberFormat="1" applyFont="1" applyProtection="1"/>
    <xf numFmtId="177" fontId="78" fillId="0" borderId="0" xfId="3" applyNumberFormat="1" applyFont="1" applyProtection="1"/>
    <xf numFmtId="0" fontId="0" fillId="0" borderId="21" xfId="0" applyFill="1" applyBorder="1"/>
    <xf numFmtId="3" fontId="0" fillId="0" borderId="20" xfId="0" applyNumberFormat="1" applyFill="1" applyBorder="1"/>
    <xf numFmtId="3" fontId="0" fillId="0" borderId="19" xfId="0" applyNumberFormat="1" applyFill="1" applyBorder="1"/>
    <xf numFmtId="166" fontId="15" fillId="0" borderId="18" xfId="0" applyNumberFormat="1" applyFon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17" xfId="0" applyNumberFormat="1" applyFill="1" applyBorder="1"/>
    <xf numFmtId="10" fontId="66" fillId="0" borderId="0" xfId="2" applyNumberFormat="1" applyFont="1" applyFill="1"/>
    <xf numFmtId="0" fontId="82" fillId="0" borderId="0" xfId="0" applyFont="1"/>
    <xf numFmtId="0" fontId="82" fillId="0" borderId="0" xfId="0" applyFont="1" applyAlignment="1">
      <alignment vertical="center" wrapText="1"/>
    </xf>
    <xf numFmtId="0" fontId="80" fillId="0" borderId="37" xfId="0" applyFont="1" applyBorder="1" applyAlignment="1">
      <alignment horizontal="center" vertical="center" wrapText="1"/>
    </xf>
    <xf numFmtId="0" fontId="83" fillId="0" borderId="0" xfId="0" applyFont="1" applyFill="1" applyBorder="1" applyAlignment="1">
      <alignment vertical="center"/>
    </xf>
    <xf numFmtId="3" fontId="82" fillId="0" borderId="0" xfId="0" applyNumberFormat="1" applyFont="1" applyFill="1" applyBorder="1" applyAlignment="1">
      <alignment horizontal="center" wrapText="1"/>
    </xf>
    <xf numFmtId="0" fontId="81" fillId="0" borderId="0" xfId="0" applyFont="1" applyFill="1" applyBorder="1" applyAlignment="1"/>
    <xf numFmtId="0" fontId="82" fillId="0" borderId="0" xfId="0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center"/>
    </xf>
    <xf numFmtId="0" fontId="83" fillId="0" borderId="0" xfId="0" applyFont="1" applyFill="1" applyBorder="1" applyAlignment="1"/>
    <xf numFmtId="0" fontId="83" fillId="0" borderId="0" xfId="0" applyFont="1" applyFill="1" applyBorder="1" applyAlignment="1">
      <alignment horizontal="center" vertical="center"/>
    </xf>
    <xf numFmtId="177" fontId="9" fillId="0" borderId="36" xfId="3" applyNumberFormat="1" applyFont="1" applyFill="1" applyBorder="1" applyProtection="1">
      <protection locked="0"/>
    </xf>
    <xf numFmtId="0" fontId="82" fillId="0" borderId="14" xfId="0" applyFont="1" applyBorder="1" applyAlignment="1">
      <alignment horizontal="center" vertical="center" wrapText="1"/>
    </xf>
    <xf numFmtId="0" fontId="80" fillId="37" borderId="14" xfId="13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center"/>
    </xf>
    <xf numFmtId="0" fontId="83" fillId="0" borderId="0" xfId="0" applyFont="1" applyAlignment="1">
      <alignment horizontal="center" vertical="center" wrapText="1"/>
    </xf>
    <xf numFmtId="0" fontId="82" fillId="0" borderId="0" xfId="0" applyFont="1" applyFill="1"/>
    <xf numFmtId="0" fontId="81" fillId="39" borderId="39" xfId="0" applyFont="1" applyFill="1" applyBorder="1" applyAlignment="1">
      <alignment horizontal="center" vertical="center" wrapText="1"/>
    </xf>
    <xf numFmtId="0" fontId="80" fillId="39" borderId="14" xfId="0" applyFont="1" applyFill="1" applyBorder="1" applyAlignment="1">
      <alignment horizontal="center" vertical="center" wrapText="1"/>
    </xf>
    <xf numFmtId="0" fontId="80" fillId="40" borderId="14" xfId="130" applyFont="1" applyFill="1" applyBorder="1" applyAlignment="1">
      <alignment horizontal="center" vertical="center" wrapText="1"/>
    </xf>
    <xf numFmtId="0" fontId="80" fillId="40" borderId="14" xfId="0" applyFont="1" applyFill="1" applyBorder="1" applyAlignment="1">
      <alignment horizontal="center" vertical="center" wrapText="1"/>
    </xf>
    <xf numFmtId="0" fontId="80" fillId="40" borderId="12" xfId="0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left" vertical="center" wrapText="1"/>
    </xf>
    <xf numFmtId="0" fontId="80" fillId="0" borderId="0" xfId="0" quotePrefix="1" applyFont="1" applyBorder="1" applyAlignment="1"/>
    <xf numFmtId="0" fontId="79" fillId="0" borderId="0" xfId="0" quotePrefix="1" applyFont="1" applyBorder="1" applyAlignment="1">
      <alignment horizont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vertical="center" wrapText="1"/>
    </xf>
    <xf numFmtId="0" fontId="82" fillId="0" borderId="0" xfId="0" applyFont="1" applyBorder="1" applyAlignment="1">
      <alignment horizontal="center" wrapText="1"/>
    </xf>
    <xf numFmtId="0" fontId="81" fillId="0" borderId="0" xfId="0" applyFont="1" applyBorder="1" applyAlignment="1">
      <alignment vertical="center" wrapText="1"/>
    </xf>
    <xf numFmtId="0" fontId="83" fillId="38" borderId="0" xfId="0" applyFont="1" applyFill="1" applyBorder="1" applyAlignment="1">
      <alignment vertical="center"/>
    </xf>
    <xf numFmtId="0" fontId="83" fillId="38" borderId="0" xfId="0" applyFont="1" applyFill="1" applyBorder="1" applyAlignment="1"/>
    <xf numFmtId="181" fontId="7" fillId="0" borderId="0" xfId="10" applyNumberFormat="1" applyFont="1" applyFill="1"/>
    <xf numFmtId="0" fontId="7" fillId="0" borderId="0" xfId="1" applyFont="1" applyFill="1"/>
    <xf numFmtId="0" fontId="81" fillId="0" borderId="0" xfId="0" applyFont="1" applyAlignment="1">
      <alignment horizontal="center"/>
    </xf>
    <xf numFmtId="0" fontId="82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center"/>
    </xf>
    <xf numFmtId="181" fontId="79" fillId="0" borderId="0" xfId="21" quotePrefix="1" applyNumberFormat="1" applyFont="1" applyFill="1" applyBorder="1" applyAlignment="1">
      <alignment horizontal="center"/>
    </xf>
    <xf numFmtId="181" fontId="82" fillId="0" borderId="0" xfId="21" applyNumberFormat="1" applyFont="1"/>
    <xf numFmtId="181" fontId="79" fillId="0" borderId="0" xfId="21" quotePrefix="1" applyNumberFormat="1" applyFont="1" applyFill="1" applyAlignment="1">
      <alignment horizontal="center" vertical="center"/>
    </xf>
    <xf numFmtId="181" fontId="79" fillId="0" borderId="0" xfId="21" quotePrefix="1" applyNumberFormat="1" applyFont="1" applyFill="1" applyAlignment="1">
      <alignment horizontal="center"/>
    </xf>
    <xf numFmtId="181" fontId="80" fillId="0" borderId="0" xfId="21" quotePrefix="1" applyNumberFormat="1" applyFont="1" applyFill="1" applyBorder="1" applyAlignment="1"/>
    <xf numFmtId="181" fontId="81" fillId="0" borderId="0" xfId="21" applyNumberFormat="1" applyFont="1" applyFill="1" applyBorder="1" applyAlignment="1">
      <alignment vertical="center"/>
    </xf>
    <xf numFmtId="181" fontId="82" fillId="0" borderId="0" xfId="21" applyNumberFormat="1" applyFont="1" applyFill="1" applyAlignment="1">
      <alignment horizontal="center" wrapText="1"/>
    </xf>
    <xf numFmtId="181" fontId="82" fillId="0" borderId="0" xfId="21" applyNumberFormat="1" applyFont="1" applyFill="1" applyBorder="1" applyAlignment="1">
      <alignment horizontal="center" wrapText="1"/>
    </xf>
    <xf numFmtId="181" fontId="81" fillId="0" borderId="0" xfId="21" applyNumberFormat="1" applyFont="1" applyFill="1" applyBorder="1" applyAlignment="1"/>
    <xf numFmtId="181" fontId="82" fillId="0" borderId="0" xfId="21" applyNumberFormat="1" applyFont="1" applyFill="1"/>
    <xf numFmtId="0" fontId="82" fillId="40" borderId="38" xfId="0" applyFont="1" applyFill="1" applyBorder="1" applyAlignment="1">
      <alignment horizontal="center" vertical="center" wrapText="1"/>
    </xf>
    <xf numFmtId="0" fontId="79" fillId="0" borderId="0" xfId="0" quotePrefix="1" applyFont="1" applyBorder="1" applyAlignment="1">
      <alignment horizontal="center" vertical="center"/>
    </xf>
    <xf numFmtId="0" fontId="82" fillId="0" borderId="0" xfId="0" applyNumberFormat="1" applyFont="1" applyBorder="1" applyAlignment="1">
      <alignment horizontal="center" wrapText="1"/>
    </xf>
    <xf numFmtId="0" fontId="79" fillId="0" borderId="0" xfId="0" quotePrefix="1" applyFont="1" applyBorder="1" applyAlignment="1"/>
    <xf numFmtId="3" fontId="82" fillId="0" borderId="0" xfId="0" applyNumberFormat="1" applyFont="1" applyBorder="1" applyAlignment="1">
      <alignment horizontal="center" wrapText="1"/>
    </xf>
    <xf numFmtId="0" fontId="81" fillId="37" borderId="0" xfId="0" applyFont="1" applyFill="1" applyBorder="1" applyAlignment="1"/>
    <xf numFmtId="0" fontId="82" fillId="37" borderId="0" xfId="0" applyFont="1" applyFill="1" applyBorder="1" applyAlignment="1">
      <alignment vertical="center" wrapText="1"/>
    </xf>
    <xf numFmtId="3" fontId="82" fillId="37" borderId="0" xfId="0" applyNumberFormat="1" applyFont="1" applyFill="1" applyBorder="1" applyAlignment="1">
      <alignment horizontal="center" wrapText="1"/>
    </xf>
    <xf numFmtId="188" fontId="82" fillId="0" borderId="0" xfId="0" applyNumberFormat="1" applyFont="1" applyBorder="1" applyAlignment="1">
      <alignment horizontal="center" wrapText="1"/>
    </xf>
    <xf numFmtId="0" fontId="82" fillId="37" borderId="0" xfId="0" applyFont="1" applyFill="1" applyBorder="1" applyAlignment="1"/>
    <xf numFmtId="0" fontId="82" fillId="37" borderId="0" xfId="0" applyFont="1" applyFill="1" applyBorder="1" applyAlignment="1">
      <alignment horizontal="center"/>
    </xf>
    <xf numFmtId="181" fontId="81" fillId="0" borderId="0" xfId="21" applyNumberFormat="1" applyFont="1" applyFill="1" applyBorder="1" applyAlignment="1">
      <alignment horizontal="center" wrapText="1"/>
    </xf>
    <xf numFmtId="0" fontId="81" fillId="38" borderId="0" xfId="0" applyFont="1" applyFill="1" applyBorder="1" applyAlignment="1"/>
    <xf numFmtId="0" fontId="81" fillId="37" borderId="0" xfId="0" quotePrefix="1" applyFont="1" applyFill="1" applyBorder="1" applyAlignment="1"/>
    <xf numFmtId="0" fontId="82" fillId="37" borderId="0" xfId="0" quotePrefix="1" applyFont="1" applyFill="1" applyBorder="1" applyAlignment="1"/>
    <xf numFmtId="0" fontId="82" fillId="0" borderId="0" xfId="0" applyFont="1" applyFill="1" applyBorder="1" applyAlignment="1"/>
    <xf numFmtId="181" fontId="82" fillId="0" borderId="0" xfId="21" applyNumberFormat="1" applyFont="1" applyFill="1" applyBorder="1" applyAlignment="1"/>
    <xf numFmtId="0" fontId="81" fillId="36" borderId="0" xfId="0" applyFont="1" applyFill="1" applyBorder="1" applyAlignment="1"/>
    <xf numFmtId="3" fontId="82" fillId="38" borderId="0" xfId="0" applyNumberFormat="1" applyFont="1" applyFill="1" applyBorder="1" applyAlignment="1">
      <alignment horizontal="center" wrapText="1"/>
    </xf>
    <xf numFmtId="0" fontId="83" fillId="38" borderId="0" xfId="0" applyFont="1" applyFill="1" applyBorder="1" applyAlignment="1">
      <alignment horizontal="left" vertical="center"/>
    </xf>
    <xf numFmtId="0" fontId="83" fillId="38" borderId="0" xfId="0" applyFont="1" applyFill="1" applyBorder="1" applyAlignment="1">
      <alignment vertical="center" wrapText="1"/>
    </xf>
    <xf numFmtId="4" fontId="82" fillId="0" borderId="0" xfId="0" applyNumberFormat="1" applyFont="1" applyBorder="1" applyAlignment="1">
      <alignment horizontal="center" wrapText="1"/>
    </xf>
    <xf numFmtId="186" fontId="82" fillId="0" borderId="0" xfId="0" applyNumberFormat="1" applyFont="1" applyBorder="1" applyAlignment="1">
      <alignment horizontal="center" wrapText="1"/>
    </xf>
    <xf numFmtId="0" fontId="83" fillId="37" borderId="0" xfId="0" applyFont="1" applyFill="1" applyBorder="1" applyAlignment="1"/>
    <xf numFmtId="0" fontId="83" fillId="36" borderId="0" xfId="0" applyFont="1" applyFill="1" applyBorder="1" applyAlignment="1"/>
    <xf numFmtId="0" fontId="81" fillId="41" borderId="0" xfId="0" applyFont="1" applyFill="1" applyBorder="1" applyAlignment="1"/>
    <xf numFmtId="0" fontId="83" fillId="41" borderId="0" xfId="0" applyFont="1" applyFill="1" applyBorder="1" applyAlignment="1"/>
    <xf numFmtId="0" fontId="82" fillId="37" borderId="0" xfId="0" applyFont="1" applyFill="1" applyBorder="1" applyAlignment="1">
      <alignment horizontal="left" vertical="top" wrapText="1"/>
    </xf>
    <xf numFmtId="0" fontId="34" fillId="0" borderId="0" xfId="3" applyFont="1" applyFill="1" applyProtection="1">
      <protection locked="0"/>
    </xf>
    <xf numFmtId="0" fontId="80" fillId="0" borderId="14" xfId="0" applyFont="1" applyBorder="1" applyAlignment="1">
      <alignment horizontal="center" vertical="center" wrapText="1"/>
    </xf>
    <xf numFmtId="0" fontId="83" fillId="41" borderId="0" xfId="0" applyFont="1" applyFill="1" applyBorder="1" applyAlignment="1">
      <alignment horizontal="center" vertical="center" wrapText="1"/>
    </xf>
    <xf numFmtId="0" fontId="82" fillId="41" borderId="0" xfId="0" applyFont="1" applyFill="1" applyBorder="1" applyAlignment="1">
      <alignment horizontal="center" vertical="center" wrapText="1"/>
    </xf>
    <xf numFmtId="181" fontId="79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Fill="1" applyBorder="1" applyAlignment="1">
      <alignment horizontal="center" wrapText="1"/>
    </xf>
    <xf numFmtId="181" fontId="81" fillId="0" borderId="1" xfId="21" applyNumberFormat="1" applyFont="1" applyFill="1" applyBorder="1" applyAlignment="1">
      <alignment vertical="center"/>
    </xf>
    <xf numFmtId="181" fontId="80" fillId="0" borderId="10" xfId="21" quotePrefix="1" applyNumberFormat="1" applyFont="1" applyFill="1" applyBorder="1" applyAlignment="1"/>
    <xf numFmtId="181" fontId="82" fillId="0" borderId="10" xfId="21" applyNumberFormat="1" applyFont="1" applyFill="1" applyBorder="1" applyAlignment="1"/>
    <xf numFmtId="181" fontId="81" fillId="0" borderId="10" xfId="21" applyNumberFormat="1" applyFont="1" applyFill="1" applyBorder="1" applyAlignment="1"/>
    <xf numFmtId="181" fontId="80" fillId="0" borderId="0" xfId="21" quotePrefix="1" applyNumberFormat="1" applyFont="1" applyFill="1" applyBorder="1" applyAlignment="1">
      <alignment horizontal="center"/>
    </xf>
    <xf numFmtId="181" fontId="80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Border="1"/>
    <xf numFmtId="181" fontId="81" fillId="0" borderId="0" xfId="21" applyNumberFormat="1" applyFont="1"/>
    <xf numFmtId="181" fontId="81" fillId="0" borderId="10" xfId="21" applyNumberFormat="1" applyFont="1" applyBorder="1"/>
    <xf numFmtId="0" fontId="81" fillId="37" borderId="0" xfId="0" applyFont="1" applyFill="1" applyBorder="1" applyAlignment="1">
      <alignment horizontal="right"/>
    </xf>
    <xf numFmtId="10" fontId="81" fillId="0" borderId="0" xfId="2" applyNumberFormat="1" applyFont="1" applyFill="1" applyBorder="1" applyAlignment="1"/>
    <xf numFmtId="38" fontId="80" fillId="0" borderId="0" xfId="131" applyNumberFormat="1" applyFont="1"/>
    <xf numFmtId="10" fontId="80" fillId="0" borderId="0" xfId="132" applyNumberFormat="1" applyFont="1"/>
    <xf numFmtId="10" fontId="81" fillId="0" borderId="0" xfId="2" applyNumberFormat="1" applyFont="1"/>
    <xf numFmtId="10" fontId="80" fillId="0" borderId="0" xfId="2" applyNumberFormat="1" applyFont="1"/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0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9" fontId="6" fillId="0" borderId="0" xfId="2" applyFont="1"/>
    <xf numFmtId="0" fontId="81" fillId="0" borderId="0" xfId="134" applyFont="1" applyAlignment="1"/>
    <xf numFmtId="0" fontId="82" fillId="0" borderId="0" xfId="134" applyFont="1" applyAlignment="1"/>
    <xf numFmtId="0" fontId="84" fillId="0" borderId="0" xfId="134" applyFont="1" applyAlignment="1"/>
    <xf numFmtId="0" fontId="82" fillId="0" borderId="0" xfId="134" applyFont="1" applyBorder="1" applyAlignment="1">
      <alignment horizontal="center"/>
    </xf>
    <xf numFmtId="0" fontId="82" fillId="0" borderId="10" xfId="134" applyFont="1" applyBorder="1" applyAlignment="1">
      <alignment horizontal="center"/>
    </xf>
    <xf numFmtId="0" fontId="82" fillId="0" borderId="10" xfId="134" applyFont="1" applyBorder="1" applyAlignment="1">
      <alignment horizontal="left"/>
    </xf>
    <xf numFmtId="41" fontId="82" fillId="0" borderId="10" xfId="134" applyNumberFormat="1" applyFont="1" applyBorder="1" applyAlignment="1">
      <alignment horizontal="center"/>
    </xf>
    <xf numFmtId="4" fontId="82" fillId="0" borderId="0" xfId="134" applyNumberFormat="1" applyFont="1" applyAlignment="1">
      <alignment horizontal="center"/>
    </xf>
    <xf numFmtId="0" fontId="82" fillId="0" borderId="0" xfId="0" applyFont="1" applyFill="1" applyBorder="1"/>
    <xf numFmtId="181" fontId="82" fillId="0" borderId="0" xfId="21" applyNumberFormat="1" applyFont="1" applyFill="1" applyBorder="1"/>
    <xf numFmtId="181" fontId="82" fillId="0" borderId="3" xfId="21" applyNumberFormat="1" applyFont="1" applyFill="1" applyBorder="1"/>
    <xf numFmtId="10" fontId="82" fillId="0" borderId="0" xfId="2" applyNumberFormat="1" applyFont="1" applyFill="1" applyBorder="1"/>
    <xf numFmtId="10" fontId="82" fillId="0" borderId="3" xfId="2" applyNumberFormat="1" applyFont="1" applyFill="1" applyBorder="1"/>
    <xf numFmtId="10" fontId="79" fillId="0" borderId="0" xfId="133" applyNumberFormat="1" applyFont="1"/>
    <xf numFmtId="181" fontId="82" fillId="0" borderId="40" xfId="0" applyNumberFormat="1" applyFont="1" applyFill="1" applyBorder="1"/>
    <xf numFmtId="181" fontId="82" fillId="0" borderId="37" xfId="0" applyNumberFormat="1" applyFont="1" applyFill="1" applyBorder="1"/>
    <xf numFmtId="10" fontId="82" fillId="0" borderId="39" xfId="2" applyNumberFormat="1" applyFont="1" applyFill="1" applyBorder="1"/>
    <xf numFmtId="181" fontId="82" fillId="0" borderId="0" xfId="0" applyNumberFormat="1" applyFont="1"/>
    <xf numFmtId="10" fontId="82" fillId="0" borderId="0" xfId="2" applyNumberFormat="1" applyFont="1"/>
    <xf numFmtId="190" fontId="82" fillId="0" borderId="0" xfId="0" applyNumberFormat="1" applyFont="1"/>
    <xf numFmtId="43" fontId="82" fillId="0" borderId="0" xfId="21" applyNumberFormat="1" applyFont="1"/>
    <xf numFmtId="43" fontId="82" fillId="0" borderId="0" xfId="0" applyNumberFormat="1" applyFont="1"/>
    <xf numFmtId="2" fontId="82" fillId="0" borderId="0" xfId="21" applyNumberFormat="1" applyFont="1"/>
    <xf numFmtId="0" fontId="82" fillId="41" borderId="0" xfId="0" applyFont="1" applyFill="1" applyBorder="1"/>
    <xf numFmtId="0" fontId="82" fillId="37" borderId="0" xfId="0" applyFont="1" applyFill="1"/>
    <xf numFmtId="0" fontId="82" fillId="0" borderId="0" xfId="0" applyFont="1" applyAlignment="1"/>
    <xf numFmtId="1" fontId="66" fillId="2" borderId="0" xfId="21" applyNumberFormat="1" applyFont="1" applyFill="1"/>
    <xf numFmtId="189" fontId="18" fillId="0" borderId="0" xfId="13" applyNumberFormat="1"/>
    <xf numFmtId="43" fontId="18" fillId="0" borderId="0" xfId="13" applyFont="1"/>
    <xf numFmtId="43" fontId="18" fillId="0" borderId="0" xfId="13" applyFont="1" applyBorder="1"/>
    <xf numFmtId="43" fontId="18" fillId="0" borderId="10" xfId="13" applyFont="1" applyBorder="1"/>
    <xf numFmtId="0" fontId="85" fillId="0" borderId="0" xfId="7" applyFont="1" applyFill="1" applyAlignment="1">
      <alignment vertical="top"/>
    </xf>
    <xf numFmtId="0" fontId="86" fillId="0" borderId="0" xfId="7" applyFont="1" applyFill="1" applyAlignment="1">
      <alignment vertical="top"/>
    </xf>
    <xf numFmtId="0" fontId="6" fillId="0" borderId="23" xfId="1" applyFont="1" applyBorder="1"/>
    <xf numFmtId="0" fontId="6" fillId="0" borderId="0" xfId="1" applyFont="1" applyAlignment="1"/>
    <xf numFmtId="0" fontId="6" fillId="0" borderId="0" xfId="1" applyFont="1" applyFill="1" applyAlignment="1" applyProtection="1">
      <alignment horizontal="left" indent="1"/>
    </xf>
    <xf numFmtId="0" fontId="6" fillId="0" borderId="0" xfId="1" applyFont="1" applyAlignment="1">
      <alignment horizontal="left" indent="2"/>
    </xf>
    <xf numFmtId="181" fontId="66" fillId="0" borderId="0" xfId="21" applyNumberFormat="1" applyFont="1" applyFill="1"/>
    <xf numFmtId="4" fontId="66" fillId="0" borderId="0" xfId="0" applyNumberFormat="1" applyFont="1" applyFill="1"/>
    <xf numFmtId="0" fontId="6" fillId="0" borderId="1" xfId="1" applyBorder="1" applyAlignment="1">
      <alignment horizontal="center"/>
    </xf>
    <xf numFmtId="0" fontId="6" fillId="0" borderId="16" xfId="1" applyBorder="1" applyAlignment="1">
      <alignment horizontal="center"/>
    </xf>
    <xf numFmtId="0" fontId="6" fillId="0" borderId="15" xfId="1" applyBorder="1" applyAlignment="1">
      <alignment horizontal="center"/>
    </xf>
    <xf numFmtId="0" fontId="81" fillId="0" borderId="10" xfId="0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21" applyNumberFormat="1" applyFont="1" applyAlignment="1">
      <alignment horizontal="center"/>
    </xf>
    <xf numFmtId="181" fontId="0" fillId="0" borderId="0" xfId="21" applyNumberFormat="1" applyFont="1"/>
    <xf numFmtId="181" fontId="0" fillId="0" borderId="10" xfId="21" applyNumberFormat="1" applyFont="1" applyBorder="1"/>
    <xf numFmtId="181" fontId="0" fillId="0" borderId="0" xfId="21" applyNumberFormat="1" applyFont="1" applyAlignment="1">
      <alignment horizontal="center" wrapText="1"/>
    </xf>
    <xf numFmtId="181" fontId="0" fillId="0" borderId="0" xfId="0" applyNumberFormat="1"/>
    <xf numFmtId="181" fontId="0" fillId="0" borderId="10" xfId="0" applyNumberFormat="1" applyBorder="1"/>
    <xf numFmtId="181" fontId="6" fillId="0" borderId="0" xfId="21" applyNumberFormat="1" applyFont="1" applyAlignment="1">
      <alignment horizontal="center" wrapText="1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9" fontId="0" fillId="0" borderId="0" xfId="2" applyFont="1" applyBorder="1"/>
    <xf numFmtId="1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81" fontId="81" fillId="0" borderId="0" xfId="21" applyNumberFormat="1" applyFont="1" applyBorder="1"/>
    <xf numFmtId="181" fontId="82" fillId="0" borderId="0" xfId="21" applyNumberFormat="1" applyFont="1" applyBorder="1"/>
    <xf numFmtId="0" fontId="87" fillId="0" borderId="0" xfId="0" applyFont="1"/>
    <xf numFmtId="10" fontId="42" fillId="0" borderId="0" xfId="11" applyNumberFormat="1" applyFont="1" applyFill="1"/>
    <xf numFmtId="9" fontId="42" fillId="0" borderId="0" xfId="11" applyNumberFormat="1" applyFont="1" applyFill="1"/>
    <xf numFmtId="181" fontId="75" fillId="0" borderId="0" xfId="13" applyNumberFormat="1" applyFont="1" applyFill="1"/>
    <xf numFmtId="181" fontId="6" fillId="0" borderId="0" xfId="21" applyNumberFormat="1" applyFont="1"/>
    <xf numFmtId="181" fontId="0" fillId="0" borderId="0" xfId="21" applyNumberFormat="1" applyFont="1" applyFill="1"/>
    <xf numFmtId="181" fontId="0" fillId="0" borderId="10" xfId="21" applyNumberFormat="1" applyFont="1" applyFill="1" applyBorder="1"/>
    <xf numFmtId="0" fontId="18" fillId="0" borderId="0" xfId="11" applyAlignment="1">
      <alignment wrapText="1"/>
    </xf>
    <xf numFmtId="0" fontId="18" fillId="0" borderId="0" xfId="11" applyAlignment="1">
      <alignment horizontal="right" wrapText="1"/>
    </xf>
    <xf numFmtId="10" fontId="18" fillId="0" borderId="0" xfId="6" applyNumberFormat="1" applyFont="1"/>
    <xf numFmtId="43" fontId="18" fillId="0" borderId="36" xfId="13" applyFont="1" applyBorder="1"/>
    <xf numFmtId="10" fontId="18" fillId="0" borderId="0" xfId="11" applyNumberFormat="1"/>
    <xf numFmtId="43" fontId="18" fillId="0" borderId="36" xfId="11" applyNumberFormat="1" applyBorder="1"/>
    <xf numFmtId="0" fontId="18" fillId="0" borderId="0" xfId="11" applyAlignment="1">
      <alignment horizontal="left" indent="1"/>
    </xf>
    <xf numFmtId="9" fontId="18" fillId="0" borderId="0" xfId="6" applyFont="1"/>
    <xf numFmtId="43" fontId="18" fillId="0" borderId="0" xfId="10" applyFont="1"/>
    <xf numFmtId="181" fontId="18" fillId="0" borderId="0" xfId="10" applyNumberFormat="1" applyFont="1"/>
    <xf numFmtId="43" fontId="18" fillId="0" borderId="36" xfId="13" applyBorder="1"/>
    <xf numFmtId="0" fontId="18" fillId="0" borderId="0" xfId="11" applyFill="1" applyAlignment="1">
      <alignment horizontal="center" wrapText="1"/>
    </xf>
    <xf numFmtId="0" fontId="6" fillId="0" borderId="36" xfId="1" applyBorder="1"/>
    <xf numFmtId="10" fontId="68" fillId="0" borderId="0" xfId="0" applyNumberFormat="1" applyFont="1" applyFill="1"/>
    <xf numFmtId="181" fontId="18" fillId="0" borderId="0" xfId="13" applyNumberFormat="1" applyFont="1" applyFill="1"/>
    <xf numFmtId="0" fontId="10" fillId="0" borderId="0" xfId="1" applyFont="1" applyFill="1"/>
    <xf numFmtId="7" fontId="10" fillId="0" borderId="0" xfId="1" applyNumberFormat="1" applyFont="1" applyFill="1"/>
    <xf numFmtId="7" fontId="26" fillId="0" borderId="0" xfId="1" applyNumberFormat="1" applyFont="1" applyFill="1"/>
    <xf numFmtId="43" fontId="42" fillId="0" borderId="0" xfId="13" applyFont="1" applyFill="1"/>
    <xf numFmtId="181" fontId="75" fillId="0" borderId="0" xfId="10" applyNumberFormat="1" applyFont="1" applyFill="1"/>
    <xf numFmtId="1" fontId="42" fillId="0" borderId="0" xfId="13" applyNumberFormat="1" applyFont="1" applyFill="1"/>
    <xf numFmtId="0" fontId="18" fillId="0" borderId="0" xfId="13" applyNumberFormat="1" applyFont="1"/>
    <xf numFmtId="3" fontId="0" fillId="0" borderId="1" xfId="0" applyNumberFormat="1" applyFill="1" applyBorder="1"/>
    <xf numFmtId="168" fontId="0" fillId="0" borderId="0" xfId="0" applyNumberFormat="1" applyFill="1"/>
    <xf numFmtId="0" fontId="7" fillId="42" borderId="0" xfId="0" applyFont="1" applyFill="1"/>
    <xf numFmtId="4" fontId="7" fillId="42" borderId="0" xfId="0" applyNumberFormat="1" applyFont="1" applyFill="1"/>
    <xf numFmtId="3" fontId="6" fillId="0" borderId="10" xfId="1" applyNumberFormat="1" applyBorder="1"/>
    <xf numFmtId="3" fontId="6" fillId="0" borderId="10" xfId="1" applyNumberFormat="1" applyBorder="1" applyAlignment="1"/>
    <xf numFmtId="3" fontId="26" fillId="0" borderId="0" xfId="1" applyNumberFormat="1" applyFont="1"/>
    <xf numFmtId="181" fontId="26" fillId="0" borderId="0" xfId="21" applyNumberFormat="1" applyFont="1"/>
    <xf numFmtId="4" fontId="82" fillId="0" borderId="0" xfId="134" applyNumberFormat="1" applyFont="1" applyFill="1" applyAlignment="1">
      <alignment horizontal="center"/>
    </xf>
    <xf numFmtId="10" fontId="79" fillId="0" borderId="0" xfId="133" applyNumberFormat="1" applyFont="1" applyFill="1"/>
    <xf numFmtId="0" fontId="82" fillId="0" borderId="0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right"/>
    </xf>
    <xf numFmtId="38" fontId="80" fillId="0" borderId="0" xfId="131" applyNumberFormat="1" applyFont="1" applyFill="1"/>
    <xf numFmtId="181" fontId="81" fillId="0" borderId="0" xfId="21" applyNumberFormat="1" applyFont="1" applyFill="1"/>
    <xf numFmtId="0" fontId="7" fillId="0" borderId="14" xfId="1" applyFont="1" applyBorder="1" applyAlignment="1">
      <alignment horizontal="centerContinuous"/>
    </xf>
    <xf numFmtId="181" fontId="6" fillId="0" borderId="10" xfId="21" applyNumberFormat="1" applyFont="1" applyFill="1" applyBorder="1"/>
    <xf numFmtId="181" fontId="6" fillId="0" borderId="12" xfId="21" applyNumberFormat="1" applyFont="1" applyBorder="1"/>
    <xf numFmtId="181" fontId="6" fillId="0" borderId="1" xfId="21" applyNumberFormat="1" applyFont="1" applyBorder="1"/>
    <xf numFmtId="181" fontId="6" fillId="0" borderId="13" xfId="21" applyNumberFormat="1" applyFont="1" applyBorder="1"/>
    <xf numFmtId="0" fontId="6" fillId="0" borderId="10" xfId="1" applyFont="1" applyBorder="1"/>
    <xf numFmtId="0" fontId="0" fillId="36" borderId="0" xfId="0" applyFill="1" applyAlignment="1">
      <alignment horizontal="center"/>
    </xf>
    <xf numFmtId="0" fontId="18" fillId="0" borderId="0" xfId="136"/>
    <xf numFmtId="0" fontId="6" fillId="0" borderId="0" xfId="137"/>
    <xf numFmtId="43" fontId="0" fillId="0" borderId="0" xfId="138" applyFont="1"/>
    <xf numFmtId="43" fontId="88" fillId="0" borderId="0" xfId="138" applyFont="1" applyAlignment="1">
      <alignment horizontal="right"/>
    </xf>
    <xf numFmtId="43" fontId="88" fillId="0" borderId="0" xfId="138" applyFont="1"/>
    <xf numFmtId="182" fontId="88" fillId="0" borderId="0" xfId="138" applyNumberFormat="1" applyFont="1"/>
    <xf numFmtId="182" fontId="6" fillId="0" borderId="0" xfId="137" applyNumberFormat="1"/>
    <xf numFmtId="0" fontId="88" fillId="0" borderId="0" xfId="0" applyFont="1"/>
    <xf numFmtId="17" fontId="88" fillId="0" borderId="0" xfId="0" applyNumberFormat="1" applyFont="1" applyAlignment="1">
      <alignment horizontal="left"/>
    </xf>
    <xf numFmtId="0" fontId="88" fillId="0" borderId="0" xfId="137" applyFont="1"/>
    <xf numFmtId="0" fontId="88" fillId="43" borderId="0" xfId="137" applyFont="1" applyFill="1"/>
    <xf numFmtId="0" fontId="88" fillId="43" borderId="0" xfId="137" applyFont="1" applyFill="1" applyAlignment="1">
      <alignment wrapText="1"/>
    </xf>
    <xf numFmtId="43" fontId="88" fillId="43" borderId="0" xfId="138" applyFont="1" applyFill="1" applyAlignment="1">
      <alignment wrapText="1"/>
    </xf>
    <xf numFmtId="43" fontId="88" fillId="43" borderId="24" xfId="138" applyFont="1" applyFill="1" applyBorder="1" applyAlignment="1">
      <alignment horizontal="center" wrapText="1"/>
    </xf>
    <xf numFmtId="43" fontId="88" fillId="43" borderId="23" xfId="138" applyFont="1" applyFill="1" applyBorder="1" applyAlignment="1">
      <alignment horizontal="center" wrapText="1"/>
    </xf>
    <xf numFmtId="43" fontId="88" fillId="43" borderId="22" xfId="138" applyFont="1" applyFill="1" applyBorder="1" applyAlignment="1">
      <alignment horizontal="center" wrapText="1"/>
    </xf>
    <xf numFmtId="43" fontId="6" fillId="0" borderId="0" xfId="137" applyNumberFormat="1"/>
    <xf numFmtId="0" fontId="89" fillId="43" borderId="0" xfId="137" applyFont="1" applyFill="1"/>
    <xf numFmtId="43" fontId="89" fillId="43" borderId="36" xfId="138" applyFont="1" applyFill="1" applyBorder="1"/>
    <xf numFmtId="0" fontId="89" fillId="0" borderId="0" xfId="137" applyFont="1"/>
    <xf numFmtId="43" fontId="89" fillId="0" borderId="0" xfId="138" applyFont="1"/>
    <xf numFmtId="181" fontId="89" fillId="0" borderId="0" xfId="138" applyNumberFormat="1" applyFont="1" applyFill="1"/>
    <xf numFmtId="43" fontId="89" fillId="0" borderId="0" xfId="138" applyFont="1" applyFill="1" applyBorder="1"/>
    <xf numFmtId="43" fontId="88" fillId="0" borderId="0" xfId="138" applyFont="1" applyFill="1"/>
    <xf numFmtId="0" fontId="89" fillId="0" borderId="0" xfId="137" applyFont="1" applyAlignment="1">
      <alignment horizontal="right"/>
    </xf>
    <xf numFmtId="43" fontId="0" fillId="0" borderId="0" xfId="0" applyNumberFormat="1"/>
    <xf numFmtId="10" fontId="6" fillId="0" borderId="0" xfId="6" applyNumberFormat="1" applyFont="1"/>
    <xf numFmtId="43" fontId="6" fillId="0" borderId="0" xfId="138" applyFont="1"/>
    <xf numFmtId="0" fontId="90" fillId="0" borderId="0" xfId="137" applyFont="1"/>
    <xf numFmtId="182" fontId="90" fillId="0" borderId="0" xfId="137" applyNumberFormat="1" applyFont="1"/>
    <xf numFmtId="43" fontId="91" fillId="43" borderId="0" xfId="138" applyFont="1" applyFill="1" applyAlignment="1">
      <alignment horizontal="center" wrapText="1"/>
    </xf>
    <xf numFmtId="43" fontId="92" fillId="43" borderId="36" xfId="138" applyFont="1" applyFill="1" applyBorder="1"/>
    <xf numFmtId="43" fontId="92" fillId="0" borderId="0" xfId="138" applyFont="1"/>
    <xf numFmtId="0" fontId="90" fillId="0" borderId="0" xfId="0" applyFont="1"/>
    <xf numFmtId="0" fontId="6" fillId="0" borderId="0" xfId="137" applyAlignment="1">
      <alignment horizontal="center"/>
    </xf>
    <xf numFmtId="43" fontId="88" fillId="0" borderId="0" xfId="138" applyFont="1" applyAlignment="1">
      <alignment horizontal="center"/>
    </xf>
    <xf numFmtId="43" fontId="0" fillId="0" borderId="0" xfId="138" applyFont="1" applyAlignment="1">
      <alignment horizontal="right"/>
    </xf>
    <xf numFmtId="43" fontId="0" fillId="0" borderId="0" xfId="0" applyNumberFormat="1" applyFill="1" applyBorder="1"/>
    <xf numFmtId="0" fontId="0" fillId="0" borderId="10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0" xfId="0" applyBorder="1" applyAlignment="1">
      <alignment wrapText="1"/>
    </xf>
    <xf numFmtId="191" fontId="93" fillId="0" borderId="0" xfId="0" applyNumberFormat="1" applyFont="1" applyAlignment="1">
      <alignment horizontal="left"/>
    </xf>
    <xf numFmtId="192" fontId="63" fillId="0" borderId="0" xfId="0" applyNumberFormat="1" applyFont="1" applyAlignment="1">
      <alignment horizontal="center"/>
    </xf>
    <xf numFmtId="173" fontId="0" fillId="0" borderId="0" xfId="0" applyNumberFormat="1"/>
    <xf numFmtId="191" fontId="0" fillId="0" borderId="0" xfId="0" applyNumberFormat="1" applyAlignment="1">
      <alignment horizontal="left"/>
    </xf>
    <xf numFmtId="14" fontId="0" fillId="0" borderId="0" xfId="0" applyNumberFormat="1"/>
    <xf numFmtId="3" fontId="6" fillId="0" borderId="0" xfId="1" applyNumberFormat="1" applyFont="1" applyAlignment="1">
      <alignment horizontal="center"/>
    </xf>
    <xf numFmtId="165" fontId="94" fillId="0" borderId="0" xfId="1" applyNumberFormat="1" applyFont="1"/>
    <xf numFmtId="3" fontId="94" fillId="0" borderId="0" xfId="1" applyNumberFormat="1" applyFont="1"/>
    <xf numFmtId="44" fontId="0" fillId="0" borderId="0" xfId="0" applyNumberFormat="1"/>
    <xf numFmtId="10" fontId="7" fillId="0" borderId="0" xfId="2" applyNumberFormat="1" applyFont="1"/>
    <xf numFmtId="0" fontId="1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10" xfId="0" applyFont="1" applyBorder="1" applyAlignment="1">
      <alignment horizontal="center" wrapText="1"/>
    </xf>
    <xf numFmtId="0" fontId="0" fillId="0" borderId="14" xfId="0" applyBorder="1"/>
    <xf numFmtId="181" fontId="0" fillId="0" borderId="14" xfId="21" applyNumberFormat="1" applyFont="1" applyBorder="1"/>
    <xf numFmtId="44" fontId="0" fillId="0" borderId="14" xfId="0" applyNumberFormat="1" applyBorder="1"/>
    <xf numFmtId="0" fontId="0" fillId="0" borderId="14" xfId="0" applyBorder="1" applyAlignment="1">
      <alignment horizontal="center"/>
    </xf>
    <xf numFmtId="44" fontId="0" fillId="0" borderId="14" xfId="0" applyNumberFormat="1" applyBorder="1" applyAlignment="1">
      <alignment vertical="center"/>
    </xf>
    <xf numFmtId="1" fontId="6" fillId="0" borderId="0" xfId="0" applyNumberFormat="1" applyFont="1" applyFill="1"/>
    <xf numFmtId="0" fontId="25" fillId="0" borderId="0" xfId="1" applyFont="1" applyFill="1"/>
    <xf numFmtId="43" fontId="0" fillId="0" borderId="10" xfId="21" applyFont="1" applyBorder="1"/>
    <xf numFmtId="0" fontId="0" fillId="44" borderId="0" xfId="0" applyFill="1"/>
    <xf numFmtId="43" fontId="0" fillId="44" borderId="0" xfId="21" applyFont="1" applyFill="1"/>
    <xf numFmtId="181" fontId="75" fillId="0" borderId="0" xfId="13" applyNumberFormat="1" applyFont="1"/>
    <xf numFmtId="0" fontId="95" fillId="0" borderId="0" xfId="11" applyFont="1"/>
    <xf numFmtId="0" fontId="95" fillId="0" borderId="0" xfId="11" applyFont="1" applyFill="1"/>
    <xf numFmtId="0" fontId="26" fillId="0" borderId="0" xfId="0" applyFont="1" applyAlignment="1">
      <alignment horizontal="center"/>
    </xf>
    <xf numFmtId="43" fontId="26" fillId="0" borderId="0" xfId="138" applyFont="1"/>
    <xf numFmtId="0" fontId="6" fillId="0" borderId="0" xfId="0" applyFont="1" applyAlignment="1">
      <alignment wrapText="1"/>
    </xf>
    <xf numFmtId="191" fontId="0" fillId="45" borderId="0" xfId="0" applyNumberFormat="1" applyFill="1" applyAlignment="1">
      <alignment horizontal="left"/>
    </xf>
    <xf numFmtId="192" fontId="63" fillId="45" borderId="0" xfId="0" applyNumberFormat="1" applyFont="1" applyFill="1" applyAlignment="1">
      <alignment horizontal="center"/>
    </xf>
    <xf numFmtId="0" fontId="0" fillId="45" borderId="0" xfId="0" applyFill="1"/>
    <xf numFmtId="43" fontId="0" fillId="45" borderId="0" xfId="21" applyFont="1" applyFill="1"/>
    <xf numFmtId="181" fontId="0" fillId="45" borderId="0" xfId="21" applyNumberFormat="1" applyFont="1" applyFill="1"/>
    <xf numFmtId="173" fontId="0" fillId="45" borderId="0" xfId="0" applyNumberFormat="1" applyFill="1"/>
    <xf numFmtId="191" fontId="0" fillId="0" borderId="0" xfId="0" applyNumberFormat="1" applyFill="1" applyAlignment="1">
      <alignment horizontal="left"/>
    </xf>
    <xf numFmtId="192" fontId="63" fillId="0" borderId="0" xfId="0" applyNumberFormat="1" applyFont="1" applyFill="1" applyAlignment="1">
      <alignment horizontal="center"/>
    </xf>
    <xf numFmtId="43" fontId="0" fillId="0" borderId="0" xfId="21" applyFont="1" applyFill="1"/>
    <xf numFmtId="3" fontId="26" fillId="0" borderId="0" xfId="1" applyNumberFormat="1" applyFont="1" applyFill="1" applyBorder="1"/>
    <xf numFmtId="10" fontId="26" fillId="0" borderId="0" xfId="2" applyNumberFormat="1" applyFont="1" applyFill="1"/>
    <xf numFmtId="177" fontId="33" fillId="2" borderId="0" xfId="3" applyNumberFormat="1" applyFont="1" applyFill="1" applyProtection="1">
      <protection locked="0"/>
    </xf>
    <xf numFmtId="193" fontId="9" fillId="0" borderId="0" xfId="3" applyNumberFormat="1" applyFont="1" applyAlignment="1" applyProtection="1">
      <alignment horizontal="left"/>
    </xf>
    <xf numFmtId="187" fontId="26" fillId="0" borderId="0" xfId="20" applyNumberFormat="1" applyFont="1" applyFill="1"/>
    <xf numFmtId="0" fontId="82" fillId="0" borderId="0" xfId="136" applyFont="1"/>
    <xf numFmtId="43" fontId="29" fillId="0" borderId="10" xfId="0" applyNumberFormat="1" applyFont="1" applyBorder="1"/>
    <xf numFmtId="43" fontId="29" fillId="0" borderId="10" xfId="0" applyNumberFormat="1" applyFont="1" applyFill="1" applyBorder="1"/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1" fillId="0" borderId="0" xfId="134" applyFont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2" fillId="0" borderId="10" xfId="0" applyFont="1" applyFill="1" applyBorder="1" applyAlignment="1">
      <alignment horizontal="center"/>
    </xf>
    <xf numFmtId="0" fontId="82" fillId="0" borderId="0" xfId="134" applyFont="1" applyAlignment="1">
      <alignment horizontal="center"/>
    </xf>
    <xf numFmtId="0" fontId="84" fillId="0" borderId="0" xfId="134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1" applyAlignment="1">
      <alignment horizontal="left" wrapText="1"/>
    </xf>
    <xf numFmtId="0" fontId="6" fillId="0" borderId="0" xfId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6" fillId="0" borderId="21" xfId="137" applyBorder="1" applyAlignment="1">
      <alignment horizontal="center"/>
    </xf>
    <xf numFmtId="0" fontId="6" fillId="0" borderId="20" xfId="137" applyBorder="1" applyAlignment="1">
      <alignment horizontal="center"/>
    </xf>
    <xf numFmtId="0" fontId="6" fillId="0" borderId="19" xfId="137" applyBorder="1" applyAlignment="1">
      <alignment horizontal="center"/>
    </xf>
  </cellXfs>
  <cellStyles count="139">
    <cellStyle name="20% - Accent1" xfId="39" builtinId="30" customBuiltin="1"/>
    <cellStyle name="20% - Accent1 2" xfId="66" xr:uid="{00000000-0005-0000-0000-000001000000}"/>
    <cellStyle name="20% - Accent1 2 2" xfId="84" xr:uid="{00000000-0005-0000-0000-000002000000}"/>
    <cellStyle name="20% - Accent1 2 3" xfId="114" xr:uid="{00000000-0005-0000-0000-000003000000}"/>
    <cellStyle name="20% - Accent1 3" xfId="96" xr:uid="{00000000-0005-0000-0000-000004000000}"/>
    <cellStyle name="20% - Accent2" xfId="43" builtinId="34" customBuiltin="1"/>
    <cellStyle name="20% - Accent2 2" xfId="68" xr:uid="{00000000-0005-0000-0000-000006000000}"/>
    <cellStyle name="20% - Accent2 2 2" xfId="86" xr:uid="{00000000-0005-0000-0000-000007000000}"/>
    <cellStyle name="20% - Accent2 2 3" xfId="116" xr:uid="{00000000-0005-0000-0000-000008000000}"/>
    <cellStyle name="20% - Accent2 3" xfId="98" xr:uid="{00000000-0005-0000-0000-000009000000}"/>
    <cellStyle name="20% - Accent3" xfId="47" builtinId="38" customBuiltin="1"/>
    <cellStyle name="20% - Accent3 2" xfId="70" xr:uid="{00000000-0005-0000-0000-00000B000000}"/>
    <cellStyle name="20% - Accent3 2 2" xfId="88" xr:uid="{00000000-0005-0000-0000-00000C000000}"/>
    <cellStyle name="20% - Accent3 2 3" xfId="118" xr:uid="{00000000-0005-0000-0000-00000D000000}"/>
    <cellStyle name="20% - Accent3 3" xfId="100" xr:uid="{00000000-0005-0000-0000-00000E000000}"/>
    <cellStyle name="20% - Accent4" xfId="51" builtinId="42" customBuiltin="1"/>
    <cellStyle name="20% - Accent4 2" xfId="72" xr:uid="{00000000-0005-0000-0000-000010000000}"/>
    <cellStyle name="20% - Accent4 2 2" xfId="90" xr:uid="{00000000-0005-0000-0000-000011000000}"/>
    <cellStyle name="20% - Accent4 2 3" xfId="120" xr:uid="{00000000-0005-0000-0000-000012000000}"/>
    <cellStyle name="20% - Accent4 3" xfId="102" xr:uid="{00000000-0005-0000-0000-000013000000}"/>
    <cellStyle name="20% - Accent5" xfId="55" builtinId="46" customBuiltin="1"/>
    <cellStyle name="20% - Accent5 2" xfId="74" xr:uid="{00000000-0005-0000-0000-000015000000}"/>
    <cellStyle name="20% - Accent5 2 2" xfId="92" xr:uid="{00000000-0005-0000-0000-000016000000}"/>
    <cellStyle name="20% - Accent5 2 3" xfId="122" xr:uid="{00000000-0005-0000-0000-000017000000}"/>
    <cellStyle name="20% - Accent5 3" xfId="104" xr:uid="{00000000-0005-0000-0000-000018000000}"/>
    <cellStyle name="20% - Accent6" xfId="59" builtinId="50" customBuiltin="1"/>
    <cellStyle name="20% - Accent6 2" xfId="76" xr:uid="{00000000-0005-0000-0000-00001A000000}"/>
    <cellStyle name="20% - Accent6 2 2" xfId="94" xr:uid="{00000000-0005-0000-0000-00001B000000}"/>
    <cellStyle name="20% - Accent6 2 3" xfId="124" xr:uid="{00000000-0005-0000-0000-00001C000000}"/>
    <cellStyle name="20% - Accent6 3" xfId="106" xr:uid="{00000000-0005-0000-0000-00001D000000}"/>
    <cellStyle name="40% - Accent1" xfId="40" builtinId="31" customBuiltin="1"/>
    <cellStyle name="40% - Accent1 2" xfId="67" xr:uid="{00000000-0005-0000-0000-00001F000000}"/>
    <cellStyle name="40% - Accent1 2 2" xfId="85" xr:uid="{00000000-0005-0000-0000-000020000000}"/>
    <cellStyle name="40% - Accent1 2 3" xfId="115" xr:uid="{00000000-0005-0000-0000-000021000000}"/>
    <cellStyle name="40% - Accent1 3" xfId="97" xr:uid="{00000000-0005-0000-0000-000022000000}"/>
    <cellStyle name="40% - Accent2" xfId="44" builtinId="35" customBuiltin="1"/>
    <cellStyle name="40% - Accent2 2" xfId="69" xr:uid="{00000000-0005-0000-0000-000024000000}"/>
    <cellStyle name="40% - Accent2 2 2" xfId="87" xr:uid="{00000000-0005-0000-0000-000025000000}"/>
    <cellStyle name="40% - Accent2 2 3" xfId="117" xr:uid="{00000000-0005-0000-0000-000026000000}"/>
    <cellStyle name="40% - Accent2 3" xfId="99" xr:uid="{00000000-0005-0000-0000-000027000000}"/>
    <cellStyle name="40% - Accent3" xfId="48" builtinId="39" customBuiltin="1"/>
    <cellStyle name="40% - Accent3 2" xfId="71" xr:uid="{00000000-0005-0000-0000-000029000000}"/>
    <cellStyle name="40% - Accent3 2 2" xfId="89" xr:uid="{00000000-0005-0000-0000-00002A000000}"/>
    <cellStyle name="40% - Accent3 2 3" xfId="119" xr:uid="{00000000-0005-0000-0000-00002B000000}"/>
    <cellStyle name="40% - Accent3 3" xfId="101" xr:uid="{00000000-0005-0000-0000-00002C000000}"/>
    <cellStyle name="40% - Accent4" xfId="52" builtinId="43" customBuiltin="1"/>
    <cellStyle name="40% - Accent4 2" xfId="73" xr:uid="{00000000-0005-0000-0000-00002E000000}"/>
    <cellStyle name="40% - Accent4 2 2" xfId="91" xr:uid="{00000000-0005-0000-0000-00002F000000}"/>
    <cellStyle name="40% - Accent4 2 3" xfId="121" xr:uid="{00000000-0005-0000-0000-000030000000}"/>
    <cellStyle name="40% - Accent4 3" xfId="103" xr:uid="{00000000-0005-0000-0000-000031000000}"/>
    <cellStyle name="40% - Accent5" xfId="56" builtinId="47" customBuiltin="1"/>
    <cellStyle name="40% - Accent5 2" xfId="75" xr:uid="{00000000-0005-0000-0000-000033000000}"/>
    <cellStyle name="40% - Accent5 2 2" xfId="93" xr:uid="{00000000-0005-0000-0000-000034000000}"/>
    <cellStyle name="40% - Accent5 2 3" xfId="123" xr:uid="{00000000-0005-0000-0000-000035000000}"/>
    <cellStyle name="40% - Accent5 3" xfId="105" xr:uid="{00000000-0005-0000-0000-000036000000}"/>
    <cellStyle name="40% - Accent6" xfId="60" builtinId="51" customBuiltin="1"/>
    <cellStyle name="40% - Accent6 2" xfId="77" xr:uid="{00000000-0005-0000-0000-000038000000}"/>
    <cellStyle name="40% - Accent6 2 2" xfId="95" xr:uid="{00000000-0005-0000-0000-000039000000}"/>
    <cellStyle name="40% - Accent6 2 3" xfId="125" xr:uid="{00000000-0005-0000-0000-00003A000000}"/>
    <cellStyle name="40% - Accent6 3" xfId="107" xr:uid="{00000000-0005-0000-0000-00003B000000}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28" builtinId="27" customBuiltin="1"/>
    <cellStyle name="Calculation" xfId="32" builtinId="22" customBuiltin="1"/>
    <cellStyle name="Check Cell" xfId="34" builtinId="23" customBuiltin="1"/>
    <cellStyle name="Comma" xfId="21" builtinId="3"/>
    <cellStyle name="Comma 10 2" xfId="138" xr:uid="{1FB36D26-CADE-4D64-B98A-A7C65C20C073}"/>
    <cellStyle name="Comma 2" xfId="5" xr:uid="{00000000-0005-0000-0000-00004C000000}"/>
    <cellStyle name="Comma 209" xfId="131" xr:uid="{BBB99FCE-22E6-410D-9D0B-CBAF47310DB0}"/>
    <cellStyle name="Comma 3" xfId="10" xr:uid="{00000000-0005-0000-0000-00004D000000}"/>
    <cellStyle name="Comma 4" xfId="13" xr:uid="{00000000-0005-0000-0000-00004E000000}"/>
    <cellStyle name="Comma 5" xfId="64" xr:uid="{00000000-0005-0000-0000-00004F000000}"/>
    <cellStyle name="Comma 5 2" xfId="80" xr:uid="{00000000-0005-0000-0000-000050000000}"/>
    <cellStyle name="Comma 5 2 2" xfId="128" xr:uid="{00000000-0005-0000-0000-000051000000}"/>
    <cellStyle name="Comma 5 3" xfId="110" xr:uid="{00000000-0005-0000-0000-000052000000}"/>
    <cellStyle name="Comma0" xfId="15" xr:uid="{00000000-0005-0000-0000-000053000000}"/>
    <cellStyle name="Currency" xfId="20" builtinId="4"/>
    <cellStyle name="Currency 2" xfId="9" xr:uid="{00000000-0005-0000-0000-000055000000}"/>
    <cellStyle name="Currency 2 2" xfId="135" xr:uid="{13B64062-68EF-41DA-B284-CB8F155101E4}"/>
    <cellStyle name="Currency 3" xfId="12" xr:uid="{00000000-0005-0000-0000-000056000000}"/>
    <cellStyle name="Currency 4" xfId="113" xr:uid="{00000000-0005-0000-0000-000057000000}"/>
    <cellStyle name="Currency 4 2" xfId="83" xr:uid="{00000000-0005-0000-0000-000058000000}"/>
    <cellStyle name="Currency0" xfId="16" xr:uid="{00000000-0005-0000-0000-000059000000}"/>
    <cellStyle name="Date" xfId="17" xr:uid="{00000000-0005-0000-0000-00005A000000}"/>
    <cellStyle name="Explanatory Text" xfId="36" builtinId="53" customBuiltin="1"/>
    <cellStyle name="Fixed" xfId="18" xr:uid="{00000000-0005-0000-0000-00005C000000}"/>
    <cellStyle name="Good" xfId="27" builtinId="26" customBuiltin="1"/>
    <cellStyle name="Heading 1" xfId="23" builtinId="16" customBuiltin="1"/>
    <cellStyle name="Heading 2" xfId="24" builtinId="17" customBuiltin="1"/>
    <cellStyle name="Heading 3" xfId="25" builtinId="18" customBuiltin="1"/>
    <cellStyle name="Heading 4" xfId="26" builtinId="19" customBuiltin="1"/>
    <cellStyle name="Input" xfId="30" builtinId="20" customBuiltin="1"/>
    <cellStyle name="Input Cells_EXTERNAL" xfId="19" xr:uid="{00000000-0005-0000-0000-000064000000}"/>
    <cellStyle name="Linked Cell" xfId="33" builtinId="24" customBuiltin="1"/>
    <cellStyle name="Neutral" xfId="29" builtinId="28" customBuiltin="1"/>
    <cellStyle name="Normal" xfId="0" builtinId="0"/>
    <cellStyle name="Normal 10 11" xfId="137" xr:uid="{0C8D30AC-2A44-4115-BEE4-57CB704CA97F}"/>
    <cellStyle name="Normal 2" xfId="1" xr:uid="{00000000-0005-0000-0000-000068000000}"/>
    <cellStyle name="Normal 2 2" xfId="7" xr:uid="{00000000-0005-0000-0000-000069000000}"/>
    <cellStyle name="Normal 2 2 2" xfId="134" xr:uid="{461DB5B8-9494-4255-BE00-8F9F85843307}"/>
    <cellStyle name="Normal 2 28" xfId="130" xr:uid="{7096942C-3B0D-4228-ABF3-180EFDB0BC41}"/>
    <cellStyle name="Normal 3" xfId="3" xr:uid="{00000000-0005-0000-0000-00006A000000}"/>
    <cellStyle name="Normal 4" xfId="11" xr:uid="{00000000-0005-0000-0000-00006B000000}"/>
    <cellStyle name="Normal 4 39" xfId="133" xr:uid="{DBF67E5A-F7C9-4A6E-BF83-0CA390F1A015}"/>
    <cellStyle name="Normal 5" xfId="62" xr:uid="{00000000-0005-0000-0000-00006C000000}"/>
    <cellStyle name="Normal 5 2" xfId="78" xr:uid="{00000000-0005-0000-0000-00006D000000}"/>
    <cellStyle name="Normal 5 2 2" xfId="126" xr:uid="{00000000-0005-0000-0000-00006E000000}"/>
    <cellStyle name="Normal 5 3" xfId="108" xr:uid="{00000000-0005-0000-0000-00006F000000}"/>
    <cellStyle name="Normal 6" xfId="112" xr:uid="{00000000-0005-0000-0000-000070000000}"/>
    <cellStyle name="Normal 6 2" xfId="82" xr:uid="{00000000-0005-0000-0000-000071000000}"/>
    <cellStyle name="Normal_Misc Assign WA" xfId="136" xr:uid="{D84B430E-66CA-4ACB-9AA5-ED8AD4FA92D3}"/>
    <cellStyle name="Note 2" xfId="63" xr:uid="{00000000-0005-0000-0000-000074000000}"/>
    <cellStyle name="Note 2 2" xfId="79" xr:uid="{00000000-0005-0000-0000-000075000000}"/>
    <cellStyle name="Note 2 2 2" xfId="127" xr:uid="{00000000-0005-0000-0000-000076000000}"/>
    <cellStyle name="Note 2 3" xfId="109" xr:uid="{00000000-0005-0000-0000-000077000000}"/>
    <cellStyle name="Output" xfId="31" builtinId="21" customBuiltin="1"/>
    <cellStyle name="Percent" xfId="2" builtinId="5"/>
    <cellStyle name="Percent 183" xfId="132" xr:uid="{85776ED1-1681-4B5C-81D5-9F522915F654}"/>
    <cellStyle name="Percent 2" xfId="4" xr:uid="{00000000-0005-0000-0000-00007A000000}"/>
    <cellStyle name="Percent 2 2" xfId="8" xr:uid="{00000000-0005-0000-0000-00007B000000}"/>
    <cellStyle name="Percent 3" xfId="6" xr:uid="{00000000-0005-0000-0000-00007C000000}"/>
    <cellStyle name="Percent 4" xfId="14" xr:uid="{00000000-0005-0000-0000-00007D000000}"/>
    <cellStyle name="Percent 5" xfId="65" xr:uid="{00000000-0005-0000-0000-00007E000000}"/>
    <cellStyle name="Percent 5 2" xfId="81" xr:uid="{00000000-0005-0000-0000-00007F000000}"/>
    <cellStyle name="Percent 5 2 2" xfId="129" xr:uid="{00000000-0005-0000-0000-000080000000}"/>
    <cellStyle name="Percent 5 3" xfId="111" xr:uid="{00000000-0005-0000-0000-000081000000}"/>
    <cellStyle name="Title" xfId="22" builtinId="15" customBuiltin="1"/>
    <cellStyle name="Total" xfId="37" builtinId="25" customBuiltin="1"/>
    <cellStyle name="Warning Text" xfId="35" builtinId="11" customBuiltin="1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numFmt numFmtId="0" formatCode="General"/>
    </dxf>
    <dxf>
      <numFmt numFmtId="14" formatCode="0.00%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mruColors>
      <color rgb="FFFF00FF"/>
      <color rgb="FF0000FF"/>
      <color rgb="FF0F24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3</xdr:col>
      <xdr:colOff>276225</xdr:colOff>
      <xdr:row>2</xdr:row>
      <xdr:rowOff>123825</xdr:rowOff>
    </xdr:to>
    <xdr:sp macro="" textlink="">
      <xdr:nvSpPr>
        <xdr:cNvPr id="1508" name="Text Box 484">
          <a:extLst>
            <a:ext uri="{FF2B5EF4-FFF2-40B4-BE49-F238E27FC236}">
              <a16:creationId xmlns:a16="http://schemas.microsoft.com/office/drawing/2014/main" id="{00000000-0008-0000-0600-0000E4050000}"/>
            </a:ext>
          </a:extLst>
        </xdr:cNvPr>
        <xdr:cNvSpPr txBox="1">
          <a:spLocks noChangeArrowheads="1"/>
        </xdr:cNvSpPr>
      </xdr:nvSpPr>
      <xdr:spPr bwMode="auto">
        <a:xfrm>
          <a:off x="285750" y="219075"/>
          <a:ext cx="1114425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6</xdr:row>
          <xdr:rowOff>47625</xdr:rowOff>
        </xdr:from>
        <xdr:to>
          <xdr:col>1</xdr:col>
          <xdr:colOff>523875</xdr:colOff>
          <xdr:row>7</xdr:row>
          <xdr:rowOff>133350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6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6</xdr:row>
          <xdr:rowOff>47625</xdr:rowOff>
        </xdr:from>
        <xdr:to>
          <xdr:col>36</xdr:col>
          <xdr:colOff>523875</xdr:colOff>
          <xdr:row>7</xdr:row>
          <xdr:rowOff>133350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6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168</xdr:row>
          <xdr:rowOff>47625</xdr:rowOff>
        </xdr:from>
        <xdr:to>
          <xdr:col>1</xdr:col>
          <xdr:colOff>523875</xdr:colOff>
          <xdr:row>169</xdr:row>
          <xdr:rowOff>133350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6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168</xdr:row>
          <xdr:rowOff>47625</xdr:rowOff>
        </xdr:from>
        <xdr:to>
          <xdr:col>36</xdr:col>
          <xdr:colOff>523875</xdr:colOff>
          <xdr:row>169</xdr:row>
          <xdr:rowOff>133350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6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</xdr:colOff>
          <xdr:row>168</xdr:row>
          <xdr:rowOff>47625</xdr:rowOff>
        </xdr:from>
        <xdr:to>
          <xdr:col>68</xdr:col>
          <xdr:colOff>523875</xdr:colOff>
          <xdr:row>169</xdr:row>
          <xdr:rowOff>133350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6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1</xdr:col>
      <xdr:colOff>1695450</xdr:colOff>
      <xdr:row>2</xdr:row>
      <xdr:rowOff>101600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SpPr txBox="1">
          <a:spLocks noChangeArrowheads="1"/>
        </xdr:cNvSpPr>
      </xdr:nvSpPr>
      <xdr:spPr bwMode="auto">
        <a:xfrm>
          <a:off x="352425" y="200025"/>
          <a:ext cx="165735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1847850</xdr:colOff>
          <xdr:row>4</xdr:row>
          <xdr:rowOff>38100</xdr:rowOff>
        </xdr:from>
        <xdr:to>
          <xdr:col>1</xdr:col>
          <xdr:colOff>2362200</xdr:colOff>
          <xdr:row>5</xdr:row>
          <xdr:rowOff>123825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7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1295400</xdr:colOff>
          <xdr:row>3</xdr:row>
          <xdr:rowOff>38100</xdr:rowOff>
        </xdr:from>
        <xdr:to>
          <xdr:col>1</xdr:col>
          <xdr:colOff>1809750</xdr:colOff>
          <xdr:row>4</xdr:row>
          <xdr:rowOff>123825</xdr:rowOff>
        </xdr:to>
        <xdr:sp macro="" textlink="">
          <xdr:nvSpPr>
            <xdr:cNvPr id="2083" name="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8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63</xdr:row>
          <xdr:rowOff>38100</xdr:rowOff>
        </xdr:from>
        <xdr:to>
          <xdr:col>1</xdr:col>
          <xdr:colOff>581025</xdr:colOff>
          <xdr:row>64</xdr:row>
          <xdr:rowOff>123825</xdr:rowOff>
        </xdr:to>
        <xdr:sp macro="" textlink="">
          <xdr:nvSpPr>
            <xdr:cNvPr id="2084" name="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8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2022%20WA%20Elec%20and%20Gas%20GRC/Natural%20Gas%20Cost%20of%20Service/9.2021%20Avista%20-%20WA%20Cost%20of%20Service%20(NG)%20-%20Base%20Case%2011.15.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RR Cross Reference"/>
      <sheetName val="B-COS Results"/>
      <sheetName val="C-COS Allocation Factors"/>
      <sheetName val="D-Summary of Adjustments"/>
      <sheetName val="E-Summary of Results"/>
      <sheetName val="Print"/>
      <sheetName val="Detail"/>
      <sheetName val="Summary"/>
      <sheetName val="Factors"/>
      <sheetName val="Avg Cust Unit Costs"/>
      <sheetName val="Acerno_Cache_XXXXX"/>
      <sheetName val="AMI Costs and Benefits"/>
      <sheetName val="PROFORMA"/>
      <sheetName val="Demand Documentation"/>
      <sheetName val="Demand Sch 146 adj"/>
      <sheetName val="Demand - Firm Peak"/>
      <sheetName val="Demand - Firm Peak by Sch"/>
      <sheetName val="Demand - Pk-Avg"/>
      <sheetName val="Winter Therm - Summary"/>
      <sheetName val="Winter Therm - Usage"/>
      <sheetName val="Meters 121_131_146"/>
      <sheetName val="Typical Service Cost"/>
      <sheetName val="Average Meter Type"/>
      <sheetName val="Industrial Meter Installations"/>
      <sheetName val="Acct 928"/>
      <sheetName val="Acct 813"/>
      <sheetName val="G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7">
          <cell r="C37">
            <v>0</v>
          </cell>
        </row>
        <row r="38">
          <cell r="C38">
            <v>0</v>
          </cell>
        </row>
      </sheetData>
      <sheetData sheetId="21" refreshError="1"/>
      <sheetData sheetId="22" refreshError="1">
        <row r="4">
          <cell r="A4" t="str">
            <v>Twelve Months Ended September 30, 2021</v>
          </cell>
        </row>
        <row r="8">
          <cell r="D8" t="str">
            <v>2019 Total Cost</v>
          </cell>
          <cell r="E8" t="str">
            <v>Average AMI module cost</v>
          </cell>
        </row>
        <row r="10">
          <cell r="E10">
            <v>108.2901890287084</v>
          </cell>
        </row>
        <row r="11">
          <cell r="E11">
            <v>108.2901890287084</v>
          </cell>
        </row>
        <row r="12">
          <cell r="E12">
            <v>108.2901890287084</v>
          </cell>
        </row>
        <row r="13">
          <cell r="E13">
            <v>108.2901890287084</v>
          </cell>
        </row>
        <row r="14">
          <cell r="E14">
            <v>108.2901890287084</v>
          </cell>
        </row>
        <row r="18">
          <cell r="E18">
            <v>128.19145412388207</v>
          </cell>
        </row>
        <row r="19">
          <cell r="E19">
            <v>128.19145412388207</v>
          </cell>
        </row>
        <row r="20">
          <cell r="E20">
            <v>128.19145412388207</v>
          </cell>
        </row>
        <row r="21">
          <cell r="E21">
            <v>128.19145412388207</v>
          </cell>
        </row>
        <row r="22">
          <cell r="E22">
            <v>128.19145412388207</v>
          </cell>
        </row>
        <row r="26">
          <cell r="E26">
            <v>0</v>
          </cell>
        </row>
        <row r="27">
          <cell r="C27">
            <v>0</v>
          </cell>
          <cell r="E27">
            <v>0</v>
          </cell>
        </row>
        <row r="28">
          <cell r="C28">
            <v>0</v>
          </cell>
          <cell r="E28">
            <v>0</v>
          </cell>
        </row>
        <row r="29">
          <cell r="C29">
            <v>0</v>
          </cell>
          <cell r="E29">
            <v>0</v>
          </cell>
        </row>
        <row r="30">
          <cell r="C30">
            <v>0</v>
          </cell>
          <cell r="E30">
            <v>0</v>
          </cell>
        </row>
        <row r="34">
          <cell r="E34">
            <v>180</v>
          </cell>
        </row>
        <row r="35">
          <cell r="E35">
            <v>180</v>
          </cell>
        </row>
        <row r="36">
          <cell r="C36">
            <v>0</v>
          </cell>
          <cell r="E36">
            <v>180</v>
          </cell>
        </row>
        <row r="37">
          <cell r="C37">
            <v>0</v>
          </cell>
          <cell r="E37">
            <v>180</v>
          </cell>
        </row>
        <row r="38">
          <cell r="E38">
            <v>180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51">
          <cell r="A51" t="str">
            <v>Equip Type</v>
          </cell>
          <cell r="B51" t="str">
            <v>Orig Cost</v>
          </cell>
          <cell r="C51" t="str">
            <v>Install Cost</v>
          </cell>
          <cell r="D51" t="str">
            <v>2019 Total Cost</v>
          </cell>
        </row>
        <row r="52">
          <cell r="A52" t="str">
            <v>COM</v>
          </cell>
        </row>
        <row r="53">
          <cell r="A53" t="str">
            <v>DOM</v>
          </cell>
        </row>
        <row r="54">
          <cell r="A54" t="str">
            <v>IND</v>
          </cell>
        </row>
        <row r="55">
          <cell r="A55" t="str">
            <v>ROT</v>
          </cell>
        </row>
        <row r="56">
          <cell r="A56" t="str">
            <v>TBN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4CDA84-6E42-4923-BB50-F0177A282715}" name="Table1" displayName="Table1" ref="B1:J18" totalsRowShown="0">
  <tableColumns count="9">
    <tableColumn id="1" xr3:uid="{C04ABE64-662A-4F89-B755-609B7129A7AD}" name="Costs"/>
    <tableColumn id="7" xr3:uid="{BE031DC4-20D6-4512-ADF2-5CCDD3AC340B}" name="Description" dataDxfId="15">
      <calculatedColumnFormula>Factors!B22</calculatedColumnFormula>
    </tableColumn>
    <tableColumn id="11" xr3:uid="{F1B2C35F-6DA7-49DD-B137-2CEC27F6FBC8}" name="Acronym" dataDxfId="14">
      <calculatedColumnFormula>Factors!C22</calculatedColumnFormula>
    </tableColumn>
    <tableColumn id="2" xr3:uid="{B837B727-F571-41DB-BAA7-EE6E67E4D61B}" name="Schedule 101" dataDxfId="13">
      <calculatedColumnFormula>Factors!E22</calculatedColumnFormula>
    </tableColumn>
    <tableColumn id="3" xr3:uid="{B58627A7-A241-4789-8AD6-6D700FCC4FAE}" name="Schedule 111"/>
    <tableColumn id="4" xr3:uid="{59D1D7B9-EE3F-4827-97F2-BED5B3A86913}" name="Schedule 121"/>
    <tableColumn id="5" xr3:uid="{04FAF7FE-839F-4D23-A70F-988084B1C273}" name="Schedule 131"/>
    <tableColumn id="6" xr3:uid="{DF36C5C3-2F1C-470E-926F-EB6A4D89D209}" name="Schedule 146"/>
    <tableColumn id="12" xr3:uid="{16DEDD25-C3D1-4EC6-B3E1-FE87EA13C668}" name="TOTAL" dataDxfId="12">
      <calculatedColumnFormula>SUM(Table1[[#This Row],[Schedule 101]:[Schedule 146]])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0B1C-B645-49C8-83E5-39E292EAA387}">
  <sheetPr codeName="Sheet7"/>
  <dimension ref="A1:AX261"/>
  <sheetViews>
    <sheetView topLeftCell="A67" zoomScaleNormal="100" workbookViewId="0">
      <selection activeCell="E4" sqref="E4"/>
    </sheetView>
  </sheetViews>
  <sheetFormatPr defaultColWidth="8.7109375" defaultRowHeight="15.75"/>
  <cols>
    <col min="1" max="1" width="6.5703125" style="530" customWidth="1"/>
    <col min="2" max="2" width="13.85546875" style="495" customWidth="1"/>
    <col min="3" max="3" width="34.140625" style="495" customWidth="1"/>
    <col min="4" max="4" width="21" style="495" customWidth="1"/>
    <col min="5" max="5" width="20.28515625" style="510" customWidth="1"/>
    <col min="6" max="6" width="16.42578125" style="495" customWidth="1"/>
    <col min="7" max="8" width="18.140625" style="495" customWidth="1"/>
    <col min="9" max="9" width="19.5703125" style="495" customWidth="1"/>
    <col min="10" max="11" width="18.140625" style="495" customWidth="1"/>
    <col min="12" max="12" width="20.28515625" style="495" customWidth="1"/>
    <col min="13" max="13" width="19.140625" style="495" customWidth="1"/>
    <col min="14" max="24" width="18.140625" style="495" customWidth="1"/>
    <col min="25" max="25" width="14.5703125" style="495" customWidth="1"/>
    <col min="26" max="45" width="18.7109375" style="495" customWidth="1"/>
    <col min="46" max="46" width="21.140625" style="495" bestFit="1" customWidth="1"/>
    <col min="47" max="47" width="18.140625" style="495" customWidth="1"/>
    <col min="48" max="48" width="20.28515625" style="495" customWidth="1"/>
    <col min="49" max="49" width="17" style="495" customWidth="1"/>
    <col min="50" max="50" width="20.42578125" style="495" customWidth="1"/>
    <col min="51" max="16384" width="8.7109375" style="495"/>
  </cols>
  <sheetData>
    <row r="1" spans="1:50" ht="16.5" thickBot="1">
      <c r="A1" s="591" t="s">
        <v>467</v>
      </c>
      <c r="B1" s="591" t="s">
        <v>1117</v>
      </c>
      <c r="C1" s="504"/>
      <c r="E1" s="508" t="s">
        <v>156</v>
      </c>
      <c r="X1" s="528" t="s">
        <v>154</v>
      </c>
      <c r="AT1" s="528" t="s">
        <v>1145</v>
      </c>
      <c r="AU1" s="528" t="s">
        <v>1146</v>
      </c>
      <c r="AV1" s="528" t="s">
        <v>1147</v>
      </c>
      <c r="AW1" s="528" t="s">
        <v>1148</v>
      </c>
      <c r="AX1" s="528" t="s">
        <v>1149</v>
      </c>
    </row>
    <row r="2" spans="1:50" s="496" customFormat="1" ht="58.5" customHeight="1" thickBot="1">
      <c r="A2" s="590" t="s">
        <v>1063</v>
      </c>
      <c r="B2" s="516"/>
      <c r="C2" s="509"/>
      <c r="D2" s="506" t="s">
        <v>1078</v>
      </c>
      <c r="E2" s="511" t="s">
        <v>1061</v>
      </c>
      <c r="F2" s="507" t="str">
        <f>CONCATENATE(PROFORMA!G6,PROFORMA!G7)</f>
        <v>Deferred FITRate Base</v>
      </c>
      <c r="G2" s="507" t="str">
        <f>CONCATENATE(PROFORMA!H6,PROFORMA!H7)</f>
        <v>Deferred Debitsand Credits</v>
      </c>
      <c r="H2" s="507" t="str">
        <f>CONCATENATE(PROFORMA!I6,PROFORMA!I7)</f>
        <v>Working Capital</v>
      </c>
      <c r="I2" s="507" t="str">
        <f>CONCATENATE(PROFORMA!J6,PROFORMA!J7)</f>
        <v>EliminateB &amp; O Taxes</v>
      </c>
      <c r="J2" s="507" t="str">
        <f>CONCATENATE(PROFORMA!J6,PROFORMA!J7)</f>
        <v>EliminateB &amp; O Taxes</v>
      </c>
      <c r="K2" s="507" t="str">
        <f>CONCATENATE(PROFORMA!K6,PROFORMA!K7)</f>
        <v>RestateProperty Taxes</v>
      </c>
      <c r="L2" s="507" t="str">
        <f>CONCATENATE(PROFORMA!L6,PROFORMA!L7)</f>
        <v>UncollectibleExpense</v>
      </c>
      <c r="M2" s="507" t="str">
        <f>CONCATENATE(PROFORMA!M6,PROFORMA!M7)</f>
        <v>RegulatoryExpense</v>
      </c>
      <c r="N2" s="507" t="str">
        <f>CONCATENATE(PROFORMA!N6,PROFORMA!N7)</f>
        <v>Injuries &amp;Damages</v>
      </c>
      <c r="O2" s="507" t="str">
        <f>CONCATENATE(PROFORMA!O6,PROFORMA!O7)</f>
        <v>FIT/DFITExpense</v>
      </c>
      <c r="P2" s="507" t="str">
        <f>CONCATENATE(PROFORMA!P6,PROFORMA!P7)</f>
        <v>Office SpaceCharges to Subs</v>
      </c>
      <c r="Q2" s="507" t="str">
        <f>CONCATENATE(PROFORMA!Q6,PROFORMA!Q7)</f>
        <v>RestateExcise Tax</v>
      </c>
      <c r="R2" s="507" t="str">
        <f>CONCATENATE(PROFORMA!R6,PROFORMA!R7)</f>
        <v>Net Gains/Losses</v>
      </c>
      <c r="S2" s="507" t="str">
        <f>CONCATENATE(PROFORMA!S6,PROFORMA!S7)</f>
        <v>Weather NormalizationGas Cost Adjust</v>
      </c>
      <c r="T2" s="507" t="str">
        <f>CONCATENATE(PROFORMA!T6,PROFORMA!T7)</f>
        <v>EliminateAdder Schedules</v>
      </c>
      <c r="U2" s="507" t="str">
        <f>CONCATENATE(PROFORMA!U6,PROFORMA!U7)</f>
        <v>Misc. RestatingAdjustments</v>
      </c>
      <c r="V2" s="507" t="str">
        <f>CONCATENATE(PROFORMA!V6,PROFORMA!V7)</f>
        <v>Restating Incentives</v>
      </c>
      <c r="W2" s="507" t="str">
        <f>CONCATENATE(PROFORMA!W6,PROFORMA!W7)</f>
        <v>Restate Debt Int</v>
      </c>
      <c r="X2" s="512" t="s">
        <v>1127</v>
      </c>
      <c r="Y2" s="507" t="str">
        <f>CONCATENATE(PROFORMA!Y6,PROFORMA!Y7)</f>
        <v>Pro Forma RevenueNormalization</v>
      </c>
      <c r="Z2" s="507" t="str">
        <f>CONCATENATE(PROFORMA!Z6,PROFORMA!Z7)</f>
        <v>Pro Forma Def. Debits &amp; Credits</v>
      </c>
      <c r="AA2" s="507" t="str">
        <f>CONCATENATE(PROFORMA!AA6,PROFORMA!AA7)</f>
        <v>Pro FormaEDIT (RSGM)</v>
      </c>
      <c r="AB2" s="507" t="str">
        <f>CONCATENATE(PROFORMA!AB6,PROFORMA!AB7)</f>
        <v>Pro FormaAMI Amortization</v>
      </c>
      <c r="AC2" s="507" t="str">
        <f>CONCATENATE(PROFORMA!AC6,PROFORMA!AC7)</f>
        <v>Pro FormaNon-Exec Labor</v>
      </c>
      <c r="AD2" s="507" t="str">
        <f>CONCATENATE(PROFORMA!AD6,PROFORMA!AD7)</f>
        <v>Pro FormaExec Labor</v>
      </c>
      <c r="AE2" s="507" t="str">
        <f>CONCATENATE(PROFORMA!AE6,PROFORMA!AE7)</f>
        <v>Pro FormaEmpl. Benefits</v>
      </c>
      <c r="AF2" s="507" t="str">
        <f>CONCATENATE(PROFORMA!AG6,PROFORMA!AG7)</f>
        <v>RemoveLIRAP Labor</v>
      </c>
      <c r="AG2" s="507" t="str">
        <f>CONCATENATE(PROFORMA!AH6,PROFORMA!AH7)</f>
        <v>Pro FormaCCA Labor</v>
      </c>
      <c r="AH2" s="507" t="str">
        <f>CONCATENATE(PROFORMA!AI6,PROFORMA!AI7)</f>
        <v>Pro FormaProperty Tax</v>
      </c>
      <c r="AI2" s="507" t="str">
        <f>CONCATENATE(PROFORMA!AJ6,PROFORMA!AJ7)</f>
        <v>Pro FormaInsurance Expense</v>
      </c>
      <c r="AJ2" s="507" t="str">
        <f>CONCATENATE(PROFORMA!AK6,PROFORMA!AK7)</f>
        <v>Pro FormaIS/IT</v>
      </c>
      <c r="AK2" s="507" t="str">
        <f>CONCATENATE(PROFORMA!AL6,PROFORMA!AL7)</f>
        <v>Pro Forma Misc O&amp;M Expense</v>
      </c>
      <c r="AL2" s="507" t="str">
        <f>CONCATENATE(PROFORMA!AM6,PROFORMA!AM7)</f>
        <v>Pro FormaCapital Add. To 12/31/23 EOP</v>
      </c>
      <c r="AM2" s="507" t="str">
        <f>CONCATENATE(PROFORMA!AN6,PROFORMA!AN7)</f>
        <v>Pro FormaDep. Expense</v>
      </c>
      <c r="AN2" s="507" t="str">
        <f>CONCATENATE(PROFORMA!AO6,PROFORMA!AO7)</f>
        <v>Pro FormaCapital Add. To 12/31/24 EOP</v>
      </c>
      <c r="AO2" s="507" t="str">
        <f>CONCATENATE(PROFORMA!AP6,PROFORMA!AP7)</f>
        <v>Pro FormaNew Reg. Amort.</v>
      </c>
      <c r="AP2" s="507" t="str">
        <f>CONCATENATE(PROFORMA!AQ6,PROFORMA!AQ7)</f>
        <v>Pro FormaNucleus/ETRM Exp.</v>
      </c>
      <c r="AQ2" s="507" t="str">
        <f>CONCATENATE(PROFORMA!AR6,PROFORMA!AR7)</f>
        <v>Pro FormaBOD Fees Exp.</v>
      </c>
      <c r="AR2" s="507" t="str">
        <f>CONCATENATE(PROFORMA!AS6,PROFORMA!AS7)</f>
        <v>Provisional Capital Add.to 12.31.25 AMA</v>
      </c>
      <c r="AS2" s="507" t="str">
        <f>CONCATENATE(PROFORMA!AT6,PROFORMA!AT7)</f>
        <v xml:space="preserve">2024-2025Cap. Adds O&amp;M and Rev. </v>
      </c>
      <c r="AT2" s="512" t="s">
        <v>1129</v>
      </c>
      <c r="AU2" s="512" t="s">
        <v>1062</v>
      </c>
      <c r="AV2" s="512" t="s">
        <v>1132</v>
      </c>
      <c r="AW2" s="512" t="s">
        <v>1134</v>
      </c>
      <c r="AX2" s="512" t="s">
        <v>1136</v>
      </c>
    </row>
    <row r="3" spans="1:50" s="496" customFormat="1" ht="30" customHeight="1">
      <c r="A3" s="529">
        <v>1</v>
      </c>
      <c r="B3" s="516"/>
      <c r="C3" s="516"/>
      <c r="D3" s="541" t="s">
        <v>1119</v>
      </c>
      <c r="E3" s="513" t="str">
        <f>CONCATENATE(PROFORMA!F5,PROFORMA!F8)</f>
        <v>1Adj G-ROO</v>
      </c>
      <c r="F3" s="513" t="str">
        <f>CONCATENATE(PROFORMA!G5,PROFORMA!G8)</f>
        <v>1.01G-DFIT</v>
      </c>
      <c r="G3" s="513" t="str">
        <f>CONCATENATE(PROFORMA!H5,PROFORMA!H8)</f>
        <v>1.02G-DDC</v>
      </c>
      <c r="H3" s="513" t="str">
        <f>CONCATENATE(PROFORMA!I5,PROFORMA!I8)</f>
        <v>1.03G-WC</v>
      </c>
      <c r="I3" s="513" t="str">
        <f>CONCATENATE(PROFORMA!J5,PROFORMA!J8)</f>
        <v>2.01G-EBO</v>
      </c>
      <c r="J3" s="513" t="str">
        <f>CONCATENATE(PROFORMA!K5,PROFORMA!K8)</f>
        <v>2.02G-RPT</v>
      </c>
      <c r="K3" s="513" t="str">
        <f>CONCATENATE(PROFORMA!L5,PROFORMA!L8)</f>
        <v>2.03G-UE</v>
      </c>
      <c r="L3" s="513" t="str">
        <f>CONCATENATE(PROFORMA!M5,PROFORMA!M8)</f>
        <v>2.04G-RE</v>
      </c>
      <c r="M3" s="513" t="str">
        <f>CONCATENATE(PROFORMA!N5,PROFORMA!N8)</f>
        <v>2.05G-ID</v>
      </c>
      <c r="N3" s="513" t="str">
        <f>CONCATENATE(PROFORMA!O5,PROFORMA!O8)</f>
        <v>2.06G-FIT</v>
      </c>
      <c r="O3" s="513" t="str">
        <f>CONCATENATE(PROFORMA!P5,PROFORMA!P8)</f>
        <v>2.07G-OSC</v>
      </c>
      <c r="P3" s="513" t="str">
        <f>CONCATENATE(PROFORMA!Q5,PROFORMA!Q8)</f>
        <v>2.08G-RET</v>
      </c>
      <c r="Q3" s="513" t="str">
        <f>CONCATENATE(PROFORMA!R5,PROFORMA!R8)</f>
        <v>2.09G-NGL</v>
      </c>
      <c r="R3" s="513" t="str">
        <f>CONCATENATE(PROFORMA!S5,PROFORMA!S8)</f>
        <v>2.1G-WNGC</v>
      </c>
      <c r="S3" s="513" t="str">
        <f>CONCATENATE(PROFORMA!T5,PROFORMA!T8)</f>
        <v>2.11G-EAS</v>
      </c>
      <c r="T3" s="513" t="str">
        <f>CONCATENATE(PROFORMA!U5,PROFORMA!U8)</f>
        <v>2.12G-MR</v>
      </c>
      <c r="U3" s="513" t="str">
        <f>CONCATENATE(PROFORMA!V5,PROFORMA!V8)</f>
        <v>2.13G-RI</v>
      </c>
      <c r="V3" s="513" t="str">
        <f>CONCATENATE(PROFORMA!W5,PROFORMA!W8)</f>
        <v>2.14G-DI</v>
      </c>
      <c r="W3" s="513" t="str">
        <f>CONCATENATE(PROFORMA!X5,PROFORMA!X8)</f>
        <v>2.15G-EOP09.2021</v>
      </c>
      <c r="X3" s="514" t="s">
        <v>1128</v>
      </c>
      <c r="Y3" s="513" t="str">
        <f>CONCATENATE(PROFORMA!Y5,PROFORMA!Y8)</f>
        <v>3.01G-PREV</v>
      </c>
      <c r="Z3" s="513" t="str">
        <f>CONCATENATE(PROFORMA!Z5,PROFORMA!Z8)</f>
        <v>3.02G-PRA</v>
      </c>
      <c r="AA3" s="513" t="str">
        <f>CONCATENATE(PROFORMA!AA5,PROFORMA!AA8)</f>
        <v>3.03G-EDIT</v>
      </c>
      <c r="AB3" s="513" t="str">
        <f>CONCATENATE(PROFORMA!AB5,PROFORMA!AB8)</f>
        <v>3.04G-PAMI</v>
      </c>
      <c r="AC3" s="513" t="str">
        <f>CONCATENATE(PROFORMA!AC5,PROFORMA!AC8)</f>
        <v>3.05G-PLN</v>
      </c>
      <c r="AD3" s="513" t="str">
        <f>CONCATENATE(PROFORMA!AD5,PROFORMA!AD8)</f>
        <v>3.06G-PLE</v>
      </c>
      <c r="AE3" s="513" t="str">
        <f>CONCATENATE(PROFORMA!AE5,PROFORMA!AE8)</f>
        <v>3.07G-PEB</v>
      </c>
      <c r="AF3" s="513" t="str">
        <f>CONCATENATE(PROFORMA!AG5,PROFORMA!AG8)</f>
        <v>3.09G-LIRAP</v>
      </c>
      <c r="AG3" s="513" t="str">
        <f>CONCATENATE(PROFORMA!AH5,PROFORMA!AH8)</f>
        <v>3.1G-CCA</v>
      </c>
      <c r="AH3" s="513" t="str">
        <f>CONCATENATE(PROFORMA!AI5,PROFORMA!AI8)</f>
        <v>3.11G-PPT</v>
      </c>
      <c r="AI3" s="513" t="str">
        <f>CONCATENATE(PROFORMA!AJ5,PROFORMA!AJ8)</f>
        <v>3.12G-PINS</v>
      </c>
      <c r="AJ3" s="513" t="str">
        <f>CONCATENATE(PROFORMA!AK5,PROFORMA!AK8)</f>
        <v>3.13G-PIT</v>
      </c>
      <c r="AK3" s="513" t="str">
        <f>CONCATENATE(PROFORMA!AL5,PROFORMA!AL8)</f>
        <v>3.14G-PMisc</v>
      </c>
      <c r="AL3" s="513" t="str">
        <f>CONCATENATE(PROFORMA!AM5,PROFORMA!AM8)</f>
        <v>3.15G-CAP23E</v>
      </c>
      <c r="AM3" s="513" t="str">
        <f>CONCATENATE(PROFORMA!AN5,PROFORMA!AN8)</f>
        <v>3.16G-DEP</v>
      </c>
      <c r="AN3" s="513" t="str">
        <f>CONCATENATE(PROFORMA!AO5,PROFORMA!AO8)</f>
        <v>3.17G-CAP24E</v>
      </c>
      <c r="AO3" s="513" t="str">
        <f>CONCATENATE(PROFORMA!AP5,PROFORMA!AP8)</f>
        <v>3.18G-NRA</v>
      </c>
      <c r="AP3" s="513" t="str">
        <f>CONCATENATE(PROFORMA!AQ5,PROFORMA!AQ8)</f>
        <v>3.19G-ETRM</v>
      </c>
      <c r="AQ3" s="513" t="str">
        <f>CONCATENATE(PROFORMA!AR5,PROFORMA!AR8)</f>
        <v>3.2G-PBOD</v>
      </c>
      <c r="AR3" s="513" t="str">
        <f>CONCATENATE(PROFORMA!AS5,PROFORMA!AS8)</f>
        <v>4.01G-CAP25A</v>
      </c>
      <c r="AS3" s="513" t="str">
        <f>CONCATENATE(PROFORMA!AT5,PROFORMA!AT8)</f>
        <v>4.02G-Offsets25</v>
      </c>
      <c r="AT3" s="515" t="s">
        <v>1130</v>
      </c>
      <c r="AU3" s="514" t="s">
        <v>1131</v>
      </c>
      <c r="AV3" s="514" t="s">
        <v>1133</v>
      </c>
      <c r="AW3" s="514" t="s">
        <v>1135</v>
      </c>
      <c r="AX3" s="514" t="s">
        <v>1137</v>
      </c>
    </row>
    <row r="4" spans="1:50" ht="15.6" customHeight="1">
      <c r="A4" s="529">
        <v>2</v>
      </c>
      <c r="B4" s="795" t="s">
        <v>1118</v>
      </c>
      <c r="C4" s="517" t="s">
        <v>1064</v>
      </c>
      <c r="D4" s="519">
        <v>480</v>
      </c>
      <c r="E4" s="531">
        <f>PROFORMA!F384</f>
        <v>160653000</v>
      </c>
      <c r="F4" s="531">
        <f>PROFORMA!G384</f>
        <v>0</v>
      </c>
      <c r="G4" s="531">
        <f>PROFORMA!H384</f>
        <v>0</v>
      </c>
      <c r="H4" s="531">
        <f>PROFORMA!I384</f>
        <v>0</v>
      </c>
      <c r="I4" s="531">
        <f>PROFORMA!J384</f>
        <v>-8526000</v>
      </c>
      <c r="J4" s="531">
        <f>PROFORMA!K384</f>
        <v>0</v>
      </c>
      <c r="K4" s="531">
        <f>PROFORMA!L384</f>
        <v>0</v>
      </c>
      <c r="L4" s="531">
        <f>PROFORMA!M384</f>
        <v>0</v>
      </c>
      <c r="M4" s="531">
        <f>PROFORMA!N384</f>
        <v>0</v>
      </c>
      <c r="N4" s="531">
        <f>PROFORMA!O384</f>
        <v>0</v>
      </c>
      <c r="O4" s="531">
        <f>PROFORMA!P384</f>
        <v>0</v>
      </c>
      <c r="P4" s="531">
        <f>PROFORMA!Q384</f>
        <v>0</v>
      </c>
      <c r="Q4" s="531">
        <f>PROFORMA!R384</f>
        <v>0</v>
      </c>
      <c r="R4" s="531">
        <f>PROFORMA!S384</f>
        <v>28000</v>
      </c>
      <c r="S4" s="531">
        <f>PROFORMA!T384</f>
        <v>-26674000</v>
      </c>
      <c r="T4" s="531">
        <f>PROFORMA!U384</f>
        <v>0</v>
      </c>
      <c r="U4" s="531">
        <f>PROFORMA!V384</f>
        <v>0</v>
      </c>
      <c r="V4" s="531">
        <f>PROFORMA!W384</f>
        <v>0</v>
      </c>
      <c r="W4" s="531">
        <f>PROFORMA!X384</f>
        <v>0</v>
      </c>
      <c r="X4" s="579">
        <f t="shared" ref="X4:X67" si="0">SUM(F4:W4)</f>
        <v>-35172000</v>
      </c>
      <c r="Y4" s="531">
        <f>PROFORMA!Y384</f>
        <v>-86265000</v>
      </c>
      <c r="Z4" s="531">
        <f>PROFORMA!Z384</f>
        <v>0</v>
      </c>
      <c r="AA4" s="531">
        <f>PROFORMA!AA384</f>
        <v>0</v>
      </c>
      <c r="AB4" s="531">
        <f>PROFORMA!AB384</f>
        <v>0</v>
      </c>
      <c r="AC4" s="531">
        <f>PROFORMA!AC384</f>
        <v>0</v>
      </c>
      <c r="AD4" s="531">
        <f>PROFORMA!AD384</f>
        <v>0</v>
      </c>
      <c r="AE4" s="531">
        <f>PROFORMA!AE384</f>
        <v>0</v>
      </c>
      <c r="AF4" s="531">
        <f>PROFORMA!AG384</f>
        <v>0</v>
      </c>
      <c r="AG4" s="531">
        <f>PROFORMA!AH384</f>
        <v>0</v>
      </c>
      <c r="AH4" s="531">
        <f>PROFORMA!AI384</f>
        <v>0</v>
      </c>
      <c r="AI4" s="531">
        <f>PROFORMA!AJ384</f>
        <v>0</v>
      </c>
      <c r="AJ4" s="531">
        <f>PROFORMA!AK384</f>
        <v>0</v>
      </c>
      <c r="AK4" s="531">
        <f>PROFORMA!AL384</f>
        <v>0</v>
      </c>
      <c r="AL4" s="531">
        <f>PROFORMA!AM384</f>
        <v>0</v>
      </c>
      <c r="AM4" s="531">
        <f>PROFORMA!AN384</f>
        <v>0</v>
      </c>
      <c r="AN4" s="531">
        <f>PROFORMA!AO384</f>
        <v>0</v>
      </c>
      <c r="AO4" s="531">
        <f>PROFORMA!AP384</f>
        <v>0</v>
      </c>
      <c r="AP4" s="531">
        <f>PROFORMA!AQ384</f>
        <v>0</v>
      </c>
      <c r="AQ4" s="531">
        <f>PROFORMA!AR384</f>
        <v>0</v>
      </c>
      <c r="AR4" s="531">
        <f>PROFORMA!AS384</f>
        <v>0</v>
      </c>
      <c r="AS4" s="531">
        <f>PROFORMA!AT384</f>
        <v>0</v>
      </c>
      <c r="AT4" s="582">
        <f>SUM(Y4:AS4)</f>
        <v>-86265000</v>
      </c>
      <c r="AU4" s="532">
        <f>X4+AT4</f>
        <v>-121437000</v>
      </c>
      <c r="AV4" s="532">
        <f>E4+AU4</f>
        <v>39216000</v>
      </c>
      <c r="AW4" s="532"/>
      <c r="AX4" s="532">
        <f>AV4+AW4</f>
        <v>39216000</v>
      </c>
    </row>
    <row r="5" spans="1:50">
      <c r="A5" s="529">
        <v>3</v>
      </c>
      <c r="B5" s="795"/>
      <c r="C5" s="517" t="s">
        <v>1065</v>
      </c>
      <c r="D5" s="542">
        <v>481</v>
      </c>
      <c r="E5" s="533">
        <f>PROFORMA!F385</f>
        <v>85544000</v>
      </c>
      <c r="F5" s="533">
        <f>PROFORMA!G385</f>
        <v>0</v>
      </c>
      <c r="G5" s="533">
        <f>PROFORMA!H385</f>
        <v>0</v>
      </c>
      <c r="H5" s="533">
        <f>PROFORMA!I385</f>
        <v>0</v>
      </c>
      <c r="I5" s="533">
        <f>PROFORMA!J385</f>
        <v>0</v>
      </c>
      <c r="J5" s="533">
        <f>PROFORMA!K385</f>
        <v>0</v>
      </c>
      <c r="K5" s="533">
        <f>PROFORMA!L385</f>
        <v>0</v>
      </c>
      <c r="L5" s="533">
        <f>PROFORMA!M385</f>
        <v>0</v>
      </c>
      <c r="M5" s="533">
        <f>PROFORMA!N385</f>
        <v>0</v>
      </c>
      <c r="N5" s="533">
        <f>PROFORMA!O385</f>
        <v>0</v>
      </c>
      <c r="O5" s="533">
        <f>PROFORMA!P385</f>
        <v>0</v>
      </c>
      <c r="P5" s="533">
        <f>PROFORMA!Q385</f>
        <v>0</v>
      </c>
      <c r="Q5" s="533">
        <f>PROFORMA!R385</f>
        <v>0</v>
      </c>
      <c r="R5" s="533">
        <f>PROFORMA!S385</f>
        <v>0</v>
      </c>
      <c r="S5" s="533">
        <f>PROFORMA!T385</f>
        <v>0</v>
      </c>
      <c r="T5" s="533">
        <f>PROFORMA!U385</f>
        <v>0</v>
      </c>
      <c r="U5" s="533">
        <f>PROFORMA!V385</f>
        <v>0</v>
      </c>
      <c r="V5" s="533">
        <f>PROFORMA!W385</f>
        <v>0</v>
      </c>
      <c r="W5" s="533">
        <f>PROFORMA!X385</f>
        <v>0</v>
      </c>
      <c r="X5" s="579">
        <f t="shared" si="0"/>
        <v>0</v>
      </c>
      <c r="Y5" s="533">
        <f>PROFORMA!Y385</f>
        <v>0</v>
      </c>
      <c r="Z5" s="533">
        <f>PROFORMA!Z385</f>
        <v>0</v>
      </c>
      <c r="AA5" s="533">
        <f>PROFORMA!AA385</f>
        <v>0</v>
      </c>
      <c r="AB5" s="533">
        <f>PROFORMA!AB385</f>
        <v>0</v>
      </c>
      <c r="AC5" s="533">
        <f>PROFORMA!AC385</f>
        <v>0</v>
      </c>
      <c r="AD5" s="533">
        <f>PROFORMA!AD385</f>
        <v>0</v>
      </c>
      <c r="AE5" s="533">
        <f>PROFORMA!AE385</f>
        <v>0</v>
      </c>
      <c r="AF5" s="533">
        <f>PROFORMA!AG385</f>
        <v>0</v>
      </c>
      <c r="AG5" s="533">
        <f>PROFORMA!AH385</f>
        <v>0</v>
      </c>
      <c r="AH5" s="533">
        <f>PROFORMA!AI385</f>
        <v>0</v>
      </c>
      <c r="AI5" s="533">
        <f>PROFORMA!AJ385</f>
        <v>0</v>
      </c>
      <c r="AJ5" s="533">
        <f>PROFORMA!AK385</f>
        <v>0</v>
      </c>
      <c r="AK5" s="533">
        <f>PROFORMA!AL385</f>
        <v>0</v>
      </c>
      <c r="AL5" s="533">
        <f>PROFORMA!AM385</f>
        <v>0</v>
      </c>
      <c r="AM5" s="533">
        <f>PROFORMA!AN385</f>
        <v>0</v>
      </c>
      <c r="AN5" s="533">
        <f>PROFORMA!AO385</f>
        <v>0</v>
      </c>
      <c r="AO5" s="533">
        <f>PROFORMA!AP385</f>
        <v>0</v>
      </c>
      <c r="AP5" s="533">
        <f>PROFORMA!AQ385</f>
        <v>0</v>
      </c>
      <c r="AQ5" s="533">
        <f>PROFORMA!AR385</f>
        <v>0</v>
      </c>
      <c r="AR5" s="533">
        <f>PROFORMA!AS385</f>
        <v>0</v>
      </c>
      <c r="AS5" s="533">
        <f>PROFORMA!AT385</f>
        <v>0</v>
      </c>
      <c r="AT5" s="582">
        <f>SUM(Y5:AS5)</f>
        <v>0</v>
      </c>
      <c r="AU5" s="532">
        <f>X5+AT5</f>
        <v>0</v>
      </c>
      <c r="AV5" s="532">
        <f>E5+AU5</f>
        <v>85544000</v>
      </c>
      <c r="AW5" s="532"/>
      <c r="AX5" s="532">
        <f t="shared" ref="AX5:AX68" si="1">AV5+AW5</f>
        <v>85544000</v>
      </c>
    </row>
    <row r="6" spans="1:50">
      <c r="A6" s="529">
        <v>4</v>
      </c>
      <c r="B6" s="795"/>
      <c r="C6" s="517" t="s">
        <v>1140</v>
      </c>
      <c r="D6" s="542">
        <v>484</v>
      </c>
      <c r="E6" s="533">
        <f>PROFORMA!F386</f>
        <v>444000</v>
      </c>
      <c r="F6" s="533">
        <f>PROFORMA!G386</f>
        <v>0</v>
      </c>
      <c r="G6" s="533">
        <f>PROFORMA!H386</f>
        <v>0</v>
      </c>
      <c r="H6" s="533">
        <f>PROFORMA!I386</f>
        <v>0</v>
      </c>
      <c r="I6" s="533">
        <f>PROFORMA!J386</f>
        <v>0</v>
      </c>
      <c r="J6" s="533">
        <f>PROFORMA!K386</f>
        <v>0</v>
      </c>
      <c r="K6" s="533">
        <f>PROFORMA!L386</f>
        <v>0</v>
      </c>
      <c r="L6" s="533">
        <f>PROFORMA!M386</f>
        <v>0</v>
      </c>
      <c r="M6" s="533">
        <f>PROFORMA!N386</f>
        <v>0</v>
      </c>
      <c r="N6" s="533">
        <f>PROFORMA!O386</f>
        <v>0</v>
      </c>
      <c r="O6" s="533">
        <f>PROFORMA!P386</f>
        <v>0</v>
      </c>
      <c r="P6" s="533">
        <f>PROFORMA!Q386</f>
        <v>0</v>
      </c>
      <c r="Q6" s="533">
        <f>PROFORMA!R386</f>
        <v>0</v>
      </c>
      <c r="R6" s="533">
        <f>PROFORMA!S386</f>
        <v>0</v>
      </c>
      <c r="S6" s="533">
        <f>PROFORMA!T386</f>
        <v>0</v>
      </c>
      <c r="T6" s="533">
        <f>PROFORMA!U386</f>
        <v>0</v>
      </c>
      <c r="U6" s="533">
        <f>PROFORMA!V386</f>
        <v>0</v>
      </c>
      <c r="V6" s="533">
        <f>PROFORMA!W386</f>
        <v>0</v>
      </c>
      <c r="W6" s="533">
        <f>PROFORMA!X386</f>
        <v>0</v>
      </c>
      <c r="X6" s="579">
        <f t="shared" si="0"/>
        <v>0</v>
      </c>
      <c r="Y6" s="533">
        <f>PROFORMA!Y386</f>
        <v>0</v>
      </c>
      <c r="Z6" s="533">
        <f>PROFORMA!Z386</f>
        <v>0</v>
      </c>
      <c r="AA6" s="533">
        <f>PROFORMA!AA386</f>
        <v>0</v>
      </c>
      <c r="AB6" s="533">
        <f>PROFORMA!AB386</f>
        <v>0</v>
      </c>
      <c r="AC6" s="533">
        <f>PROFORMA!AC386</f>
        <v>0</v>
      </c>
      <c r="AD6" s="533">
        <f>PROFORMA!AD386</f>
        <v>0</v>
      </c>
      <c r="AE6" s="533">
        <f>PROFORMA!AE386</f>
        <v>0</v>
      </c>
      <c r="AF6" s="533">
        <f>PROFORMA!AG386</f>
        <v>0</v>
      </c>
      <c r="AG6" s="533">
        <f>PROFORMA!AH386</f>
        <v>0</v>
      </c>
      <c r="AH6" s="533">
        <f>PROFORMA!AI386</f>
        <v>0</v>
      </c>
      <c r="AI6" s="533">
        <f>PROFORMA!AJ386</f>
        <v>0</v>
      </c>
      <c r="AJ6" s="533">
        <f>PROFORMA!AK386</f>
        <v>0</v>
      </c>
      <c r="AK6" s="533">
        <f>PROFORMA!AL386</f>
        <v>0</v>
      </c>
      <c r="AL6" s="533">
        <f>PROFORMA!AM386</f>
        <v>0</v>
      </c>
      <c r="AM6" s="533">
        <f>PROFORMA!AN386</f>
        <v>0</v>
      </c>
      <c r="AN6" s="533">
        <f>PROFORMA!AO386</f>
        <v>0</v>
      </c>
      <c r="AO6" s="533">
        <f>PROFORMA!AP386</f>
        <v>0</v>
      </c>
      <c r="AP6" s="533">
        <f>PROFORMA!AQ386</f>
        <v>0</v>
      </c>
      <c r="AQ6" s="533">
        <f>PROFORMA!AR386</f>
        <v>0</v>
      </c>
      <c r="AR6" s="533">
        <f>PROFORMA!AS386</f>
        <v>0</v>
      </c>
      <c r="AS6" s="533">
        <f>PROFORMA!AT386</f>
        <v>0</v>
      </c>
      <c r="AT6" s="582">
        <f>SUM(Y6:AS6)</f>
        <v>0</v>
      </c>
      <c r="AU6" s="532">
        <f>X6+AT6</f>
        <v>0</v>
      </c>
      <c r="AV6" s="532">
        <f>E6+AU6</f>
        <v>444000</v>
      </c>
      <c r="AW6" s="532"/>
      <c r="AX6" s="532">
        <f t="shared" si="1"/>
        <v>444000</v>
      </c>
    </row>
    <row r="7" spans="1:50" ht="17.100000000000001" customHeight="1">
      <c r="A7" s="529">
        <v>5</v>
      </c>
      <c r="B7" s="795"/>
      <c r="C7" s="517" t="s">
        <v>1141</v>
      </c>
      <c r="D7" s="519">
        <v>499</v>
      </c>
      <c r="E7" s="534">
        <f>PROFORMA!F387</f>
        <v>-100000</v>
      </c>
      <c r="F7" s="534">
        <f>PROFORMA!G387</f>
        <v>0</v>
      </c>
      <c r="G7" s="534">
        <f>PROFORMA!H387</f>
        <v>0</v>
      </c>
      <c r="H7" s="534">
        <f>PROFORMA!I387</f>
        <v>0</v>
      </c>
      <c r="I7" s="534">
        <f>PROFORMA!J387</f>
        <v>0</v>
      </c>
      <c r="J7" s="534">
        <f>PROFORMA!K387</f>
        <v>0</v>
      </c>
      <c r="K7" s="534">
        <f>PROFORMA!L387</f>
        <v>0</v>
      </c>
      <c r="L7" s="534">
        <f>PROFORMA!M387</f>
        <v>0</v>
      </c>
      <c r="M7" s="534">
        <f>PROFORMA!N387</f>
        <v>0</v>
      </c>
      <c r="N7" s="534">
        <f>PROFORMA!O387</f>
        <v>0</v>
      </c>
      <c r="O7" s="534">
        <f>PROFORMA!P387</f>
        <v>0</v>
      </c>
      <c r="P7" s="534">
        <f>PROFORMA!Q387</f>
        <v>0</v>
      </c>
      <c r="Q7" s="534">
        <f>PROFORMA!R387</f>
        <v>0</v>
      </c>
      <c r="R7" s="534">
        <f>PROFORMA!S387</f>
        <v>0</v>
      </c>
      <c r="S7" s="534">
        <f>PROFORMA!T387</f>
        <v>0</v>
      </c>
      <c r="T7" s="534">
        <f>PROFORMA!U387</f>
        <v>0</v>
      </c>
      <c r="U7" s="534">
        <f>PROFORMA!V387</f>
        <v>0</v>
      </c>
      <c r="V7" s="534">
        <f>PROFORMA!W387</f>
        <v>0</v>
      </c>
      <c r="W7" s="534">
        <f>PROFORMA!X387</f>
        <v>0</v>
      </c>
      <c r="X7" s="579">
        <f t="shared" si="0"/>
        <v>0</v>
      </c>
      <c r="Y7" s="534">
        <f>PROFORMA!Y387</f>
        <v>0</v>
      </c>
      <c r="Z7" s="534">
        <f>PROFORMA!Z387</f>
        <v>0</v>
      </c>
      <c r="AA7" s="534">
        <f>PROFORMA!AA387</f>
        <v>0</v>
      </c>
      <c r="AB7" s="534">
        <f>PROFORMA!AB387</f>
        <v>0</v>
      </c>
      <c r="AC7" s="534">
        <f>PROFORMA!AC387</f>
        <v>0</v>
      </c>
      <c r="AD7" s="534">
        <f>PROFORMA!AD387</f>
        <v>0</v>
      </c>
      <c r="AE7" s="534">
        <f>PROFORMA!AE387</f>
        <v>0</v>
      </c>
      <c r="AF7" s="534">
        <f>PROFORMA!AG387</f>
        <v>0</v>
      </c>
      <c r="AG7" s="534">
        <f>PROFORMA!AH387</f>
        <v>0</v>
      </c>
      <c r="AH7" s="534">
        <f>PROFORMA!AI387</f>
        <v>0</v>
      </c>
      <c r="AI7" s="534">
        <f>PROFORMA!AJ387</f>
        <v>0</v>
      </c>
      <c r="AJ7" s="534">
        <f>PROFORMA!AK387</f>
        <v>0</v>
      </c>
      <c r="AK7" s="534">
        <f>PROFORMA!AL387</f>
        <v>0</v>
      </c>
      <c r="AL7" s="534">
        <f>PROFORMA!AM387</f>
        <v>0</v>
      </c>
      <c r="AM7" s="534">
        <f>PROFORMA!AN387</f>
        <v>0</v>
      </c>
      <c r="AN7" s="534">
        <f>PROFORMA!AO387</f>
        <v>0</v>
      </c>
      <c r="AO7" s="534">
        <f>PROFORMA!AP387</f>
        <v>0</v>
      </c>
      <c r="AP7" s="534">
        <f>PROFORMA!AQ387</f>
        <v>0</v>
      </c>
      <c r="AQ7" s="534">
        <f>PROFORMA!AR387</f>
        <v>0</v>
      </c>
      <c r="AR7" s="534">
        <f>PROFORMA!AS387</f>
        <v>0</v>
      </c>
      <c r="AS7" s="534">
        <f>PROFORMA!AT387</f>
        <v>0</v>
      </c>
      <c r="AT7" s="582">
        <f>SUM(Y7:AS7)</f>
        <v>0</v>
      </c>
      <c r="AU7" s="532">
        <f>X7+AT7</f>
        <v>0</v>
      </c>
      <c r="AV7" s="532">
        <f>E7+AU7</f>
        <v>-100000</v>
      </c>
      <c r="AW7" s="532"/>
      <c r="AX7" s="532">
        <f t="shared" si="1"/>
        <v>-100000</v>
      </c>
    </row>
    <row r="8" spans="1:50">
      <c r="A8" s="529">
        <v>6</v>
      </c>
      <c r="B8" s="795"/>
      <c r="C8" s="517" t="s">
        <v>615</v>
      </c>
      <c r="D8" s="519">
        <v>489.9</v>
      </c>
      <c r="E8" s="573">
        <f>PROFORMA!F388</f>
        <v>0</v>
      </c>
      <c r="F8" s="573">
        <f>PROFORMA!G388</f>
        <v>0</v>
      </c>
      <c r="G8" s="573">
        <f>PROFORMA!H388</f>
        <v>0</v>
      </c>
      <c r="H8" s="573">
        <f>PROFORMA!I388</f>
        <v>0</v>
      </c>
      <c r="I8" s="573">
        <f>PROFORMA!J388</f>
        <v>-120000</v>
      </c>
      <c r="J8" s="573">
        <f>PROFORMA!K388</f>
        <v>0</v>
      </c>
      <c r="K8" s="573">
        <f>PROFORMA!L388</f>
        <v>0</v>
      </c>
      <c r="L8" s="573">
        <f>PROFORMA!M388</f>
        <v>0</v>
      </c>
      <c r="M8" s="573">
        <f>PROFORMA!N388</f>
        <v>0</v>
      </c>
      <c r="N8" s="573">
        <f>PROFORMA!O388</f>
        <v>0</v>
      </c>
      <c r="O8" s="573">
        <f>PROFORMA!P388</f>
        <v>0</v>
      </c>
      <c r="P8" s="573">
        <f>PROFORMA!Q388</f>
        <v>0</v>
      </c>
      <c r="Q8" s="573">
        <f>PROFORMA!R388</f>
        <v>0</v>
      </c>
      <c r="R8" s="573">
        <f>PROFORMA!S388</f>
        <v>0</v>
      </c>
      <c r="S8" s="573">
        <f>PROFORMA!T388</f>
        <v>0</v>
      </c>
      <c r="T8" s="573">
        <f>PROFORMA!U388</f>
        <v>0</v>
      </c>
      <c r="U8" s="573">
        <f>PROFORMA!V388</f>
        <v>0</v>
      </c>
      <c r="V8" s="573">
        <f>PROFORMA!W388</f>
        <v>0</v>
      </c>
      <c r="W8" s="573">
        <f>PROFORMA!X388</f>
        <v>0</v>
      </c>
      <c r="X8" s="580">
        <f t="shared" si="0"/>
        <v>-120000</v>
      </c>
      <c r="Y8" s="573">
        <f>PROFORMA!Y388</f>
        <v>333000</v>
      </c>
      <c r="Z8" s="573">
        <f>PROFORMA!Z388</f>
        <v>0</v>
      </c>
      <c r="AA8" s="573">
        <f>PROFORMA!AA388</f>
        <v>0</v>
      </c>
      <c r="AB8" s="573">
        <f>PROFORMA!AB388</f>
        <v>0</v>
      </c>
      <c r="AC8" s="573">
        <f>PROFORMA!AC388</f>
        <v>0</v>
      </c>
      <c r="AD8" s="573">
        <f>PROFORMA!AD388</f>
        <v>0</v>
      </c>
      <c r="AE8" s="573">
        <f>PROFORMA!AE388</f>
        <v>0</v>
      </c>
      <c r="AF8" s="573">
        <f>PROFORMA!AG388</f>
        <v>0</v>
      </c>
      <c r="AG8" s="573">
        <f>PROFORMA!AH388</f>
        <v>0</v>
      </c>
      <c r="AH8" s="573">
        <f>PROFORMA!AI388</f>
        <v>0</v>
      </c>
      <c r="AI8" s="573">
        <f>PROFORMA!AJ388</f>
        <v>0</v>
      </c>
      <c r="AJ8" s="573">
        <f>PROFORMA!AK388</f>
        <v>0</v>
      </c>
      <c r="AK8" s="573">
        <f>PROFORMA!AL388</f>
        <v>0</v>
      </c>
      <c r="AL8" s="573">
        <f>PROFORMA!AM388</f>
        <v>0</v>
      </c>
      <c r="AM8" s="573">
        <f>PROFORMA!AN388</f>
        <v>0</v>
      </c>
      <c r="AN8" s="573">
        <f>PROFORMA!AO388</f>
        <v>0</v>
      </c>
      <c r="AO8" s="573">
        <f>PROFORMA!AP388</f>
        <v>0</v>
      </c>
      <c r="AP8" s="573">
        <f>PROFORMA!AQ388</f>
        <v>0</v>
      </c>
      <c r="AQ8" s="573">
        <f>PROFORMA!AR388</f>
        <v>0</v>
      </c>
      <c r="AR8" s="573">
        <f>PROFORMA!AS388</f>
        <v>0</v>
      </c>
      <c r="AS8" s="573">
        <f>PROFORMA!AT388</f>
        <v>0</v>
      </c>
      <c r="AT8" s="583">
        <f>SUM(Y8:AS8)</f>
        <v>333000</v>
      </c>
      <c r="AU8" s="581">
        <f>X8+AT8</f>
        <v>213000</v>
      </c>
      <c r="AV8" s="581">
        <f>E8+AU8</f>
        <v>213000</v>
      </c>
      <c r="AW8" s="581"/>
      <c r="AX8" s="581">
        <f t="shared" si="1"/>
        <v>213000</v>
      </c>
    </row>
    <row r="9" spans="1:50">
      <c r="A9" s="529">
        <v>7</v>
      </c>
      <c r="B9" s="795"/>
      <c r="C9" s="518" t="s">
        <v>1080</v>
      </c>
      <c r="D9" s="518"/>
      <c r="E9" s="535">
        <f>SUM(E4:E8)</f>
        <v>246541000</v>
      </c>
      <c r="F9" s="535">
        <f t="shared" ref="F9" si="2">SUM(F4:F8)</f>
        <v>0</v>
      </c>
      <c r="G9" s="535">
        <f t="shared" ref="G9:W9" si="3">SUM(G4:G8)</f>
        <v>0</v>
      </c>
      <c r="H9" s="535">
        <f t="shared" si="3"/>
        <v>0</v>
      </c>
      <c r="I9" s="535">
        <f t="shared" si="3"/>
        <v>-8646000</v>
      </c>
      <c r="J9" s="535">
        <f t="shared" si="3"/>
        <v>0</v>
      </c>
      <c r="K9" s="535">
        <f t="shared" si="3"/>
        <v>0</v>
      </c>
      <c r="L9" s="535">
        <f t="shared" si="3"/>
        <v>0</v>
      </c>
      <c r="M9" s="535">
        <f t="shared" si="3"/>
        <v>0</v>
      </c>
      <c r="N9" s="535">
        <f t="shared" si="3"/>
        <v>0</v>
      </c>
      <c r="O9" s="535">
        <f t="shared" si="3"/>
        <v>0</v>
      </c>
      <c r="P9" s="535">
        <f t="shared" si="3"/>
        <v>0</v>
      </c>
      <c r="Q9" s="535">
        <f t="shared" si="3"/>
        <v>0</v>
      </c>
      <c r="R9" s="535">
        <f t="shared" si="3"/>
        <v>28000</v>
      </c>
      <c r="S9" s="535">
        <f t="shared" si="3"/>
        <v>-26674000</v>
      </c>
      <c r="T9" s="535">
        <f t="shared" si="3"/>
        <v>0</v>
      </c>
      <c r="U9" s="535">
        <f t="shared" si="3"/>
        <v>0</v>
      </c>
      <c r="V9" s="535">
        <f t="shared" si="3"/>
        <v>0</v>
      </c>
      <c r="W9" s="535">
        <f t="shared" si="3"/>
        <v>0</v>
      </c>
      <c r="X9" s="579">
        <f t="shared" si="0"/>
        <v>-35292000</v>
      </c>
      <c r="Y9" s="535">
        <f t="shared" ref="Y9:AX9" si="4">SUM(Y4:Y8)</f>
        <v>-85932000</v>
      </c>
      <c r="Z9" s="535">
        <f t="shared" ref="Z9:AF9" si="5">SUM(Z4:Z8)</f>
        <v>0</v>
      </c>
      <c r="AA9" s="535">
        <f t="shared" si="5"/>
        <v>0</v>
      </c>
      <c r="AB9" s="535">
        <f t="shared" si="5"/>
        <v>0</v>
      </c>
      <c r="AC9" s="535">
        <f t="shared" si="5"/>
        <v>0</v>
      </c>
      <c r="AD9" s="535">
        <f t="shared" si="5"/>
        <v>0</v>
      </c>
      <c r="AE9" s="535">
        <f t="shared" si="5"/>
        <v>0</v>
      </c>
      <c r="AF9" s="535">
        <f t="shared" si="5"/>
        <v>0</v>
      </c>
      <c r="AG9" s="535">
        <f t="shared" ref="AG9:AQ9" si="6">SUM(AG4:AG8)</f>
        <v>0</v>
      </c>
      <c r="AH9" s="535">
        <f t="shared" si="6"/>
        <v>0</v>
      </c>
      <c r="AI9" s="535">
        <f t="shared" si="6"/>
        <v>0</v>
      </c>
      <c r="AJ9" s="535">
        <f t="shared" si="6"/>
        <v>0</v>
      </c>
      <c r="AK9" s="535">
        <f t="shared" si="6"/>
        <v>0</v>
      </c>
      <c r="AL9" s="535">
        <f t="shared" si="6"/>
        <v>0</v>
      </c>
      <c r="AM9" s="535">
        <f t="shared" si="6"/>
        <v>0</v>
      </c>
      <c r="AN9" s="535">
        <f t="shared" si="6"/>
        <v>0</v>
      </c>
      <c r="AO9" s="535">
        <f t="shared" si="6"/>
        <v>0</v>
      </c>
      <c r="AP9" s="535">
        <f t="shared" si="6"/>
        <v>0</v>
      </c>
      <c r="AQ9" s="535">
        <f t="shared" si="6"/>
        <v>0</v>
      </c>
      <c r="AR9" s="535">
        <f t="shared" ref="AR9:AS9" si="7">SUM(AR4:AR8)</f>
        <v>0</v>
      </c>
      <c r="AS9" s="535">
        <f t="shared" si="7"/>
        <v>0</v>
      </c>
      <c r="AT9" s="535">
        <f t="shared" si="4"/>
        <v>-85932000</v>
      </c>
      <c r="AU9" s="535">
        <f t="shared" si="4"/>
        <v>-121224000</v>
      </c>
      <c r="AV9" s="535">
        <f t="shared" si="4"/>
        <v>125317000</v>
      </c>
      <c r="AW9" s="535">
        <f>SUM(AW4:AW8)</f>
        <v>0</v>
      </c>
      <c r="AX9" s="535">
        <f t="shared" si="4"/>
        <v>125317000</v>
      </c>
    </row>
    <row r="10" spans="1:50">
      <c r="A10" s="529">
        <v>8</v>
      </c>
      <c r="B10" s="795"/>
      <c r="C10" s="521" t="s">
        <v>389</v>
      </c>
      <c r="D10" s="522" t="s">
        <v>393</v>
      </c>
      <c r="E10" s="537">
        <f>PROFORMA!F395</f>
        <v>36675000</v>
      </c>
      <c r="F10" s="537">
        <f>PROFORMA!G395</f>
        <v>0</v>
      </c>
      <c r="G10" s="537">
        <f>PROFORMA!H395</f>
        <v>0</v>
      </c>
      <c r="H10" s="537">
        <f>PROFORMA!I395</f>
        <v>0</v>
      </c>
      <c r="I10" s="537">
        <f>PROFORMA!J395</f>
        <v>0</v>
      </c>
      <c r="J10" s="537">
        <f>PROFORMA!K395</f>
        <v>0</v>
      </c>
      <c r="K10" s="537">
        <f>PROFORMA!L395</f>
        <v>0</v>
      </c>
      <c r="L10" s="537">
        <f>PROFORMA!M395</f>
        <v>0</v>
      </c>
      <c r="M10" s="537">
        <f>PROFORMA!N395</f>
        <v>0</v>
      </c>
      <c r="N10" s="537">
        <f>PROFORMA!O395</f>
        <v>0</v>
      </c>
      <c r="O10" s="537">
        <f>PROFORMA!P395</f>
        <v>0</v>
      </c>
      <c r="P10" s="537">
        <f>PROFORMA!Q395</f>
        <v>0</v>
      </c>
      <c r="Q10" s="537">
        <f>PROFORMA!R395</f>
        <v>0</v>
      </c>
      <c r="R10" s="537">
        <f>PROFORMA!S395</f>
        <v>0</v>
      </c>
      <c r="S10" s="537">
        <f>PROFORMA!T395</f>
        <v>-36675000</v>
      </c>
      <c r="T10" s="537">
        <f>PROFORMA!U395</f>
        <v>0</v>
      </c>
      <c r="U10" s="537">
        <f>PROFORMA!V395</f>
        <v>0</v>
      </c>
      <c r="V10" s="537">
        <f>PROFORMA!W395</f>
        <v>0</v>
      </c>
      <c r="W10" s="537">
        <f>PROFORMA!X395</f>
        <v>0</v>
      </c>
      <c r="X10" s="579">
        <f t="shared" si="0"/>
        <v>-36675000</v>
      </c>
      <c r="Y10" s="537">
        <f>PROFORMA!Y395</f>
        <v>0</v>
      </c>
      <c r="Z10" s="537">
        <f>PROFORMA!Z395</f>
        <v>0</v>
      </c>
      <c r="AA10" s="537">
        <f>PROFORMA!AA395</f>
        <v>0</v>
      </c>
      <c r="AB10" s="537">
        <f>PROFORMA!AB395</f>
        <v>0</v>
      </c>
      <c r="AC10" s="537">
        <f>PROFORMA!AC395</f>
        <v>0</v>
      </c>
      <c r="AD10" s="537">
        <f>PROFORMA!AD395</f>
        <v>0</v>
      </c>
      <c r="AE10" s="537">
        <f>PROFORMA!AE395</f>
        <v>0</v>
      </c>
      <c r="AF10" s="537">
        <f>PROFORMA!AG395</f>
        <v>0</v>
      </c>
      <c r="AG10" s="537">
        <f>PROFORMA!AH395</f>
        <v>0</v>
      </c>
      <c r="AH10" s="537">
        <f>PROFORMA!AI395</f>
        <v>0</v>
      </c>
      <c r="AI10" s="537">
        <f>PROFORMA!AJ395</f>
        <v>0</v>
      </c>
      <c r="AJ10" s="537">
        <f>PROFORMA!AK395</f>
        <v>0</v>
      </c>
      <c r="AK10" s="537">
        <f>PROFORMA!AL395</f>
        <v>0</v>
      </c>
      <c r="AL10" s="537">
        <f>PROFORMA!AM395</f>
        <v>0</v>
      </c>
      <c r="AM10" s="537">
        <f>PROFORMA!AN395</f>
        <v>0</v>
      </c>
      <c r="AN10" s="537">
        <f>PROFORMA!AO395</f>
        <v>0</v>
      </c>
      <c r="AO10" s="537">
        <f>PROFORMA!AP395</f>
        <v>0</v>
      </c>
      <c r="AP10" s="537">
        <f>PROFORMA!AQ395</f>
        <v>0</v>
      </c>
      <c r="AQ10" s="537">
        <f>PROFORMA!AR395</f>
        <v>0</v>
      </c>
      <c r="AR10" s="537">
        <f>PROFORMA!AS395</f>
        <v>0</v>
      </c>
      <c r="AS10" s="537">
        <f>PROFORMA!AT395</f>
        <v>0</v>
      </c>
      <c r="AT10" s="582">
        <f t="shared" ref="AT10:AT15" si="8">SUM(Y10:AS10)</f>
        <v>0</v>
      </c>
      <c r="AU10" s="532">
        <f t="shared" ref="AU10:AU15" si="9">X10+AT10</f>
        <v>-36675000</v>
      </c>
      <c r="AV10" s="532">
        <f t="shared" ref="AV10:AV15" si="10">E10+AU10</f>
        <v>0</v>
      </c>
      <c r="AW10" s="532"/>
      <c r="AX10" s="532">
        <f t="shared" si="1"/>
        <v>0</v>
      </c>
    </row>
    <row r="11" spans="1:50">
      <c r="A11" s="529">
        <v>9</v>
      </c>
      <c r="B11" s="795"/>
      <c r="C11" s="521" t="s">
        <v>80</v>
      </c>
      <c r="D11" s="522">
        <v>488</v>
      </c>
      <c r="E11" s="537">
        <f>PROFORMA!F396</f>
        <v>3000</v>
      </c>
      <c r="F11" s="537">
        <f>PROFORMA!G396</f>
        <v>0</v>
      </c>
      <c r="G11" s="537">
        <f>PROFORMA!H396</f>
        <v>0</v>
      </c>
      <c r="H11" s="537">
        <f>PROFORMA!I396</f>
        <v>0</v>
      </c>
      <c r="I11" s="537">
        <f>PROFORMA!J396</f>
        <v>0</v>
      </c>
      <c r="J11" s="537">
        <f>PROFORMA!K396</f>
        <v>0</v>
      </c>
      <c r="K11" s="537">
        <f>PROFORMA!L396</f>
        <v>0</v>
      </c>
      <c r="L11" s="537">
        <f>PROFORMA!M396</f>
        <v>0</v>
      </c>
      <c r="M11" s="537">
        <f>PROFORMA!N396</f>
        <v>0</v>
      </c>
      <c r="N11" s="537">
        <f>PROFORMA!O396</f>
        <v>0</v>
      </c>
      <c r="O11" s="537">
        <f>PROFORMA!P396</f>
        <v>0</v>
      </c>
      <c r="P11" s="537">
        <f>PROFORMA!Q396</f>
        <v>0</v>
      </c>
      <c r="Q11" s="537">
        <f>PROFORMA!R396</f>
        <v>0</v>
      </c>
      <c r="R11" s="537">
        <f>PROFORMA!S396</f>
        <v>0</v>
      </c>
      <c r="S11" s="537">
        <f>PROFORMA!T396</f>
        <v>0</v>
      </c>
      <c r="T11" s="537">
        <f>PROFORMA!U396</f>
        <v>0</v>
      </c>
      <c r="U11" s="537">
        <f>PROFORMA!V396</f>
        <v>0</v>
      </c>
      <c r="V11" s="537">
        <f>PROFORMA!W396</f>
        <v>0</v>
      </c>
      <c r="W11" s="537">
        <f>PROFORMA!X396</f>
        <v>0</v>
      </c>
      <c r="X11" s="579">
        <f t="shared" si="0"/>
        <v>0</v>
      </c>
      <c r="Y11" s="537">
        <f>PROFORMA!Y396</f>
        <v>0</v>
      </c>
      <c r="Z11" s="537">
        <f>PROFORMA!Z396</f>
        <v>0</v>
      </c>
      <c r="AA11" s="537">
        <f>PROFORMA!AA396</f>
        <v>0</v>
      </c>
      <c r="AB11" s="537">
        <f>PROFORMA!AB396</f>
        <v>0</v>
      </c>
      <c r="AC11" s="537">
        <f>PROFORMA!AC396</f>
        <v>0</v>
      </c>
      <c r="AD11" s="537">
        <f>PROFORMA!AD396</f>
        <v>0</v>
      </c>
      <c r="AE11" s="537">
        <f>PROFORMA!AE396</f>
        <v>0</v>
      </c>
      <c r="AF11" s="537">
        <f>PROFORMA!AG396</f>
        <v>0</v>
      </c>
      <c r="AG11" s="537">
        <f>PROFORMA!AH396</f>
        <v>0</v>
      </c>
      <c r="AH11" s="537">
        <f>PROFORMA!AI396</f>
        <v>0</v>
      </c>
      <c r="AI11" s="537">
        <f>PROFORMA!AJ396</f>
        <v>0</v>
      </c>
      <c r="AJ11" s="537">
        <f>PROFORMA!AK396</f>
        <v>0</v>
      </c>
      <c r="AK11" s="537">
        <f>PROFORMA!AL396</f>
        <v>0</v>
      </c>
      <c r="AL11" s="537">
        <f>PROFORMA!AM396</f>
        <v>0</v>
      </c>
      <c r="AM11" s="537">
        <f>PROFORMA!AN396</f>
        <v>0</v>
      </c>
      <c r="AN11" s="537">
        <f>PROFORMA!AO396</f>
        <v>0</v>
      </c>
      <c r="AO11" s="537">
        <f>PROFORMA!AP396</f>
        <v>0</v>
      </c>
      <c r="AP11" s="537">
        <f>PROFORMA!AQ396</f>
        <v>0</v>
      </c>
      <c r="AQ11" s="537">
        <f>PROFORMA!AR396</f>
        <v>0</v>
      </c>
      <c r="AR11" s="537">
        <f>PROFORMA!AS396</f>
        <v>0</v>
      </c>
      <c r="AS11" s="537">
        <f>PROFORMA!AT396</f>
        <v>0</v>
      </c>
      <c r="AT11" s="582">
        <f t="shared" si="8"/>
        <v>0</v>
      </c>
      <c r="AU11" s="532">
        <f t="shared" si="9"/>
        <v>0</v>
      </c>
      <c r="AV11" s="532">
        <f t="shared" si="10"/>
        <v>3000</v>
      </c>
      <c r="AW11" s="532"/>
      <c r="AX11" s="532">
        <f t="shared" si="1"/>
        <v>3000</v>
      </c>
    </row>
    <row r="12" spans="1:50">
      <c r="A12" s="529">
        <v>10</v>
      </c>
      <c r="B12" s="795"/>
      <c r="C12" s="521" t="s">
        <v>1150</v>
      </c>
      <c r="D12" s="522">
        <v>489.3</v>
      </c>
      <c r="E12" s="537">
        <f>PROFORMA!F397</f>
        <v>5180000</v>
      </c>
      <c r="F12" s="537">
        <f>PROFORMA!G397</f>
        <v>0</v>
      </c>
      <c r="G12" s="537">
        <f>PROFORMA!H397</f>
        <v>0</v>
      </c>
      <c r="H12" s="537">
        <f>PROFORMA!I397</f>
        <v>0</v>
      </c>
      <c r="I12" s="537">
        <f>PROFORMA!J397</f>
        <v>0</v>
      </c>
      <c r="J12" s="537">
        <f>PROFORMA!K397</f>
        <v>0</v>
      </c>
      <c r="K12" s="537">
        <f>PROFORMA!L397</f>
        <v>0</v>
      </c>
      <c r="L12" s="537">
        <f>PROFORMA!M397</f>
        <v>0</v>
      </c>
      <c r="M12" s="537">
        <f>PROFORMA!N397</f>
        <v>0</v>
      </c>
      <c r="N12" s="537">
        <f>PROFORMA!O397</f>
        <v>0</v>
      </c>
      <c r="O12" s="537">
        <f>PROFORMA!P397</f>
        <v>0</v>
      </c>
      <c r="P12" s="537">
        <f>PROFORMA!Q397</f>
        <v>0</v>
      </c>
      <c r="Q12" s="537">
        <f>PROFORMA!R397</f>
        <v>0</v>
      </c>
      <c r="R12" s="537">
        <f>PROFORMA!S397</f>
        <v>0</v>
      </c>
      <c r="S12" s="537">
        <f>PROFORMA!T397</f>
        <v>0</v>
      </c>
      <c r="T12" s="537">
        <f>PROFORMA!U397</f>
        <v>0</v>
      </c>
      <c r="U12" s="537">
        <f>PROFORMA!V397</f>
        <v>0</v>
      </c>
      <c r="V12" s="537">
        <f>PROFORMA!W397</f>
        <v>0</v>
      </c>
      <c r="W12" s="537">
        <f>PROFORMA!X397</f>
        <v>0</v>
      </c>
      <c r="X12" s="579">
        <f t="shared" si="0"/>
        <v>0</v>
      </c>
      <c r="Y12" s="537">
        <f>PROFORMA!Y397</f>
        <v>-3521000</v>
      </c>
      <c r="Z12" s="537">
        <f>PROFORMA!Z397</f>
        <v>0</v>
      </c>
      <c r="AA12" s="537">
        <f>PROFORMA!AA397</f>
        <v>0</v>
      </c>
      <c r="AB12" s="537">
        <f>PROFORMA!AB397</f>
        <v>0</v>
      </c>
      <c r="AC12" s="537">
        <f>PROFORMA!AC397</f>
        <v>0</v>
      </c>
      <c r="AD12" s="537">
        <f>PROFORMA!AD397</f>
        <v>0</v>
      </c>
      <c r="AE12" s="537">
        <f>PROFORMA!AE397</f>
        <v>0</v>
      </c>
      <c r="AF12" s="537">
        <f>PROFORMA!AG397</f>
        <v>0</v>
      </c>
      <c r="AG12" s="537">
        <f>PROFORMA!AH397</f>
        <v>0</v>
      </c>
      <c r="AH12" s="537">
        <f>PROFORMA!AI397</f>
        <v>0</v>
      </c>
      <c r="AI12" s="537">
        <f>PROFORMA!AJ397</f>
        <v>0</v>
      </c>
      <c r="AJ12" s="537">
        <f>PROFORMA!AK397</f>
        <v>0</v>
      </c>
      <c r="AK12" s="537">
        <f>PROFORMA!AL397</f>
        <v>0</v>
      </c>
      <c r="AL12" s="537">
        <f>PROFORMA!AM397</f>
        <v>0</v>
      </c>
      <c r="AM12" s="537">
        <f>PROFORMA!AN397</f>
        <v>0</v>
      </c>
      <c r="AN12" s="537">
        <f>PROFORMA!AO397</f>
        <v>0</v>
      </c>
      <c r="AO12" s="537">
        <f>PROFORMA!AP397</f>
        <v>0</v>
      </c>
      <c r="AP12" s="537">
        <f>PROFORMA!AQ397</f>
        <v>0</v>
      </c>
      <c r="AQ12" s="537">
        <f>PROFORMA!AR397</f>
        <v>0</v>
      </c>
      <c r="AR12" s="537">
        <f>PROFORMA!AS397</f>
        <v>0</v>
      </c>
      <c r="AS12" s="537">
        <f>PROFORMA!AT397</f>
        <v>0</v>
      </c>
      <c r="AT12" s="582">
        <f t="shared" si="8"/>
        <v>-3521000</v>
      </c>
      <c r="AU12" s="532">
        <f t="shared" si="9"/>
        <v>-3521000</v>
      </c>
      <c r="AV12" s="532">
        <f t="shared" si="10"/>
        <v>1659000</v>
      </c>
      <c r="AW12" s="532"/>
      <c r="AX12" s="532">
        <f t="shared" si="1"/>
        <v>1659000</v>
      </c>
    </row>
    <row r="13" spans="1:50">
      <c r="A13" s="529">
        <v>11</v>
      </c>
      <c r="B13" s="795"/>
      <c r="C13" s="521" t="s">
        <v>1151</v>
      </c>
      <c r="D13" s="522">
        <v>493</v>
      </c>
      <c r="E13" s="537">
        <f>PROFORMA!F398</f>
        <v>0</v>
      </c>
      <c r="F13" s="537">
        <f>PROFORMA!G398</f>
        <v>0</v>
      </c>
      <c r="G13" s="537">
        <f>PROFORMA!H398</f>
        <v>0</v>
      </c>
      <c r="H13" s="537">
        <f>PROFORMA!I398</f>
        <v>0</v>
      </c>
      <c r="I13" s="537">
        <f>PROFORMA!J398</f>
        <v>0</v>
      </c>
      <c r="J13" s="537">
        <f>PROFORMA!K398</f>
        <v>0</v>
      </c>
      <c r="K13" s="537">
        <f>PROFORMA!L398</f>
        <v>0</v>
      </c>
      <c r="L13" s="537">
        <f>PROFORMA!M398</f>
        <v>0</v>
      </c>
      <c r="M13" s="537">
        <f>PROFORMA!N398</f>
        <v>0</v>
      </c>
      <c r="N13" s="537">
        <f>PROFORMA!O398</f>
        <v>0</v>
      </c>
      <c r="O13" s="537">
        <f>PROFORMA!P398</f>
        <v>0</v>
      </c>
      <c r="P13" s="537">
        <f>PROFORMA!Q398</f>
        <v>0</v>
      </c>
      <c r="Q13" s="537">
        <f>PROFORMA!R398</f>
        <v>0</v>
      </c>
      <c r="R13" s="537">
        <f>PROFORMA!S398</f>
        <v>0</v>
      </c>
      <c r="S13" s="537">
        <f>PROFORMA!T398</f>
        <v>0</v>
      </c>
      <c r="T13" s="537">
        <f>PROFORMA!U398</f>
        <v>0</v>
      </c>
      <c r="U13" s="537">
        <f>PROFORMA!V398</f>
        <v>0</v>
      </c>
      <c r="V13" s="537">
        <f>PROFORMA!W398</f>
        <v>0</v>
      </c>
      <c r="W13" s="537">
        <f>PROFORMA!X398</f>
        <v>0</v>
      </c>
      <c r="X13" s="579">
        <f t="shared" si="0"/>
        <v>0</v>
      </c>
      <c r="Y13" s="537">
        <f>PROFORMA!Y398</f>
        <v>0</v>
      </c>
      <c r="Z13" s="537">
        <f>PROFORMA!Z398</f>
        <v>0</v>
      </c>
      <c r="AA13" s="537">
        <f>PROFORMA!AA398</f>
        <v>0</v>
      </c>
      <c r="AB13" s="537">
        <f>PROFORMA!AB398</f>
        <v>0</v>
      </c>
      <c r="AC13" s="537">
        <f>PROFORMA!AC398</f>
        <v>0</v>
      </c>
      <c r="AD13" s="537">
        <f>PROFORMA!AD398</f>
        <v>0</v>
      </c>
      <c r="AE13" s="537">
        <f>PROFORMA!AE398</f>
        <v>0</v>
      </c>
      <c r="AF13" s="537">
        <f>PROFORMA!AG398</f>
        <v>0</v>
      </c>
      <c r="AG13" s="537">
        <f>PROFORMA!AH398</f>
        <v>0</v>
      </c>
      <c r="AH13" s="537">
        <f>PROFORMA!AI398</f>
        <v>0</v>
      </c>
      <c r="AI13" s="537">
        <f>PROFORMA!AJ398</f>
        <v>0</v>
      </c>
      <c r="AJ13" s="537">
        <f>PROFORMA!AK398</f>
        <v>0</v>
      </c>
      <c r="AK13" s="537">
        <f>PROFORMA!AL398</f>
        <v>0</v>
      </c>
      <c r="AL13" s="537">
        <f>PROFORMA!AM398</f>
        <v>0</v>
      </c>
      <c r="AM13" s="537">
        <f>PROFORMA!AN398</f>
        <v>0</v>
      </c>
      <c r="AN13" s="537">
        <f>PROFORMA!AO398</f>
        <v>0</v>
      </c>
      <c r="AO13" s="537">
        <f>PROFORMA!AP398</f>
        <v>0</v>
      </c>
      <c r="AP13" s="537">
        <f>PROFORMA!AQ398</f>
        <v>0</v>
      </c>
      <c r="AQ13" s="537">
        <f>PROFORMA!AR398</f>
        <v>0</v>
      </c>
      <c r="AR13" s="537">
        <f>PROFORMA!AS398</f>
        <v>0</v>
      </c>
      <c r="AS13" s="537">
        <f>PROFORMA!AT398</f>
        <v>0</v>
      </c>
      <c r="AT13" s="582">
        <f t="shared" si="8"/>
        <v>0</v>
      </c>
      <c r="AU13" s="532">
        <f t="shared" si="9"/>
        <v>0</v>
      </c>
      <c r="AV13" s="532">
        <f t="shared" si="10"/>
        <v>0</v>
      </c>
      <c r="AW13" s="532"/>
      <c r="AX13" s="532">
        <f t="shared" si="1"/>
        <v>0</v>
      </c>
    </row>
    <row r="14" spans="1:50">
      <c r="A14" s="529">
        <v>12</v>
      </c>
      <c r="B14" s="795"/>
      <c r="C14" s="521" t="s">
        <v>1143</v>
      </c>
      <c r="D14" s="522">
        <v>495</v>
      </c>
      <c r="E14" s="537">
        <f>PROFORMA!F399</f>
        <v>441000</v>
      </c>
      <c r="F14" s="537">
        <f>PROFORMA!G399</f>
        <v>0</v>
      </c>
      <c r="G14" s="537">
        <f>PROFORMA!H399</f>
        <v>0</v>
      </c>
      <c r="H14" s="537">
        <f>PROFORMA!I399</f>
        <v>0</v>
      </c>
      <c r="I14" s="537">
        <f>PROFORMA!J399</f>
        <v>0</v>
      </c>
      <c r="J14" s="537">
        <f>PROFORMA!K399</f>
        <v>0</v>
      </c>
      <c r="K14" s="537">
        <f>PROFORMA!L399</f>
        <v>0</v>
      </c>
      <c r="L14" s="537">
        <f>PROFORMA!M399</f>
        <v>0</v>
      </c>
      <c r="M14" s="537">
        <f>PROFORMA!N399</f>
        <v>0</v>
      </c>
      <c r="N14" s="537">
        <f>PROFORMA!O399</f>
        <v>0</v>
      </c>
      <c r="O14" s="537">
        <f>PROFORMA!P399</f>
        <v>0</v>
      </c>
      <c r="P14" s="537">
        <f>PROFORMA!Q399</f>
        <v>0</v>
      </c>
      <c r="Q14" s="537">
        <f>PROFORMA!R399</f>
        <v>0</v>
      </c>
      <c r="R14" s="537">
        <f>PROFORMA!S399</f>
        <v>-127000</v>
      </c>
      <c r="S14" s="537">
        <f>PROFORMA!T399</f>
        <v>2771000</v>
      </c>
      <c r="T14" s="537">
        <f>PROFORMA!U399</f>
        <v>0</v>
      </c>
      <c r="U14" s="537">
        <f>PROFORMA!V399</f>
        <v>0</v>
      </c>
      <c r="V14" s="537">
        <f>PROFORMA!W399</f>
        <v>0</v>
      </c>
      <c r="W14" s="537">
        <f>PROFORMA!X399</f>
        <v>0</v>
      </c>
      <c r="X14" s="579">
        <f t="shared" si="0"/>
        <v>2644000</v>
      </c>
      <c r="Y14" s="537">
        <f>PROFORMA!Y399</f>
        <v>-2714000</v>
      </c>
      <c r="Z14" s="537">
        <f>PROFORMA!Z399</f>
        <v>0</v>
      </c>
      <c r="AA14" s="537">
        <f>PROFORMA!AA399</f>
        <v>0</v>
      </c>
      <c r="AB14" s="537">
        <f>PROFORMA!AB399</f>
        <v>0</v>
      </c>
      <c r="AC14" s="537">
        <f>PROFORMA!AC399</f>
        <v>0</v>
      </c>
      <c r="AD14" s="537">
        <f>PROFORMA!AD399</f>
        <v>0</v>
      </c>
      <c r="AE14" s="537">
        <f>PROFORMA!AE399</f>
        <v>0</v>
      </c>
      <c r="AF14" s="537">
        <f>PROFORMA!AG399</f>
        <v>0</v>
      </c>
      <c r="AG14" s="537">
        <f>PROFORMA!AH399</f>
        <v>0</v>
      </c>
      <c r="AH14" s="537">
        <f>PROFORMA!AI399</f>
        <v>0</v>
      </c>
      <c r="AI14" s="537">
        <f>PROFORMA!AJ399</f>
        <v>0</v>
      </c>
      <c r="AJ14" s="537">
        <f>PROFORMA!AK399</f>
        <v>0</v>
      </c>
      <c r="AK14" s="537">
        <f>PROFORMA!AL399</f>
        <v>0</v>
      </c>
      <c r="AL14" s="537">
        <f>PROFORMA!AM399</f>
        <v>0</v>
      </c>
      <c r="AM14" s="537">
        <f>PROFORMA!AN399</f>
        <v>0</v>
      </c>
      <c r="AN14" s="537">
        <f>PROFORMA!AO399</f>
        <v>0</v>
      </c>
      <c r="AO14" s="537">
        <f>PROFORMA!AP399</f>
        <v>0</v>
      </c>
      <c r="AP14" s="537">
        <f>PROFORMA!AQ399</f>
        <v>0</v>
      </c>
      <c r="AQ14" s="537">
        <f>PROFORMA!AR399</f>
        <v>0</v>
      </c>
      <c r="AR14" s="537">
        <f>PROFORMA!AS399</f>
        <v>0</v>
      </c>
      <c r="AS14" s="537">
        <f>PROFORMA!AT399</f>
        <v>0</v>
      </c>
      <c r="AT14" s="582">
        <f t="shared" si="8"/>
        <v>-2714000</v>
      </c>
      <c r="AU14" s="532">
        <f t="shared" si="9"/>
        <v>-70000</v>
      </c>
      <c r="AV14" s="532">
        <f t="shared" si="10"/>
        <v>371000</v>
      </c>
      <c r="AW14" s="532"/>
      <c r="AX14" s="532">
        <f t="shared" si="1"/>
        <v>371000</v>
      </c>
    </row>
    <row r="15" spans="1:50">
      <c r="A15" s="529">
        <v>13</v>
      </c>
      <c r="B15" s="795"/>
      <c r="C15" s="521" t="s">
        <v>1152</v>
      </c>
      <c r="D15" s="522">
        <v>496</v>
      </c>
      <c r="E15" s="574">
        <f>PROFORMA!F400</f>
        <v>0</v>
      </c>
      <c r="F15" s="574">
        <f>PROFORMA!G400</f>
        <v>0</v>
      </c>
      <c r="G15" s="574">
        <f>PROFORMA!H400</f>
        <v>0</v>
      </c>
      <c r="H15" s="574">
        <f>PROFORMA!I400</f>
        <v>0</v>
      </c>
      <c r="I15" s="574">
        <f>PROFORMA!J400</f>
        <v>0</v>
      </c>
      <c r="J15" s="574">
        <f>PROFORMA!K400</f>
        <v>0</v>
      </c>
      <c r="K15" s="574">
        <f>PROFORMA!L400</f>
        <v>0</v>
      </c>
      <c r="L15" s="574">
        <f>PROFORMA!M400</f>
        <v>0</v>
      </c>
      <c r="M15" s="574">
        <f>PROFORMA!N400</f>
        <v>0</v>
      </c>
      <c r="N15" s="574">
        <f>PROFORMA!O400</f>
        <v>0</v>
      </c>
      <c r="O15" s="574">
        <f>PROFORMA!P400</f>
        <v>0</v>
      </c>
      <c r="P15" s="574">
        <f>PROFORMA!Q400</f>
        <v>0</v>
      </c>
      <c r="Q15" s="574">
        <f>PROFORMA!R400</f>
        <v>0</v>
      </c>
      <c r="R15" s="574">
        <f>PROFORMA!S400</f>
        <v>0</v>
      </c>
      <c r="S15" s="574">
        <f>PROFORMA!T400</f>
        <v>0</v>
      </c>
      <c r="T15" s="574">
        <f>PROFORMA!U400</f>
        <v>0</v>
      </c>
      <c r="U15" s="574">
        <f>PROFORMA!V400</f>
        <v>0</v>
      </c>
      <c r="V15" s="574">
        <f>PROFORMA!W400</f>
        <v>0</v>
      </c>
      <c r="W15" s="574">
        <f>PROFORMA!X400</f>
        <v>0</v>
      </c>
      <c r="X15" s="580">
        <f t="shared" si="0"/>
        <v>0</v>
      </c>
      <c r="Y15" s="574">
        <f>PROFORMA!Y400</f>
        <v>0</v>
      </c>
      <c r="Z15" s="574">
        <f>PROFORMA!Z400</f>
        <v>0</v>
      </c>
      <c r="AA15" s="574">
        <f>PROFORMA!AA400</f>
        <v>0</v>
      </c>
      <c r="AB15" s="574">
        <f>PROFORMA!AB400</f>
        <v>0</v>
      </c>
      <c r="AC15" s="574">
        <f>PROFORMA!AC400</f>
        <v>0</v>
      </c>
      <c r="AD15" s="574">
        <f>PROFORMA!AD400</f>
        <v>0</v>
      </c>
      <c r="AE15" s="574">
        <f>PROFORMA!AE400</f>
        <v>0</v>
      </c>
      <c r="AF15" s="574">
        <f>PROFORMA!AG400</f>
        <v>0</v>
      </c>
      <c r="AG15" s="574">
        <f>PROFORMA!AH400</f>
        <v>0</v>
      </c>
      <c r="AH15" s="574">
        <f>PROFORMA!AI400</f>
        <v>0</v>
      </c>
      <c r="AI15" s="574">
        <f>PROFORMA!AJ400</f>
        <v>0</v>
      </c>
      <c r="AJ15" s="574">
        <f>PROFORMA!AK400</f>
        <v>0</v>
      </c>
      <c r="AK15" s="574">
        <f>PROFORMA!AL400</f>
        <v>0</v>
      </c>
      <c r="AL15" s="574">
        <f>PROFORMA!AM400</f>
        <v>0</v>
      </c>
      <c r="AM15" s="574">
        <f>PROFORMA!AN400</f>
        <v>0</v>
      </c>
      <c r="AN15" s="574">
        <f>PROFORMA!AO400</f>
        <v>0</v>
      </c>
      <c r="AO15" s="574">
        <f>PROFORMA!AP400</f>
        <v>0</v>
      </c>
      <c r="AP15" s="574">
        <f>PROFORMA!AQ400</f>
        <v>0</v>
      </c>
      <c r="AQ15" s="574">
        <f>PROFORMA!AR400</f>
        <v>0</v>
      </c>
      <c r="AR15" s="574">
        <f>PROFORMA!AS400</f>
        <v>0</v>
      </c>
      <c r="AS15" s="574">
        <f>PROFORMA!AT400</f>
        <v>344000</v>
      </c>
      <c r="AT15" s="583">
        <f t="shared" si="8"/>
        <v>344000</v>
      </c>
      <c r="AU15" s="532">
        <f t="shared" si="9"/>
        <v>344000</v>
      </c>
      <c r="AV15" s="532">
        <f t="shared" si="10"/>
        <v>344000</v>
      </c>
      <c r="AW15" s="532"/>
      <c r="AX15" s="532">
        <f t="shared" si="1"/>
        <v>344000</v>
      </c>
    </row>
    <row r="16" spans="1:50">
      <c r="A16" s="529">
        <v>14</v>
      </c>
      <c r="B16" s="795"/>
      <c r="C16" s="520" t="s">
        <v>1081</v>
      </c>
      <c r="D16" s="520"/>
      <c r="E16" s="575">
        <f>SUM(E10:E15)</f>
        <v>42299000</v>
      </c>
      <c r="F16" s="575">
        <f t="shared" ref="F16" si="11">SUM(F10:F15)</f>
        <v>0</v>
      </c>
      <c r="G16" s="575">
        <f t="shared" ref="G16:W16" si="12">SUM(G10:G15)</f>
        <v>0</v>
      </c>
      <c r="H16" s="575">
        <f t="shared" si="12"/>
        <v>0</v>
      </c>
      <c r="I16" s="575">
        <f t="shared" si="12"/>
        <v>0</v>
      </c>
      <c r="J16" s="575">
        <f t="shared" si="12"/>
        <v>0</v>
      </c>
      <c r="K16" s="575">
        <f t="shared" si="12"/>
        <v>0</v>
      </c>
      <c r="L16" s="575">
        <f t="shared" si="12"/>
        <v>0</v>
      </c>
      <c r="M16" s="575">
        <f t="shared" si="12"/>
        <v>0</v>
      </c>
      <c r="N16" s="575">
        <f t="shared" si="12"/>
        <v>0</v>
      </c>
      <c r="O16" s="575">
        <f t="shared" si="12"/>
        <v>0</v>
      </c>
      <c r="P16" s="575">
        <f t="shared" si="12"/>
        <v>0</v>
      </c>
      <c r="Q16" s="575">
        <f t="shared" si="12"/>
        <v>0</v>
      </c>
      <c r="R16" s="575">
        <f t="shared" si="12"/>
        <v>-127000</v>
      </c>
      <c r="S16" s="575">
        <f t="shared" si="12"/>
        <v>-33904000</v>
      </c>
      <c r="T16" s="575">
        <f t="shared" si="12"/>
        <v>0</v>
      </c>
      <c r="U16" s="575">
        <f t="shared" si="12"/>
        <v>0</v>
      </c>
      <c r="V16" s="575">
        <f t="shared" si="12"/>
        <v>0</v>
      </c>
      <c r="W16" s="575">
        <f t="shared" si="12"/>
        <v>0</v>
      </c>
      <c r="X16" s="580">
        <f t="shared" si="0"/>
        <v>-34031000</v>
      </c>
      <c r="Y16" s="575">
        <f t="shared" ref="Y16:AX16" si="13">SUM(Y10:Y15)</f>
        <v>-6235000</v>
      </c>
      <c r="Z16" s="575">
        <f t="shared" ref="Z16:AF16" si="14">SUM(Z10:Z15)</f>
        <v>0</v>
      </c>
      <c r="AA16" s="575">
        <f t="shared" si="14"/>
        <v>0</v>
      </c>
      <c r="AB16" s="575">
        <f t="shared" si="14"/>
        <v>0</v>
      </c>
      <c r="AC16" s="575">
        <f t="shared" si="14"/>
        <v>0</v>
      </c>
      <c r="AD16" s="575">
        <f t="shared" si="14"/>
        <v>0</v>
      </c>
      <c r="AE16" s="575">
        <f t="shared" si="14"/>
        <v>0</v>
      </c>
      <c r="AF16" s="575">
        <f t="shared" si="14"/>
        <v>0</v>
      </c>
      <c r="AG16" s="575">
        <f t="shared" ref="AG16:AQ16" si="15">SUM(AG10:AG15)</f>
        <v>0</v>
      </c>
      <c r="AH16" s="575">
        <f t="shared" si="15"/>
        <v>0</v>
      </c>
      <c r="AI16" s="575">
        <f t="shared" si="15"/>
        <v>0</v>
      </c>
      <c r="AJ16" s="575">
        <f t="shared" si="15"/>
        <v>0</v>
      </c>
      <c r="AK16" s="575">
        <f t="shared" si="15"/>
        <v>0</v>
      </c>
      <c r="AL16" s="575">
        <f t="shared" si="15"/>
        <v>0</v>
      </c>
      <c r="AM16" s="575">
        <f t="shared" si="15"/>
        <v>0</v>
      </c>
      <c r="AN16" s="575">
        <f t="shared" si="15"/>
        <v>0</v>
      </c>
      <c r="AO16" s="575">
        <f t="shared" si="15"/>
        <v>0</v>
      </c>
      <c r="AP16" s="575">
        <f t="shared" si="15"/>
        <v>0</v>
      </c>
      <c r="AQ16" s="575">
        <f t="shared" si="15"/>
        <v>0</v>
      </c>
      <c r="AR16" s="575">
        <f t="shared" ref="AR16:AS16" si="16">SUM(AR10:AR15)</f>
        <v>0</v>
      </c>
      <c r="AS16" s="575">
        <f t="shared" si="16"/>
        <v>344000</v>
      </c>
      <c r="AT16" s="575">
        <f t="shared" si="13"/>
        <v>-5891000</v>
      </c>
      <c r="AU16" s="575">
        <f t="shared" si="13"/>
        <v>-39922000</v>
      </c>
      <c r="AV16" s="575">
        <f t="shared" si="13"/>
        <v>2377000</v>
      </c>
      <c r="AW16" s="575">
        <f t="shared" si="13"/>
        <v>0</v>
      </c>
      <c r="AX16" s="575">
        <f t="shared" si="13"/>
        <v>2377000</v>
      </c>
    </row>
    <row r="17" spans="1:50">
      <c r="A17" s="529">
        <v>15</v>
      </c>
      <c r="B17" s="498"/>
      <c r="C17" s="524" t="s">
        <v>1079</v>
      </c>
      <c r="D17" s="524"/>
      <c r="E17" s="536">
        <f>E9+E16</f>
        <v>288840000</v>
      </c>
      <c r="F17" s="536">
        <f t="shared" ref="F17" si="17">F9+F16</f>
        <v>0</v>
      </c>
      <c r="G17" s="536">
        <f t="shared" ref="G17:W17" si="18">G9+G16</f>
        <v>0</v>
      </c>
      <c r="H17" s="536">
        <f t="shared" si="18"/>
        <v>0</v>
      </c>
      <c r="I17" s="536">
        <f t="shared" si="18"/>
        <v>-8646000</v>
      </c>
      <c r="J17" s="536">
        <f t="shared" si="18"/>
        <v>0</v>
      </c>
      <c r="K17" s="536">
        <f t="shared" si="18"/>
        <v>0</v>
      </c>
      <c r="L17" s="536">
        <f t="shared" si="18"/>
        <v>0</v>
      </c>
      <c r="M17" s="536">
        <f t="shared" si="18"/>
        <v>0</v>
      </c>
      <c r="N17" s="536">
        <f t="shared" si="18"/>
        <v>0</v>
      </c>
      <c r="O17" s="536">
        <f t="shared" si="18"/>
        <v>0</v>
      </c>
      <c r="P17" s="536">
        <f t="shared" si="18"/>
        <v>0</v>
      </c>
      <c r="Q17" s="536">
        <f t="shared" si="18"/>
        <v>0</v>
      </c>
      <c r="R17" s="536">
        <f t="shared" si="18"/>
        <v>-99000</v>
      </c>
      <c r="S17" s="536">
        <f t="shared" si="18"/>
        <v>-60578000</v>
      </c>
      <c r="T17" s="536">
        <f t="shared" si="18"/>
        <v>0</v>
      </c>
      <c r="U17" s="536">
        <f t="shared" si="18"/>
        <v>0</v>
      </c>
      <c r="V17" s="536">
        <f t="shared" si="18"/>
        <v>0</v>
      </c>
      <c r="W17" s="536">
        <f t="shared" si="18"/>
        <v>0</v>
      </c>
      <c r="X17" s="579">
        <f t="shared" si="0"/>
        <v>-69323000</v>
      </c>
      <c r="Y17" s="536">
        <f t="shared" ref="Y17:AX17" si="19">Y9+Y16</f>
        <v>-92167000</v>
      </c>
      <c r="Z17" s="536">
        <f t="shared" ref="Z17:AF17" si="20">Z9+Z16</f>
        <v>0</v>
      </c>
      <c r="AA17" s="536">
        <f t="shared" si="20"/>
        <v>0</v>
      </c>
      <c r="AB17" s="536">
        <f t="shared" si="20"/>
        <v>0</v>
      </c>
      <c r="AC17" s="536">
        <f t="shared" si="20"/>
        <v>0</v>
      </c>
      <c r="AD17" s="536">
        <f t="shared" si="20"/>
        <v>0</v>
      </c>
      <c r="AE17" s="536">
        <f t="shared" si="20"/>
        <v>0</v>
      </c>
      <c r="AF17" s="536">
        <f t="shared" si="20"/>
        <v>0</v>
      </c>
      <c r="AG17" s="536">
        <f t="shared" ref="AG17:AQ17" si="21">AG9+AG16</f>
        <v>0</v>
      </c>
      <c r="AH17" s="536">
        <f t="shared" si="21"/>
        <v>0</v>
      </c>
      <c r="AI17" s="536">
        <f t="shared" si="21"/>
        <v>0</v>
      </c>
      <c r="AJ17" s="536">
        <f t="shared" si="21"/>
        <v>0</v>
      </c>
      <c r="AK17" s="536">
        <f t="shared" si="21"/>
        <v>0</v>
      </c>
      <c r="AL17" s="536">
        <f t="shared" si="21"/>
        <v>0</v>
      </c>
      <c r="AM17" s="536">
        <f t="shared" si="21"/>
        <v>0</v>
      </c>
      <c r="AN17" s="536">
        <f t="shared" si="21"/>
        <v>0</v>
      </c>
      <c r="AO17" s="536">
        <f t="shared" si="21"/>
        <v>0</v>
      </c>
      <c r="AP17" s="536">
        <f t="shared" si="21"/>
        <v>0</v>
      </c>
      <c r="AQ17" s="536">
        <f t="shared" si="21"/>
        <v>0</v>
      </c>
      <c r="AR17" s="536">
        <f t="shared" ref="AR17:AS17" si="22">AR9+AR16</f>
        <v>0</v>
      </c>
      <c r="AS17" s="536">
        <f t="shared" si="22"/>
        <v>344000</v>
      </c>
      <c r="AT17" s="536">
        <f t="shared" si="19"/>
        <v>-91823000</v>
      </c>
      <c r="AU17" s="536">
        <f t="shared" si="19"/>
        <v>-161146000</v>
      </c>
      <c r="AV17" s="536">
        <f t="shared" si="19"/>
        <v>127694000</v>
      </c>
      <c r="AW17" s="536">
        <f t="shared" si="19"/>
        <v>0</v>
      </c>
      <c r="AX17" s="536">
        <f t="shared" si="19"/>
        <v>127694000</v>
      </c>
    </row>
    <row r="18" spans="1:50">
      <c r="A18" s="529">
        <v>16</v>
      </c>
      <c r="B18" s="796" t="s">
        <v>282</v>
      </c>
      <c r="C18" s="521" t="s">
        <v>1153</v>
      </c>
      <c r="D18" s="543" t="s">
        <v>1154</v>
      </c>
      <c r="E18" s="538">
        <f>PROFORMA!F11</f>
        <v>139821000</v>
      </c>
      <c r="F18" s="538">
        <f>PROFORMA!G11</f>
        <v>0</v>
      </c>
      <c r="G18" s="538">
        <f>PROFORMA!H11</f>
        <v>0</v>
      </c>
      <c r="H18" s="538">
        <f>PROFORMA!I11</f>
        <v>0</v>
      </c>
      <c r="I18" s="538">
        <f>PROFORMA!J11</f>
        <v>0</v>
      </c>
      <c r="J18" s="538">
        <f>PROFORMA!K11</f>
        <v>0</v>
      </c>
      <c r="K18" s="538">
        <f>PROFORMA!L11</f>
        <v>0</v>
      </c>
      <c r="L18" s="538">
        <f>PROFORMA!M11</f>
        <v>0</v>
      </c>
      <c r="M18" s="538">
        <f>PROFORMA!N11</f>
        <v>0</v>
      </c>
      <c r="N18" s="538">
        <f>PROFORMA!O11</f>
        <v>0</v>
      </c>
      <c r="O18" s="538">
        <f>PROFORMA!P11</f>
        <v>0</v>
      </c>
      <c r="P18" s="538">
        <f>PROFORMA!Q11</f>
        <v>0</v>
      </c>
      <c r="Q18" s="538">
        <f>PROFORMA!R11</f>
        <v>0</v>
      </c>
      <c r="R18" s="538">
        <f>PROFORMA!S11</f>
        <v>-57000</v>
      </c>
      <c r="S18" s="538">
        <f>PROFORMA!T11</f>
        <v>-49394000</v>
      </c>
      <c r="T18" s="538">
        <f>PROFORMA!U11</f>
        <v>0</v>
      </c>
      <c r="U18" s="538">
        <f>PROFORMA!V11</f>
        <v>0</v>
      </c>
      <c r="V18" s="538">
        <f>PROFORMA!W11</f>
        <v>0</v>
      </c>
      <c r="W18" s="538">
        <f>PROFORMA!X11</f>
        <v>0</v>
      </c>
      <c r="X18" s="579">
        <f t="shared" si="0"/>
        <v>-49451000</v>
      </c>
      <c r="Y18" s="538">
        <f>PROFORMA!Y11</f>
        <v>-90370000</v>
      </c>
      <c r="Z18" s="538">
        <f>PROFORMA!Z11</f>
        <v>0</v>
      </c>
      <c r="AA18" s="538">
        <f>PROFORMA!AA11</f>
        <v>0</v>
      </c>
      <c r="AB18" s="538">
        <f>PROFORMA!AB11</f>
        <v>0</v>
      </c>
      <c r="AC18" s="538">
        <f>PROFORMA!AC11</f>
        <v>0</v>
      </c>
      <c r="AD18" s="538">
        <f>PROFORMA!AD11</f>
        <v>0</v>
      </c>
      <c r="AE18" s="538">
        <f>PROFORMA!AE11</f>
        <v>0</v>
      </c>
      <c r="AF18" s="538">
        <f>PROFORMA!AG11</f>
        <v>0</v>
      </c>
      <c r="AG18" s="538">
        <f>PROFORMA!AH11</f>
        <v>0</v>
      </c>
      <c r="AH18" s="538">
        <f>PROFORMA!AI11</f>
        <v>0</v>
      </c>
      <c r="AI18" s="538">
        <f>PROFORMA!AJ11</f>
        <v>0</v>
      </c>
      <c r="AJ18" s="538">
        <f>PROFORMA!AK11</f>
        <v>0</v>
      </c>
      <c r="AK18" s="538">
        <f>PROFORMA!AL11</f>
        <v>0</v>
      </c>
      <c r="AL18" s="538">
        <f>PROFORMA!AM11</f>
        <v>0</v>
      </c>
      <c r="AM18" s="538">
        <f>PROFORMA!AN11</f>
        <v>0</v>
      </c>
      <c r="AN18" s="538">
        <f>PROFORMA!AO11</f>
        <v>0</v>
      </c>
      <c r="AO18" s="538">
        <f>PROFORMA!AP11</f>
        <v>0</v>
      </c>
      <c r="AP18" s="538">
        <f>PROFORMA!AQ11</f>
        <v>0</v>
      </c>
      <c r="AQ18" s="538">
        <f>PROFORMA!AR11</f>
        <v>0</v>
      </c>
      <c r="AR18" s="538">
        <f>PROFORMA!AS11</f>
        <v>0</v>
      </c>
      <c r="AS18" s="538">
        <f>PROFORMA!AT11</f>
        <v>0</v>
      </c>
      <c r="AT18" s="582">
        <f>SUM(Y18:AS18)</f>
        <v>-90370000</v>
      </c>
      <c r="AU18" s="532">
        <f>X18+AT18</f>
        <v>-139821000</v>
      </c>
      <c r="AV18" s="532">
        <f>E18+AU18</f>
        <v>0</v>
      </c>
      <c r="AW18" s="532"/>
      <c r="AX18" s="532">
        <f t="shared" si="1"/>
        <v>0</v>
      </c>
    </row>
    <row r="19" spans="1:50" ht="31.5">
      <c r="A19" s="529">
        <v>17</v>
      </c>
      <c r="B19" s="796"/>
      <c r="C19" s="521" t="s">
        <v>675</v>
      </c>
      <c r="D19" s="543">
        <v>808</v>
      </c>
      <c r="E19" s="574">
        <f>PROFORMA!F26</f>
        <v>9133000</v>
      </c>
      <c r="F19" s="574">
        <f>PROFORMA!G26</f>
        <v>0</v>
      </c>
      <c r="G19" s="574">
        <f>PROFORMA!H26</f>
        <v>0</v>
      </c>
      <c r="H19" s="574">
        <f>PROFORMA!I26</f>
        <v>0</v>
      </c>
      <c r="I19" s="574">
        <f>PROFORMA!J26</f>
        <v>0</v>
      </c>
      <c r="J19" s="574">
        <f>PROFORMA!K26</f>
        <v>0</v>
      </c>
      <c r="K19" s="574">
        <f>PROFORMA!L26</f>
        <v>0</v>
      </c>
      <c r="L19" s="574">
        <f>PROFORMA!M26</f>
        <v>0</v>
      </c>
      <c r="M19" s="574">
        <f>PROFORMA!N26</f>
        <v>0</v>
      </c>
      <c r="N19" s="574">
        <f>PROFORMA!O26</f>
        <v>0</v>
      </c>
      <c r="O19" s="574">
        <f>PROFORMA!P26</f>
        <v>0</v>
      </c>
      <c r="P19" s="574">
        <f>PROFORMA!Q26</f>
        <v>0</v>
      </c>
      <c r="Q19" s="574">
        <f>PROFORMA!R26</f>
        <v>0</v>
      </c>
      <c r="R19" s="574">
        <f>PROFORMA!S26</f>
        <v>0</v>
      </c>
      <c r="S19" s="574">
        <f>PROFORMA!T26</f>
        <v>-8789000</v>
      </c>
      <c r="T19" s="574">
        <f>PROFORMA!U26</f>
        <v>0</v>
      </c>
      <c r="U19" s="574">
        <f>PROFORMA!V26</f>
        <v>0</v>
      </c>
      <c r="V19" s="574">
        <f>PROFORMA!W26</f>
        <v>0</v>
      </c>
      <c r="W19" s="574">
        <f>PROFORMA!X26</f>
        <v>0</v>
      </c>
      <c r="X19" s="580">
        <f t="shared" si="0"/>
        <v>-8789000</v>
      </c>
      <c r="Y19" s="574">
        <f>PROFORMA!Y26</f>
        <v>0</v>
      </c>
      <c r="Z19" s="574">
        <f>PROFORMA!Z26</f>
        <v>0</v>
      </c>
      <c r="AA19" s="574">
        <f>PROFORMA!AA26</f>
        <v>0</v>
      </c>
      <c r="AB19" s="574">
        <f>PROFORMA!AB26</f>
        <v>0</v>
      </c>
      <c r="AC19" s="574">
        <f>PROFORMA!AC26</f>
        <v>0</v>
      </c>
      <c r="AD19" s="574">
        <f>PROFORMA!AD26</f>
        <v>0</v>
      </c>
      <c r="AE19" s="574">
        <f>PROFORMA!AE26</f>
        <v>0</v>
      </c>
      <c r="AF19" s="574">
        <f>PROFORMA!AG26</f>
        <v>0</v>
      </c>
      <c r="AG19" s="574">
        <f>PROFORMA!AH26</f>
        <v>0</v>
      </c>
      <c r="AH19" s="574">
        <f>PROFORMA!AI26</f>
        <v>0</v>
      </c>
      <c r="AI19" s="574">
        <f>PROFORMA!AJ26</f>
        <v>0</v>
      </c>
      <c r="AJ19" s="574">
        <f>PROFORMA!AK26</f>
        <v>0</v>
      </c>
      <c r="AK19" s="574">
        <f>PROFORMA!AL26</f>
        <v>0</v>
      </c>
      <c r="AL19" s="574">
        <f>PROFORMA!AM26</f>
        <v>0</v>
      </c>
      <c r="AM19" s="574">
        <f>PROFORMA!AN26</f>
        <v>0</v>
      </c>
      <c r="AN19" s="574">
        <f>PROFORMA!AO26</f>
        <v>0</v>
      </c>
      <c r="AO19" s="574">
        <f>PROFORMA!AP26</f>
        <v>0</v>
      </c>
      <c r="AP19" s="574">
        <f>PROFORMA!AQ26</f>
        <v>0</v>
      </c>
      <c r="AQ19" s="574">
        <f>PROFORMA!AR26</f>
        <v>0</v>
      </c>
      <c r="AR19" s="574">
        <f>PROFORMA!AS26</f>
        <v>0</v>
      </c>
      <c r="AS19" s="574">
        <f>PROFORMA!AT26</f>
        <v>0</v>
      </c>
      <c r="AT19" s="583">
        <f>SUM(Y19:AS19)</f>
        <v>0</v>
      </c>
      <c r="AU19" s="581">
        <f>X19+AT19</f>
        <v>-8789000</v>
      </c>
      <c r="AV19" s="581">
        <f>E19+AU19</f>
        <v>344000</v>
      </c>
      <c r="AW19" s="581"/>
      <c r="AX19" s="581">
        <f t="shared" si="1"/>
        <v>344000</v>
      </c>
    </row>
    <row r="20" spans="1:50">
      <c r="A20" s="529">
        <v>18</v>
      </c>
      <c r="B20" s="796"/>
      <c r="C20" s="523" t="s">
        <v>1155</v>
      </c>
      <c r="D20" s="543"/>
      <c r="E20" s="552">
        <f>SUM(E18:E19)</f>
        <v>148954000</v>
      </c>
      <c r="F20" s="552">
        <f t="shared" ref="F20" si="23">SUM(F18:F19)</f>
        <v>0</v>
      </c>
      <c r="G20" s="552">
        <f t="shared" ref="G20:W20" si="24">SUM(G18:G19)</f>
        <v>0</v>
      </c>
      <c r="H20" s="552">
        <f t="shared" si="24"/>
        <v>0</v>
      </c>
      <c r="I20" s="552">
        <f t="shared" si="24"/>
        <v>0</v>
      </c>
      <c r="J20" s="552">
        <f t="shared" si="24"/>
        <v>0</v>
      </c>
      <c r="K20" s="552">
        <f t="shared" si="24"/>
        <v>0</v>
      </c>
      <c r="L20" s="552">
        <f t="shared" si="24"/>
        <v>0</v>
      </c>
      <c r="M20" s="552">
        <f t="shared" si="24"/>
        <v>0</v>
      </c>
      <c r="N20" s="552">
        <f t="shared" si="24"/>
        <v>0</v>
      </c>
      <c r="O20" s="552">
        <f t="shared" si="24"/>
        <v>0</v>
      </c>
      <c r="P20" s="552">
        <f t="shared" si="24"/>
        <v>0</v>
      </c>
      <c r="Q20" s="552">
        <f t="shared" si="24"/>
        <v>0</v>
      </c>
      <c r="R20" s="552">
        <f t="shared" si="24"/>
        <v>-57000</v>
      </c>
      <c r="S20" s="552">
        <f t="shared" si="24"/>
        <v>-58183000</v>
      </c>
      <c r="T20" s="552">
        <f t="shared" si="24"/>
        <v>0</v>
      </c>
      <c r="U20" s="552">
        <f t="shared" si="24"/>
        <v>0</v>
      </c>
      <c r="V20" s="552">
        <f t="shared" si="24"/>
        <v>0</v>
      </c>
      <c r="W20" s="552">
        <f t="shared" si="24"/>
        <v>0</v>
      </c>
      <c r="X20" s="579">
        <f t="shared" si="0"/>
        <v>-58240000</v>
      </c>
      <c r="Y20" s="552">
        <f t="shared" ref="Y20:AX20" si="25">SUM(Y18:Y19)</f>
        <v>-90370000</v>
      </c>
      <c r="Z20" s="552">
        <f t="shared" ref="Z20:AF20" si="26">SUM(Z18:Z19)</f>
        <v>0</v>
      </c>
      <c r="AA20" s="552">
        <f t="shared" si="26"/>
        <v>0</v>
      </c>
      <c r="AB20" s="552">
        <f t="shared" si="26"/>
        <v>0</v>
      </c>
      <c r="AC20" s="552">
        <f t="shared" si="26"/>
        <v>0</v>
      </c>
      <c r="AD20" s="552">
        <f t="shared" si="26"/>
        <v>0</v>
      </c>
      <c r="AE20" s="552">
        <f t="shared" si="26"/>
        <v>0</v>
      </c>
      <c r="AF20" s="552">
        <f t="shared" si="26"/>
        <v>0</v>
      </c>
      <c r="AG20" s="552">
        <f t="shared" ref="AG20:AQ20" si="27">SUM(AG18:AG19)</f>
        <v>0</v>
      </c>
      <c r="AH20" s="552">
        <f t="shared" si="27"/>
        <v>0</v>
      </c>
      <c r="AI20" s="552">
        <f t="shared" si="27"/>
        <v>0</v>
      </c>
      <c r="AJ20" s="552">
        <f t="shared" si="27"/>
        <v>0</v>
      </c>
      <c r="AK20" s="552">
        <f t="shared" si="27"/>
        <v>0</v>
      </c>
      <c r="AL20" s="552">
        <f t="shared" si="27"/>
        <v>0</v>
      </c>
      <c r="AM20" s="552">
        <f t="shared" si="27"/>
        <v>0</v>
      </c>
      <c r="AN20" s="552">
        <f t="shared" si="27"/>
        <v>0</v>
      </c>
      <c r="AO20" s="552">
        <f t="shared" si="27"/>
        <v>0</v>
      </c>
      <c r="AP20" s="552">
        <f t="shared" si="27"/>
        <v>0</v>
      </c>
      <c r="AQ20" s="552">
        <f t="shared" si="27"/>
        <v>0</v>
      </c>
      <c r="AR20" s="552">
        <f t="shared" ref="AR20:AS20" si="28">SUM(AR18:AR19)</f>
        <v>0</v>
      </c>
      <c r="AS20" s="552">
        <f t="shared" si="28"/>
        <v>0</v>
      </c>
      <c r="AT20" s="552">
        <f t="shared" si="25"/>
        <v>-90370000</v>
      </c>
      <c r="AU20" s="552">
        <f t="shared" si="25"/>
        <v>-148610000</v>
      </c>
      <c r="AV20" s="552">
        <f t="shared" si="25"/>
        <v>344000</v>
      </c>
      <c r="AW20" s="552">
        <f t="shared" si="25"/>
        <v>0</v>
      </c>
      <c r="AX20" s="552">
        <f t="shared" si="25"/>
        <v>344000</v>
      </c>
    </row>
    <row r="21" spans="1:50">
      <c r="A21" s="529">
        <v>19</v>
      </c>
      <c r="B21" s="796"/>
      <c r="C21" s="521" t="s">
        <v>1156</v>
      </c>
      <c r="D21" s="543">
        <v>811</v>
      </c>
      <c r="E21" s="538">
        <f>PROFORMA!F29</f>
        <v>-344000</v>
      </c>
      <c r="F21" s="538">
        <f>PROFORMA!G29</f>
        <v>0</v>
      </c>
      <c r="G21" s="538">
        <f>PROFORMA!H29</f>
        <v>0</v>
      </c>
      <c r="H21" s="538">
        <f>PROFORMA!I29</f>
        <v>0</v>
      </c>
      <c r="I21" s="538">
        <f>PROFORMA!J29</f>
        <v>0</v>
      </c>
      <c r="J21" s="538">
        <f>PROFORMA!K29</f>
        <v>0</v>
      </c>
      <c r="K21" s="538">
        <f>PROFORMA!L29</f>
        <v>0</v>
      </c>
      <c r="L21" s="538">
        <f>PROFORMA!M29</f>
        <v>0</v>
      </c>
      <c r="M21" s="538">
        <f>PROFORMA!N29</f>
        <v>0</v>
      </c>
      <c r="N21" s="538">
        <f>PROFORMA!O29</f>
        <v>0</v>
      </c>
      <c r="O21" s="538">
        <f>PROFORMA!P29</f>
        <v>0</v>
      </c>
      <c r="P21" s="538">
        <f>PROFORMA!Q29</f>
        <v>0</v>
      </c>
      <c r="Q21" s="538">
        <f>PROFORMA!R29</f>
        <v>0</v>
      </c>
      <c r="R21" s="538">
        <f>PROFORMA!S29</f>
        <v>0</v>
      </c>
      <c r="S21" s="538">
        <f>PROFORMA!T29</f>
        <v>0</v>
      </c>
      <c r="T21" s="538">
        <f>PROFORMA!U29</f>
        <v>0</v>
      </c>
      <c r="U21" s="538">
        <f>PROFORMA!V29</f>
        <v>0</v>
      </c>
      <c r="V21" s="538">
        <f>PROFORMA!W29</f>
        <v>0</v>
      </c>
      <c r="W21" s="538">
        <f>PROFORMA!X29</f>
        <v>0</v>
      </c>
      <c r="X21" s="579">
        <f t="shared" si="0"/>
        <v>0</v>
      </c>
      <c r="Y21" s="538">
        <f>PROFORMA!Y29</f>
        <v>0</v>
      </c>
      <c r="Z21" s="538">
        <f>PROFORMA!Z29</f>
        <v>0</v>
      </c>
      <c r="AA21" s="538">
        <f>PROFORMA!AA29</f>
        <v>0</v>
      </c>
      <c r="AB21" s="538">
        <f>PROFORMA!AB29</f>
        <v>0</v>
      </c>
      <c r="AC21" s="538">
        <f>PROFORMA!AC29</f>
        <v>0</v>
      </c>
      <c r="AD21" s="538">
        <f>PROFORMA!AD29</f>
        <v>0</v>
      </c>
      <c r="AE21" s="538">
        <f>PROFORMA!AE29</f>
        <v>0</v>
      </c>
      <c r="AF21" s="538">
        <f>PROFORMA!AG29</f>
        <v>0</v>
      </c>
      <c r="AG21" s="538">
        <f>PROFORMA!AH29</f>
        <v>0</v>
      </c>
      <c r="AH21" s="538">
        <f>PROFORMA!AI29</f>
        <v>0</v>
      </c>
      <c r="AI21" s="538">
        <f>PROFORMA!AJ29</f>
        <v>0</v>
      </c>
      <c r="AJ21" s="538">
        <f>PROFORMA!AK29</f>
        <v>0</v>
      </c>
      <c r="AK21" s="538">
        <f>PROFORMA!AL29</f>
        <v>0</v>
      </c>
      <c r="AL21" s="538">
        <f>PROFORMA!AM29</f>
        <v>0</v>
      </c>
      <c r="AM21" s="538">
        <f>PROFORMA!AN29</f>
        <v>0</v>
      </c>
      <c r="AN21" s="538">
        <f>PROFORMA!AO29</f>
        <v>0</v>
      </c>
      <c r="AO21" s="538">
        <f>PROFORMA!AP29</f>
        <v>0</v>
      </c>
      <c r="AP21" s="538">
        <f>PROFORMA!AQ29</f>
        <v>0</v>
      </c>
      <c r="AQ21" s="538">
        <f>PROFORMA!AR29</f>
        <v>0</v>
      </c>
      <c r="AR21" s="538">
        <f>PROFORMA!AS29</f>
        <v>0</v>
      </c>
      <c r="AS21" s="538">
        <f>PROFORMA!AT29</f>
        <v>0</v>
      </c>
      <c r="AT21" s="582">
        <f>SUM(Y21:AS21)</f>
        <v>0</v>
      </c>
      <c r="AU21" s="532">
        <f>X21+AT21</f>
        <v>0</v>
      </c>
      <c r="AV21" s="532">
        <f>E21+AU21</f>
        <v>-344000</v>
      </c>
      <c r="AW21" s="532"/>
      <c r="AX21" s="532">
        <f t="shared" si="1"/>
        <v>-344000</v>
      </c>
    </row>
    <row r="22" spans="1:50">
      <c r="A22" s="529">
        <v>20</v>
      </c>
      <c r="B22" s="796"/>
      <c r="C22" s="521" t="s">
        <v>670</v>
      </c>
      <c r="D22" s="543">
        <v>813.01</v>
      </c>
      <c r="E22" s="538">
        <f>PROFORMA!F30</f>
        <v>89000</v>
      </c>
      <c r="F22" s="538">
        <f>PROFORMA!G30</f>
        <v>0</v>
      </c>
      <c r="G22" s="538">
        <f>PROFORMA!H30</f>
        <v>0</v>
      </c>
      <c r="H22" s="538">
        <f>PROFORMA!I30</f>
        <v>0</v>
      </c>
      <c r="I22" s="538">
        <f>PROFORMA!J30</f>
        <v>0</v>
      </c>
      <c r="J22" s="538">
        <f>PROFORMA!K30</f>
        <v>0</v>
      </c>
      <c r="K22" s="538">
        <f>PROFORMA!L30</f>
        <v>0</v>
      </c>
      <c r="L22" s="538">
        <f>PROFORMA!M30</f>
        <v>0</v>
      </c>
      <c r="M22" s="538">
        <f>PROFORMA!N30</f>
        <v>0</v>
      </c>
      <c r="N22" s="538">
        <f>PROFORMA!O30</f>
        <v>0</v>
      </c>
      <c r="O22" s="538">
        <f>PROFORMA!P30</f>
        <v>0</v>
      </c>
      <c r="P22" s="538">
        <f>PROFORMA!Q30</f>
        <v>0</v>
      </c>
      <c r="Q22" s="538">
        <f>PROFORMA!R30</f>
        <v>0</v>
      </c>
      <c r="R22" s="538">
        <f>PROFORMA!S30</f>
        <v>0</v>
      </c>
      <c r="S22" s="538">
        <f>PROFORMA!T30</f>
        <v>0</v>
      </c>
      <c r="T22" s="538">
        <f>PROFORMA!U30</f>
        <v>0</v>
      </c>
      <c r="U22" s="538">
        <f>PROFORMA!V30</f>
        <v>0</v>
      </c>
      <c r="V22" s="538">
        <f>PROFORMA!W30</f>
        <v>0</v>
      </c>
      <c r="W22" s="538">
        <f>PROFORMA!X30</f>
        <v>0</v>
      </c>
      <c r="X22" s="579">
        <f t="shared" si="0"/>
        <v>0</v>
      </c>
      <c r="Y22" s="538">
        <f>PROFORMA!Y30</f>
        <v>0</v>
      </c>
      <c r="Z22" s="538">
        <f>PROFORMA!Z30</f>
        <v>0</v>
      </c>
      <c r="AA22" s="538">
        <f>PROFORMA!AA30</f>
        <v>0</v>
      </c>
      <c r="AB22" s="538">
        <f>PROFORMA!AB30</f>
        <v>0</v>
      </c>
      <c r="AC22" s="538">
        <f>PROFORMA!AC30</f>
        <v>0</v>
      </c>
      <c r="AD22" s="538">
        <f>PROFORMA!AD30</f>
        <v>0</v>
      </c>
      <c r="AE22" s="538">
        <f>PROFORMA!AE30</f>
        <v>0</v>
      </c>
      <c r="AF22" s="538">
        <f>PROFORMA!AG30</f>
        <v>0</v>
      </c>
      <c r="AG22" s="538">
        <f>PROFORMA!AH30</f>
        <v>0</v>
      </c>
      <c r="AH22" s="538">
        <f>PROFORMA!AI30</f>
        <v>0</v>
      </c>
      <c r="AI22" s="538">
        <f>PROFORMA!AJ30</f>
        <v>0</v>
      </c>
      <c r="AJ22" s="538">
        <f>PROFORMA!AK30</f>
        <v>0</v>
      </c>
      <c r="AK22" s="538">
        <f>PROFORMA!AL30</f>
        <v>0</v>
      </c>
      <c r="AL22" s="538">
        <f>PROFORMA!AM30</f>
        <v>0</v>
      </c>
      <c r="AM22" s="538">
        <f>PROFORMA!AN30</f>
        <v>0</v>
      </c>
      <c r="AN22" s="538">
        <f>PROFORMA!AO30</f>
        <v>0</v>
      </c>
      <c r="AO22" s="538">
        <f>PROFORMA!AP30</f>
        <v>0</v>
      </c>
      <c r="AP22" s="538">
        <f>PROFORMA!AQ30</f>
        <v>0</v>
      </c>
      <c r="AQ22" s="538">
        <f>PROFORMA!AR30</f>
        <v>0</v>
      </c>
      <c r="AR22" s="538">
        <f>PROFORMA!AS30</f>
        <v>0</v>
      </c>
      <c r="AS22" s="538">
        <f>PROFORMA!AT30</f>
        <v>0</v>
      </c>
      <c r="AT22" s="582">
        <f>SUM(Y22:AS22)</f>
        <v>0</v>
      </c>
      <c r="AU22" s="532">
        <f>X22+AT22</f>
        <v>0</v>
      </c>
      <c r="AV22" s="532">
        <f>E22+AU22</f>
        <v>89000</v>
      </c>
      <c r="AW22" s="532"/>
      <c r="AX22" s="532">
        <f t="shared" si="1"/>
        <v>89000</v>
      </c>
    </row>
    <row r="23" spans="1:50">
      <c r="A23" s="529">
        <v>21</v>
      </c>
      <c r="B23" s="796"/>
      <c r="C23" s="521" t="s">
        <v>285</v>
      </c>
      <c r="D23" s="543">
        <v>813</v>
      </c>
      <c r="E23" s="574">
        <f>PROFORMA!F31</f>
        <v>781000</v>
      </c>
      <c r="F23" s="574">
        <f>PROFORMA!G31</f>
        <v>0</v>
      </c>
      <c r="G23" s="574">
        <f>PROFORMA!H31</f>
        <v>0</v>
      </c>
      <c r="H23" s="574">
        <f>PROFORMA!I31</f>
        <v>0</v>
      </c>
      <c r="I23" s="574">
        <f>PROFORMA!J31</f>
        <v>0</v>
      </c>
      <c r="J23" s="574">
        <f>PROFORMA!K31</f>
        <v>0</v>
      </c>
      <c r="K23" s="574">
        <f>PROFORMA!L31</f>
        <v>0</v>
      </c>
      <c r="L23" s="574">
        <f>PROFORMA!M31</f>
        <v>0</v>
      </c>
      <c r="M23" s="574">
        <f>PROFORMA!N31</f>
        <v>0</v>
      </c>
      <c r="N23" s="574">
        <f>PROFORMA!O31</f>
        <v>0</v>
      </c>
      <c r="O23" s="574">
        <f>PROFORMA!P31</f>
        <v>0</v>
      </c>
      <c r="P23" s="574">
        <f>PROFORMA!Q31</f>
        <v>0</v>
      </c>
      <c r="Q23" s="574">
        <f>PROFORMA!R31</f>
        <v>0</v>
      </c>
      <c r="R23" s="574">
        <f>PROFORMA!S31</f>
        <v>0</v>
      </c>
      <c r="S23" s="574">
        <f>PROFORMA!T31</f>
        <v>0</v>
      </c>
      <c r="T23" s="574">
        <f>PROFORMA!U31</f>
        <v>0</v>
      </c>
      <c r="U23" s="574">
        <f>PROFORMA!V31</f>
        <v>0</v>
      </c>
      <c r="V23" s="574">
        <f>PROFORMA!W31</f>
        <v>0</v>
      </c>
      <c r="W23" s="574">
        <f>PROFORMA!X31</f>
        <v>0</v>
      </c>
      <c r="X23" s="580">
        <f t="shared" si="0"/>
        <v>0</v>
      </c>
      <c r="Y23" s="574">
        <f>PROFORMA!Y31</f>
        <v>0</v>
      </c>
      <c r="Z23" s="574">
        <f>PROFORMA!Z31</f>
        <v>0</v>
      </c>
      <c r="AA23" s="574">
        <f>PROFORMA!AA31</f>
        <v>0</v>
      </c>
      <c r="AB23" s="574">
        <f>PROFORMA!AB31</f>
        <v>0</v>
      </c>
      <c r="AC23" s="574">
        <f>PROFORMA!AC31</f>
        <v>69000</v>
      </c>
      <c r="AD23" s="574">
        <f>PROFORMA!AD31</f>
        <v>0</v>
      </c>
      <c r="AE23" s="574">
        <f>PROFORMA!AE31</f>
        <v>2000</v>
      </c>
      <c r="AF23" s="574">
        <f>PROFORMA!AG31</f>
        <v>0</v>
      </c>
      <c r="AG23" s="574">
        <f>PROFORMA!AH31</f>
        <v>0</v>
      </c>
      <c r="AH23" s="574">
        <f>PROFORMA!AI31</f>
        <v>0</v>
      </c>
      <c r="AI23" s="574">
        <f>PROFORMA!AJ31</f>
        <v>0</v>
      </c>
      <c r="AJ23" s="574">
        <f>PROFORMA!AK31</f>
        <v>0</v>
      </c>
      <c r="AK23" s="574">
        <f>PROFORMA!AL31</f>
        <v>13000</v>
      </c>
      <c r="AL23" s="574">
        <f>PROFORMA!AM31</f>
        <v>0</v>
      </c>
      <c r="AM23" s="574">
        <f>PROFORMA!AN31</f>
        <v>0</v>
      </c>
      <c r="AN23" s="574">
        <f>PROFORMA!AO31</f>
        <v>0</v>
      </c>
      <c r="AO23" s="574">
        <f>PROFORMA!AP31</f>
        <v>0</v>
      </c>
      <c r="AP23" s="574">
        <f>PROFORMA!AQ31</f>
        <v>0</v>
      </c>
      <c r="AQ23" s="574">
        <f>PROFORMA!AR31</f>
        <v>0</v>
      </c>
      <c r="AR23" s="574">
        <f>PROFORMA!AS31</f>
        <v>0</v>
      </c>
      <c r="AS23" s="574">
        <f>PROFORMA!AT31</f>
        <v>0</v>
      </c>
      <c r="AT23" s="583">
        <f>SUM(Y23:AS23)</f>
        <v>84000</v>
      </c>
      <c r="AU23" s="581">
        <f>X23+AT23</f>
        <v>84000</v>
      </c>
      <c r="AV23" s="581">
        <f>E23+AU23</f>
        <v>865000</v>
      </c>
      <c r="AW23" s="581"/>
      <c r="AX23" s="581">
        <f t="shared" si="1"/>
        <v>865000</v>
      </c>
    </row>
    <row r="24" spans="1:50">
      <c r="A24" s="529">
        <v>22</v>
      </c>
      <c r="B24" s="796"/>
      <c r="C24" s="518" t="s">
        <v>1082</v>
      </c>
      <c r="D24" s="544"/>
      <c r="E24" s="576">
        <f>SUM(E21:E23)</f>
        <v>526000</v>
      </c>
      <c r="F24" s="576">
        <f t="shared" ref="F24" si="29">SUM(F21:F23)</f>
        <v>0</v>
      </c>
      <c r="G24" s="576">
        <f t="shared" ref="G24:W24" si="30">SUM(G21:G23)</f>
        <v>0</v>
      </c>
      <c r="H24" s="576">
        <f t="shared" si="30"/>
        <v>0</v>
      </c>
      <c r="I24" s="576">
        <f t="shared" si="30"/>
        <v>0</v>
      </c>
      <c r="J24" s="576">
        <f t="shared" si="30"/>
        <v>0</v>
      </c>
      <c r="K24" s="576">
        <f t="shared" si="30"/>
        <v>0</v>
      </c>
      <c r="L24" s="576">
        <f t="shared" si="30"/>
        <v>0</v>
      </c>
      <c r="M24" s="576">
        <f t="shared" si="30"/>
        <v>0</v>
      </c>
      <c r="N24" s="576">
        <f t="shared" si="30"/>
        <v>0</v>
      </c>
      <c r="O24" s="576">
        <f t="shared" si="30"/>
        <v>0</v>
      </c>
      <c r="P24" s="576">
        <f t="shared" si="30"/>
        <v>0</v>
      </c>
      <c r="Q24" s="576">
        <f t="shared" si="30"/>
        <v>0</v>
      </c>
      <c r="R24" s="576">
        <f t="shared" si="30"/>
        <v>0</v>
      </c>
      <c r="S24" s="576">
        <f t="shared" si="30"/>
        <v>0</v>
      </c>
      <c r="T24" s="576">
        <f t="shared" si="30"/>
        <v>0</v>
      </c>
      <c r="U24" s="576">
        <f t="shared" si="30"/>
        <v>0</v>
      </c>
      <c r="V24" s="576">
        <f t="shared" si="30"/>
        <v>0</v>
      </c>
      <c r="W24" s="576">
        <f t="shared" si="30"/>
        <v>0</v>
      </c>
      <c r="X24" s="580">
        <f t="shared" si="0"/>
        <v>0</v>
      </c>
      <c r="Y24" s="576">
        <f t="shared" ref="Y24:AX24" si="31">SUM(Y21:Y23)</f>
        <v>0</v>
      </c>
      <c r="Z24" s="576">
        <f t="shared" ref="Z24:AF24" si="32">SUM(Z21:Z23)</f>
        <v>0</v>
      </c>
      <c r="AA24" s="576">
        <f t="shared" si="32"/>
        <v>0</v>
      </c>
      <c r="AB24" s="576">
        <f t="shared" si="32"/>
        <v>0</v>
      </c>
      <c r="AC24" s="576">
        <f t="shared" si="32"/>
        <v>69000</v>
      </c>
      <c r="AD24" s="576">
        <f t="shared" si="32"/>
        <v>0</v>
      </c>
      <c r="AE24" s="576">
        <f t="shared" si="32"/>
        <v>2000</v>
      </c>
      <c r="AF24" s="576">
        <f t="shared" si="32"/>
        <v>0</v>
      </c>
      <c r="AG24" s="576">
        <f t="shared" ref="AG24:AQ24" si="33">SUM(AG21:AG23)</f>
        <v>0</v>
      </c>
      <c r="AH24" s="576">
        <f t="shared" si="33"/>
        <v>0</v>
      </c>
      <c r="AI24" s="576">
        <f t="shared" si="33"/>
        <v>0</v>
      </c>
      <c r="AJ24" s="576">
        <f t="shared" si="33"/>
        <v>0</v>
      </c>
      <c r="AK24" s="576">
        <f t="shared" si="33"/>
        <v>13000</v>
      </c>
      <c r="AL24" s="576">
        <f t="shared" si="33"/>
        <v>0</v>
      </c>
      <c r="AM24" s="576">
        <f t="shared" si="33"/>
        <v>0</v>
      </c>
      <c r="AN24" s="576">
        <f t="shared" si="33"/>
        <v>0</v>
      </c>
      <c r="AO24" s="576">
        <f t="shared" si="33"/>
        <v>0</v>
      </c>
      <c r="AP24" s="576">
        <f t="shared" si="33"/>
        <v>0</v>
      </c>
      <c r="AQ24" s="576">
        <f t="shared" si="33"/>
        <v>0</v>
      </c>
      <c r="AR24" s="576">
        <f t="shared" ref="AR24:AS24" si="34">SUM(AR21:AR23)</f>
        <v>0</v>
      </c>
      <c r="AS24" s="576">
        <f t="shared" si="34"/>
        <v>0</v>
      </c>
      <c r="AT24" s="576">
        <f t="shared" si="31"/>
        <v>84000</v>
      </c>
      <c r="AU24" s="576">
        <f t="shared" si="31"/>
        <v>84000</v>
      </c>
      <c r="AV24" s="576">
        <f t="shared" si="31"/>
        <v>610000</v>
      </c>
      <c r="AW24" s="576">
        <f t="shared" si="31"/>
        <v>0</v>
      </c>
      <c r="AX24" s="576">
        <f t="shared" si="31"/>
        <v>610000</v>
      </c>
    </row>
    <row r="25" spans="1:50">
      <c r="A25" s="529">
        <v>23</v>
      </c>
      <c r="B25" s="500"/>
      <c r="C25" s="525" t="s">
        <v>286</v>
      </c>
      <c r="D25" s="553"/>
      <c r="E25" s="539">
        <f>E20+E24</f>
        <v>149480000</v>
      </c>
      <c r="F25" s="539">
        <f t="shared" ref="F25" si="35">F20+F24</f>
        <v>0</v>
      </c>
      <c r="G25" s="539">
        <f t="shared" ref="G25:W25" si="36">G20+G24</f>
        <v>0</v>
      </c>
      <c r="H25" s="539">
        <f t="shared" si="36"/>
        <v>0</v>
      </c>
      <c r="I25" s="539">
        <f t="shared" si="36"/>
        <v>0</v>
      </c>
      <c r="J25" s="539">
        <f t="shared" si="36"/>
        <v>0</v>
      </c>
      <c r="K25" s="539">
        <f t="shared" si="36"/>
        <v>0</v>
      </c>
      <c r="L25" s="539">
        <f t="shared" si="36"/>
        <v>0</v>
      </c>
      <c r="M25" s="539">
        <f t="shared" si="36"/>
        <v>0</v>
      </c>
      <c r="N25" s="539">
        <f t="shared" si="36"/>
        <v>0</v>
      </c>
      <c r="O25" s="539">
        <f t="shared" si="36"/>
        <v>0</v>
      </c>
      <c r="P25" s="539">
        <f t="shared" si="36"/>
        <v>0</v>
      </c>
      <c r="Q25" s="539">
        <f t="shared" si="36"/>
        <v>0</v>
      </c>
      <c r="R25" s="539">
        <f t="shared" si="36"/>
        <v>-57000</v>
      </c>
      <c r="S25" s="539">
        <f t="shared" si="36"/>
        <v>-58183000</v>
      </c>
      <c r="T25" s="539">
        <f t="shared" si="36"/>
        <v>0</v>
      </c>
      <c r="U25" s="539">
        <f t="shared" si="36"/>
        <v>0</v>
      </c>
      <c r="V25" s="539">
        <f t="shared" si="36"/>
        <v>0</v>
      </c>
      <c r="W25" s="539">
        <f t="shared" si="36"/>
        <v>0</v>
      </c>
      <c r="X25" s="579">
        <f t="shared" si="0"/>
        <v>-58240000</v>
      </c>
      <c r="Y25" s="539">
        <f t="shared" ref="Y25:AX25" si="37">Y20+Y24</f>
        <v>-90370000</v>
      </c>
      <c r="Z25" s="539">
        <f t="shared" ref="Z25:AF25" si="38">Z20+Z24</f>
        <v>0</v>
      </c>
      <c r="AA25" s="539">
        <f t="shared" si="38"/>
        <v>0</v>
      </c>
      <c r="AB25" s="539">
        <f t="shared" si="38"/>
        <v>0</v>
      </c>
      <c r="AC25" s="539">
        <f t="shared" si="38"/>
        <v>69000</v>
      </c>
      <c r="AD25" s="539">
        <f t="shared" si="38"/>
        <v>0</v>
      </c>
      <c r="AE25" s="539">
        <f t="shared" si="38"/>
        <v>2000</v>
      </c>
      <c r="AF25" s="539">
        <f t="shared" si="38"/>
        <v>0</v>
      </c>
      <c r="AG25" s="539">
        <f t="shared" ref="AG25:AQ25" si="39">AG20+AG24</f>
        <v>0</v>
      </c>
      <c r="AH25" s="539">
        <f t="shared" si="39"/>
        <v>0</v>
      </c>
      <c r="AI25" s="539">
        <f t="shared" si="39"/>
        <v>0</v>
      </c>
      <c r="AJ25" s="539">
        <f t="shared" si="39"/>
        <v>0</v>
      </c>
      <c r="AK25" s="539">
        <f t="shared" si="39"/>
        <v>13000</v>
      </c>
      <c r="AL25" s="539">
        <f t="shared" si="39"/>
        <v>0</v>
      </c>
      <c r="AM25" s="539">
        <f t="shared" si="39"/>
        <v>0</v>
      </c>
      <c r="AN25" s="539">
        <f t="shared" si="39"/>
        <v>0</v>
      </c>
      <c r="AO25" s="539">
        <f t="shared" si="39"/>
        <v>0</v>
      </c>
      <c r="AP25" s="539">
        <f t="shared" si="39"/>
        <v>0</v>
      </c>
      <c r="AQ25" s="539">
        <f t="shared" si="39"/>
        <v>0</v>
      </c>
      <c r="AR25" s="539">
        <f t="shared" ref="AR25:AS25" si="40">AR20+AR24</f>
        <v>0</v>
      </c>
      <c r="AS25" s="539">
        <f t="shared" si="40"/>
        <v>0</v>
      </c>
      <c r="AT25" s="539">
        <f t="shared" si="37"/>
        <v>-90286000</v>
      </c>
      <c r="AU25" s="539">
        <f t="shared" si="37"/>
        <v>-148526000</v>
      </c>
      <c r="AV25" s="539">
        <f t="shared" si="37"/>
        <v>954000</v>
      </c>
      <c r="AW25" s="539">
        <f t="shared" si="37"/>
        <v>0</v>
      </c>
      <c r="AX25" s="539">
        <f t="shared" si="37"/>
        <v>954000</v>
      </c>
    </row>
    <row r="26" spans="1:50">
      <c r="A26" s="529">
        <v>24</v>
      </c>
      <c r="B26" s="796" t="s">
        <v>1157</v>
      </c>
      <c r="C26" s="521" t="s">
        <v>1</v>
      </c>
      <c r="D26" s="545">
        <v>814</v>
      </c>
      <c r="E26" s="538">
        <f>PROFORMA!F35</f>
        <v>0</v>
      </c>
      <c r="F26" s="538">
        <f>PROFORMA!G35</f>
        <v>0</v>
      </c>
      <c r="G26" s="538">
        <f>PROFORMA!H35</f>
        <v>0</v>
      </c>
      <c r="H26" s="538">
        <f>PROFORMA!I35</f>
        <v>0</v>
      </c>
      <c r="I26" s="538">
        <f>PROFORMA!J35</f>
        <v>0</v>
      </c>
      <c r="J26" s="538">
        <f>PROFORMA!K35</f>
        <v>0</v>
      </c>
      <c r="K26" s="538">
        <f>PROFORMA!L35</f>
        <v>0</v>
      </c>
      <c r="L26" s="538">
        <f>PROFORMA!M35</f>
        <v>0</v>
      </c>
      <c r="M26" s="538">
        <f>PROFORMA!N35</f>
        <v>0</v>
      </c>
      <c r="N26" s="538">
        <f>PROFORMA!O35</f>
        <v>0</v>
      </c>
      <c r="O26" s="538">
        <f>PROFORMA!P35</f>
        <v>0</v>
      </c>
      <c r="P26" s="538">
        <f>PROFORMA!Q35</f>
        <v>0</v>
      </c>
      <c r="Q26" s="538">
        <f>PROFORMA!R35</f>
        <v>0</v>
      </c>
      <c r="R26" s="538">
        <f>PROFORMA!S35</f>
        <v>0</v>
      </c>
      <c r="S26" s="538">
        <f>PROFORMA!T35</f>
        <v>0</v>
      </c>
      <c r="T26" s="538">
        <f>PROFORMA!U35</f>
        <v>0</v>
      </c>
      <c r="U26" s="538">
        <f>PROFORMA!V35</f>
        <v>0</v>
      </c>
      <c r="V26" s="538">
        <f>PROFORMA!W35</f>
        <v>0</v>
      </c>
      <c r="W26" s="538">
        <f>PROFORMA!X35</f>
        <v>0</v>
      </c>
      <c r="X26" s="579">
        <f t="shared" si="0"/>
        <v>0</v>
      </c>
      <c r="Y26" s="538">
        <f>PROFORMA!Y35</f>
        <v>0</v>
      </c>
      <c r="Z26" s="538">
        <f>PROFORMA!Z35</f>
        <v>0</v>
      </c>
      <c r="AA26" s="538">
        <f>PROFORMA!AA35</f>
        <v>0</v>
      </c>
      <c r="AB26" s="538">
        <f>PROFORMA!AB35</f>
        <v>0</v>
      </c>
      <c r="AC26" s="538">
        <f>PROFORMA!AC35</f>
        <v>0</v>
      </c>
      <c r="AD26" s="538">
        <f>PROFORMA!AD35</f>
        <v>0</v>
      </c>
      <c r="AE26" s="538">
        <f>PROFORMA!AE35</f>
        <v>0</v>
      </c>
      <c r="AF26" s="538">
        <f>PROFORMA!AG35</f>
        <v>0</v>
      </c>
      <c r="AG26" s="538">
        <f>PROFORMA!AH35</f>
        <v>0</v>
      </c>
      <c r="AH26" s="538">
        <f>PROFORMA!AI35</f>
        <v>0</v>
      </c>
      <c r="AI26" s="538">
        <f>PROFORMA!AJ35</f>
        <v>0</v>
      </c>
      <c r="AJ26" s="538">
        <f>PROFORMA!AK35</f>
        <v>0</v>
      </c>
      <c r="AK26" s="538">
        <f>PROFORMA!AL35</f>
        <v>0</v>
      </c>
      <c r="AL26" s="538">
        <f>PROFORMA!AM35</f>
        <v>0</v>
      </c>
      <c r="AM26" s="538">
        <f>PROFORMA!AN35</f>
        <v>0</v>
      </c>
      <c r="AN26" s="538">
        <f>PROFORMA!AO35</f>
        <v>0</v>
      </c>
      <c r="AO26" s="538">
        <f>PROFORMA!AP35</f>
        <v>0</v>
      </c>
      <c r="AP26" s="538">
        <f>PROFORMA!AQ35</f>
        <v>0</v>
      </c>
      <c r="AQ26" s="538">
        <f>PROFORMA!AR35</f>
        <v>0</v>
      </c>
      <c r="AR26" s="538">
        <f>PROFORMA!AS35</f>
        <v>0</v>
      </c>
      <c r="AS26" s="538">
        <f>PROFORMA!AT35</f>
        <v>0</v>
      </c>
      <c r="AT26" s="582">
        <f t="shared" ref="AT26:AT36" si="41">SUM(Y26:AS26)</f>
        <v>0</v>
      </c>
      <c r="AU26" s="532">
        <f t="shared" ref="AU26:AU36" si="42">X26+AT26</f>
        <v>0</v>
      </c>
      <c r="AV26" s="532">
        <f t="shared" ref="AV26:AV36" si="43">E26+AU26</f>
        <v>0</v>
      </c>
      <c r="AW26" s="532"/>
      <c r="AX26" s="532">
        <f t="shared" si="1"/>
        <v>0</v>
      </c>
    </row>
    <row r="27" spans="1:50">
      <c r="A27" s="529">
        <v>25</v>
      </c>
      <c r="B27" s="796"/>
      <c r="C27" s="521" t="s">
        <v>289</v>
      </c>
      <c r="D27" s="545">
        <v>815</v>
      </c>
      <c r="E27" s="538">
        <f>PROFORMA!F36</f>
        <v>0</v>
      </c>
      <c r="F27" s="538">
        <f>PROFORMA!G36</f>
        <v>0</v>
      </c>
      <c r="G27" s="538">
        <f>PROFORMA!H36</f>
        <v>0</v>
      </c>
      <c r="H27" s="538">
        <f>PROFORMA!I36</f>
        <v>0</v>
      </c>
      <c r="I27" s="538">
        <f>PROFORMA!J36</f>
        <v>0</v>
      </c>
      <c r="J27" s="538">
        <f>PROFORMA!K36</f>
        <v>0</v>
      </c>
      <c r="K27" s="538">
        <f>PROFORMA!L36</f>
        <v>0</v>
      </c>
      <c r="L27" s="538">
        <f>PROFORMA!M36</f>
        <v>0</v>
      </c>
      <c r="M27" s="538">
        <f>PROFORMA!N36</f>
        <v>0</v>
      </c>
      <c r="N27" s="538">
        <f>PROFORMA!O36</f>
        <v>0</v>
      </c>
      <c r="O27" s="538">
        <f>PROFORMA!P36</f>
        <v>0</v>
      </c>
      <c r="P27" s="538">
        <f>PROFORMA!Q36</f>
        <v>0</v>
      </c>
      <c r="Q27" s="538">
        <f>PROFORMA!R36</f>
        <v>0</v>
      </c>
      <c r="R27" s="538">
        <f>PROFORMA!S36</f>
        <v>0</v>
      </c>
      <c r="S27" s="538">
        <f>PROFORMA!T36</f>
        <v>0</v>
      </c>
      <c r="T27" s="538">
        <f>PROFORMA!U36</f>
        <v>0</v>
      </c>
      <c r="U27" s="538">
        <f>PROFORMA!V36</f>
        <v>0</v>
      </c>
      <c r="V27" s="538">
        <f>PROFORMA!W36</f>
        <v>0</v>
      </c>
      <c r="W27" s="538">
        <f>PROFORMA!X36</f>
        <v>0</v>
      </c>
      <c r="X27" s="579">
        <f t="shared" si="0"/>
        <v>0</v>
      </c>
      <c r="Y27" s="538">
        <f>PROFORMA!Y36</f>
        <v>0</v>
      </c>
      <c r="Z27" s="538">
        <f>PROFORMA!Z36</f>
        <v>0</v>
      </c>
      <c r="AA27" s="538">
        <f>PROFORMA!AA36</f>
        <v>0</v>
      </c>
      <c r="AB27" s="538">
        <f>PROFORMA!AB36</f>
        <v>0</v>
      </c>
      <c r="AC27" s="538">
        <f>PROFORMA!AC36</f>
        <v>0</v>
      </c>
      <c r="AD27" s="538">
        <f>PROFORMA!AD36</f>
        <v>0</v>
      </c>
      <c r="AE27" s="538">
        <f>PROFORMA!AE36</f>
        <v>0</v>
      </c>
      <c r="AF27" s="538">
        <f>PROFORMA!AG36</f>
        <v>0</v>
      </c>
      <c r="AG27" s="538">
        <f>PROFORMA!AH36</f>
        <v>0</v>
      </c>
      <c r="AH27" s="538">
        <f>PROFORMA!AI36</f>
        <v>0</v>
      </c>
      <c r="AI27" s="538">
        <f>PROFORMA!AJ36</f>
        <v>0</v>
      </c>
      <c r="AJ27" s="538">
        <f>PROFORMA!AK36</f>
        <v>0</v>
      </c>
      <c r="AK27" s="538">
        <f>PROFORMA!AL36</f>
        <v>0</v>
      </c>
      <c r="AL27" s="538">
        <f>PROFORMA!AM36</f>
        <v>0</v>
      </c>
      <c r="AM27" s="538">
        <f>PROFORMA!AN36</f>
        <v>0</v>
      </c>
      <c r="AN27" s="538">
        <f>PROFORMA!AO36</f>
        <v>0</v>
      </c>
      <c r="AO27" s="538">
        <f>PROFORMA!AP36</f>
        <v>0</v>
      </c>
      <c r="AP27" s="538">
        <f>PROFORMA!AQ36</f>
        <v>0</v>
      </c>
      <c r="AQ27" s="538">
        <f>PROFORMA!AR36</f>
        <v>0</v>
      </c>
      <c r="AR27" s="538">
        <f>PROFORMA!AS36</f>
        <v>0</v>
      </c>
      <c r="AS27" s="538">
        <f>PROFORMA!AT36</f>
        <v>0</v>
      </c>
      <c r="AT27" s="582">
        <f t="shared" si="41"/>
        <v>0</v>
      </c>
      <c r="AU27" s="532">
        <f t="shared" si="42"/>
        <v>0</v>
      </c>
      <c r="AV27" s="532">
        <f t="shared" si="43"/>
        <v>0</v>
      </c>
      <c r="AW27" s="532"/>
      <c r="AX27" s="532">
        <f t="shared" si="1"/>
        <v>0</v>
      </c>
    </row>
    <row r="28" spans="1:50">
      <c r="A28" s="529">
        <v>26</v>
      </c>
      <c r="B28" s="796"/>
      <c r="C28" s="521" t="s">
        <v>290</v>
      </c>
      <c r="D28" s="545">
        <v>816</v>
      </c>
      <c r="E28" s="538">
        <f>PROFORMA!F37</f>
        <v>0</v>
      </c>
      <c r="F28" s="538">
        <f>PROFORMA!G37</f>
        <v>0</v>
      </c>
      <c r="G28" s="538">
        <f>PROFORMA!H37</f>
        <v>0</v>
      </c>
      <c r="H28" s="538">
        <f>PROFORMA!I37</f>
        <v>0</v>
      </c>
      <c r="I28" s="538">
        <f>PROFORMA!J37</f>
        <v>0</v>
      </c>
      <c r="J28" s="538">
        <f>PROFORMA!K37</f>
        <v>0</v>
      </c>
      <c r="K28" s="538">
        <f>PROFORMA!L37</f>
        <v>0</v>
      </c>
      <c r="L28" s="538">
        <f>PROFORMA!M37</f>
        <v>0</v>
      </c>
      <c r="M28" s="538">
        <f>PROFORMA!N37</f>
        <v>0</v>
      </c>
      <c r="N28" s="538">
        <f>PROFORMA!O37</f>
        <v>0</v>
      </c>
      <c r="O28" s="538">
        <f>PROFORMA!P37</f>
        <v>0</v>
      </c>
      <c r="P28" s="538">
        <f>PROFORMA!Q37</f>
        <v>0</v>
      </c>
      <c r="Q28" s="538">
        <f>PROFORMA!R37</f>
        <v>0</v>
      </c>
      <c r="R28" s="538">
        <f>PROFORMA!S37</f>
        <v>0</v>
      </c>
      <c r="S28" s="538">
        <f>PROFORMA!T37</f>
        <v>0</v>
      </c>
      <c r="T28" s="538">
        <f>PROFORMA!U37</f>
        <v>0</v>
      </c>
      <c r="U28" s="538">
        <f>PROFORMA!V37</f>
        <v>0</v>
      </c>
      <c r="V28" s="538">
        <f>PROFORMA!W37</f>
        <v>0</v>
      </c>
      <c r="W28" s="538">
        <f>PROFORMA!X37</f>
        <v>0</v>
      </c>
      <c r="X28" s="579">
        <f t="shared" si="0"/>
        <v>0</v>
      </c>
      <c r="Y28" s="538">
        <f>PROFORMA!Y37</f>
        <v>0</v>
      </c>
      <c r="Z28" s="538">
        <f>PROFORMA!Z37</f>
        <v>0</v>
      </c>
      <c r="AA28" s="538">
        <f>PROFORMA!AA37</f>
        <v>0</v>
      </c>
      <c r="AB28" s="538">
        <f>PROFORMA!AB37</f>
        <v>0</v>
      </c>
      <c r="AC28" s="538">
        <f>PROFORMA!AC37</f>
        <v>0</v>
      </c>
      <c r="AD28" s="538">
        <f>PROFORMA!AD37</f>
        <v>0</v>
      </c>
      <c r="AE28" s="538">
        <f>PROFORMA!AE37</f>
        <v>0</v>
      </c>
      <c r="AF28" s="538">
        <f>PROFORMA!AG37</f>
        <v>0</v>
      </c>
      <c r="AG28" s="538">
        <f>PROFORMA!AH37</f>
        <v>0</v>
      </c>
      <c r="AH28" s="538">
        <f>PROFORMA!AI37</f>
        <v>0</v>
      </c>
      <c r="AI28" s="538">
        <f>PROFORMA!AJ37</f>
        <v>0</v>
      </c>
      <c r="AJ28" s="538">
        <f>PROFORMA!AK37</f>
        <v>0</v>
      </c>
      <c r="AK28" s="538">
        <f>PROFORMA!AL37</f>
        <v>0</v>
      </c>
      <c r="AL28" s="538">
        <f>PROFORMA!AM37</f>
        <v>0</v>
      </c>
      <c r="AM28" s="538">
        <f>PROFORMA!AN37</f>
        <v>0</v>
      </c>
      <c r="AN28" s="538">
        <f>PROFORMA!AO37</f>
        <v>0</v>
      </c>
      <c r="AO28" s="538">
        <f>PROFORMA!AP37</f>
        <v>0</v>
      </c>
      <c r="AP28" s="538">
        <f>PROFORMA!AQ37</f>
        <v>0</v>
      </c>
      <c r="AQ28" s="538">
        <f>PROFORMA!AR37</f>
        <v>0</v>
      </c>
      <c r="AR28" s="538">
        <f>PROFORMA!AS37</f>
        <v>0</v>
      </c>
      <c r="AS28" s="538">
        <f>PROFORMA!AT37</f>
        <v>0</v>
      </c>
      <c r="AT28" s="582">
        <f t="shared" si="41"/>
        <v>0</v>
      </c>
      <c r="AU28" s="532">
        <f t="shared" si="42"/>
        <v>0</v>
      </c>
      <c r="AV28" s="532">
        <f t="shared" si="43"/>
        <v>0</v>
      </c>
      <c r="AW28" s="532"/>
      <c r="AX28" s="532">
        <f t="shared" si="1"/>
        <v>0</v>
      </c>
    </row>
    <row r="29" spans="1:50">
      <c r="A29" s="529">
        <v>27</v>
      </c>
      <c r="B29" s="796"/>
      <c r="C29" s="521" t="s">
        <v>291</v>
      </c>
      <c r="D29" s="545">
        <v>817</v>
      </c>
      <c r="E29" s="538">
        <f>PROFORMA!F38</f>
        <v>0</v>
      </c>
      <c r="F29" s="538">
        <f>PROFORMA!G38</f>
        <v>0</v>
      </c>
      <c r="G29" s="538">
        <f>PROFORMA!H38</f>
        <v>0</v>
      </c>
      <c r="H29" s="538">
        <f>PROFORMA!I38</f>
        <v>0</v>
      </c>
      <c r="I29" s="538">
        <f>PROFORMA!J38</f>
        <v>0</v>
      </c>
      <c r="J29" s="538">
        <f>PROFORMA!K38</f>
        <v>0</v>
      </c>
      <c r="K29" s="538">
        <f>PROFORMA!L38</f>
        <v>0</v>
      </c>
      <c r="L29" s="538">
        <f>PROFORMA!M38</f>
        <v>0</v>
      </c>
      <c r="M29" s="538">
        <f>PROFORMA!N38</f>
        <v>0</v>
      </c>
      <c r="N29" s="538">
        <f>PROFORMA!O38</f>
        <v>0</v>
      </c>
      <c r="O29" s="538">
        <f>PROFORMA!P38</f>
        <v>0</v>
      </c>
      <c r="P29" s="538">
        <f>PROFORMA!Q38</f>
        <v>0</v>
      </c>
      <c r="Q29" s="538">
        <f>PROFORMA!R38</f>
        <v>0</v>
      </c>
      <c r="R29" s="538">
        <f>PROFORMA!S38</f>
        <v>0</v>
      </c>
      <c r="S29" s="538">
        <f>PROFORMA!T38</f>
        <v>0</v>
      </c>
      <c r="T29" s="538">
        <f>PROFORMA!U38</f>
        <v>0</v>
      </c>
      <c r="U29" s="538">
        <f>PROFORMA!V38</f>
        <v>0</v>
      </c>
      <c r="V29" s="538">
        <f>PROFORMA!W38</f>
        <v>0</v>
      </c>
      <c r="W29" s="538">
        <f>PROFORMA!X38</f>
        <v>0</v>
      </c>
      <c r="X29" s="579">
        <f t="shared" si="0"/>
        <v>0</v>
      </c>
      <c r="Y29" s="538">
        <f>PROFORMA!Y38</f>
        <v>0</v>
      </c>
      <c r="Z29" s="538">
        <f>PROFORMA!Z38</f>
        <v>0</v>
      </c>
      <c r="AA29" s="538">
        <f>PROFORMA!AA38</f>
        <v>0</v>
      </c>
      <c r="AB29" s="538">
        <f>PROFORMA!AB38</f>
        <v>0</v>
      </c>
      <c r="AC29" s="538">
        <f>PROFORMA!AC38</f>
        <v>0</v>
      </c>
      <c r="AD29" s="538">
        <f>PROFORMA!AD38</f>
        <v>0</v>
      </c>
      <c r="AE29" s="538">
        <f>PROFORMA!AE38</f>
        <v>0</v>
      </c>
      <c r="AF29" s="538">
        <f>PROFORMA!AG38</f>
        <v>0</v>
      </c>
      <c r="AG29" s="538">
        <f>PROFORMA!AH38</f>
        <v>0</v>
      </c>
      <c r="AH29" s="538">
        <f>PROFORMA!AI38</f>
        <v>0</v>
      </c>
      <c r="AI29" s="538">
        <f>PROFORMA!AJ38</f>
        <v>0</v>
      </c>
      <c r="AJ29" s="538">
        <f>PROFORMA!AK38</f>
        <v>0</v>
      </c>
      <c r="AK29" s="538">
        <f>PROFORMA!AL38</f>
        <v>0</v>
      </c>
      <c r="AL29" s="538">
        <f>PROFORMA!AM38</f>
        <v>0</v>
      </c>
      <c r="AM29" s="538">
        <f>PROFORMA!AN38</f>
        <v>0</v>
      </c>
      <c r="AN29" s="538">
        <f>PROFORMA!AO38</f>
        <v>0</v>
      </c>
      <c r="AO29" s="538">
        <f>PROFORMA!AP38</f>
        <v>0</v>
      </c>
      <c r="AP29" s="538">
        <f>PROFORMA!AQ38</f>
        <v>0</v>
      </c>
      <c r="AQ29" s="538">
        <f>PROFORMA!AR38</f>
        <v>0</v>
      </c>
      <c r="AR29" s="538">
        <f>PROFORMA!AS38</f>
        <v>0</v>
      </c>
      <c r="AS29" s="538">
        <f>PROFORMA!AT38</f>
        <v>0</v>
      </c>
      <c r="AT29" s="582">
        <f t="shared" si="41"/>
        <v>0</v>
      </c>
      <c r="AU29" s="532">
        <f t="shared" si="42"/>
        <v>0</v>
      </c>
      <c r="AV29" s="532">
        <f t="shared" si="43"/>
        <v>0</v>
      </c>
      <c r="AW29" s="532"/>
      <c r="AX29" s="532">
        <f t="shared" si="1"/>
        <v>0</v>
      </c>
    </row>
    <row r="30" spans="1:50">
      <c r="A30" s="529">
        <v>28</v>
      </c>
      <c r="B30" s="796"/>
      <c r="C30" s="521" t="s">
        <v>292</v>
      </c>
      <c r="D30" s="545">
        <v>818</v>
      </c>
      <c r="E30" s="538">
        <f>PROFORMA!F39</f>
        <v>0</v>
      </c>
      <c r="F30" s="538">
        <f>PROFORMA!G39</f>
        <v>0</v>
      </c>
      <c r="G30" s="538">
        <f>PROFORMA!H39</f>
        <v>0</v>
      </c>
      <c r="H30" s="538">
        <f>PROFORMA!I39</f>
        <v>0</v>
      </c>
      <c r="I30" s="538">
        <f>PROFORMA!J39</f>
        <v>0</v>
      </c>
      <c r="J30" s="538">
        <f>PROFORMA!K39</f>
        <v>0</v>
      </c>
      <c r="K30" s="538">
        <f>PROFORMA!L39</f>
        <v>0</v>
      </c>
      <c r="L30" s="538">
        <f>PROFORMA!M39</f>
        <v>0</v>
      </c>
      <c r="M30" s="538">
        <f>PROFORMA!N39</f>
        <v>0</v>
      </c>
      <c r="N30" s="538">
        <f>PROFORMA!O39</f>
        <v>0</v>
      </c>
      <c r="O30" s="538">
        <f>PROFORMA!P39</f>
        <v>0</v>
      </c>
      <c r="P30" s="538">
        <f>PROFORMA!Q39</f>
        <v>0</v>
      </c>
      <c r="Q30" s="538">
        <f>PROFORMA!R39</f>
        <v>0</v>
      </c>
      <c r="R30" s="538">
        <f>PROFORMA!S39</f>
        <v>0</v>
      </c>
      <c r="S30" s="538">
        <f>PROFORMA!T39</f>
        <v>0</v>
      </c>
      <c r="T30" s="538">
        <f>PROFORMA!U39</f>
        <v>0</v>
      </c>
      <c r="U30" s="538">
        <f>PROFORMA!V39</f>
        <v>0</v>
      </c>
      <c r="V30" s="538">
        <f>PROFORMA!W39</f>
        <v>0</v>
      </c>
      <c r="W30" s="538">
        <f>PROFORMA!X39</f>
        <v>0</v>
      </c>
      <c r="X30" s="579">
        <f t="shared" si="0"/>
        <v>0</v>
      </c>
      <c r="Y30" s="538">
        <f>PROFORMA!Y39</f>
        <v>0</v>
      </c>
      <c r="Z30" s="538">
        <f>PROFORMA!Z39</f>
        <v>0</v>
      </c>
      <c r="AA30" s="538">
        <f>PROFORMA!AA39</f>
        <v>0</v>
      </c>
      <c r="AB30" s="538">
        <f>PROFORMA!AB39</f>
        <v>0</v>
      </c>
      <c r="AC30" s="538">
        <f>PROFORMA!AC39</f>
        <v>0</v>
      </c>
      <c r="AD30" s="538">
        <f>PROFORMA!AD39</f>
        <v>0</v>
      </c>
      <c r="AE30" s="538">
        <f>PROFORMA!AE39</f>
        <v>0</v>
      </c>
      <c r="AF30" s="538">
        <f>PROFORMA!AG39</f>
        <v>0</v>
      </c>
      <c r="AG30" s="538">
        <f>PROFORMA!AH39</f>
        <v>0</v>
      </c>
      <c r="AH30" s="538">
        <f>PROFORMA!AI39</f>
        <v>0</v>
      </c>
      <c r="AI30" s="538">
        <f>PROFORMA!AJ39</f>
        <v>0</v>
      </c>
      <c r="AJ30" s="538">
        <f>PROFORMA!AK39</f>
        <v>0</v>
      </c>
      <c r="AK30" s="538">
        <f>PROFORMA!AL39</f>
        <v>0</v>
      </c>
      <c r="AL30" s="538">
        <f>PROFORMA!AM39</f>
        <v>0</v>
      </c>
      <c r="AM30" s="538">
        <f>PROFORMA!AN39</f>
        <v>0</v>
      </c>
      <c r="AN30" s="538">
        <f>PROFORMA!AO39</f>
        <v>0</v>
      </c>
      <c r="AO30" s="538">
        <f>PROFORMA!AP39</f>
        <v>0</v>
      </c>
      <c r="AP30" s="538">
        <f>PROFORMA!AQ39</f>
        <v>0</v>
      </c>
      <c r="AQ30" s="538">
        <f>PROFORMA!AR39</f>
        <v>0</v>
      </c>
      <c r="AR30" s="538">
        <f>PROFORMA!AS39</f>
        <v>0</v>
      </c>
      <c r="AS30" s="538">
        <f>PROFORMA!AT39</f>
        <v>0</v>
      </c>
      <c r="AT30" s="582">
        <f t="shared" si="41"/>
        <v>0</v>
      </c>
      <c r="AU30" s="532">
        <f t="shared" si="42"/>
        <v>0</v>
      </c>
      <c r="AV30" s="532">
        <f t="shared" si="43"/>
        <v>0</v>
      </c>
      <c r="AW30" s="532"/>
      <c r="AX30" s="532">
        <f t="shared" si="1"/>
        <v>0</v>
      </c>
    </row>
    <row r="31" spans="1:50">
      <c r="A31" s="529">
        <v>29</v>
      </c>
      <c r="B31" s="796"/>
      <c r="C31" s="521" t="s">
        <v>293</v>
      </c>
      <c r="D31" s="545">
        <v>819</v>
      </c>
      <c r="E31" s="538">
        <f>PROFORMA!F40</f>
        <v>0</v>
      </c>
      <c r="F31" s="538">
        <f>PROFORMA!G40</f>
        <v>0</v>
      </c>
      <c r="G31" s="538">
        <f>PROFORMA!H40</f>
        <v>0</v>
      </c>
      <c r="H31" s="538">
        <f>PROFORMA!I40</f>
        <v>0</v>
      </c>
      <c r="I31" s="538">
        <f>PROFORMA!J40</f>
        <v>0</v>
      </c>
      <c r="J31" s="538">
        <f>PROFORMA!K40</f>
        <v>0</v>
      </c>
      <c r="K31" s="538">
        <f>PROFORMA!L40</f>
        <v>0</v>
      </c>
      <c r="L31" s="538">
        <f>PROFORMA!M40</f>
        <v>0</v>
      </c>
      <c r="M31" s="538">
        <f>PROFORMA!N40</f>
        <v>0</v>
      </c>
      <c r="N31" s="538">
        <f>PROFORMA!O40</f>
        <v>0</v>
      </c>
      <c r="O31" s="538">
        <f>PROFORMA!P40</f>
        <v>0</v>
      </c>
      <c r="P31" s="538">
        <f>PROFORMA!Q40</f>
        <v>0</v>
      </c>
      <c r="Q31" s="538">
        <f>PROFORMA!R40</f>
        <v>0</v>
      </c>
      <c r="R31" s="538">
        <f>PROFORMA!S40</f>
        <v>0</v>
      </c>
      <c r="S31" s="538">
        <f>PROFORMA!T40</f>
        <v>0</v>
      </c>
      <c r="T31" s="538">
        <f>PROFORMA!U40</f>
        <v>0</v>
      </c>
      <c r="U31" s="538">
        <f>PROFORMA!V40</f>
        <v>0</v>
      </c>
      <c r="V31" s="538">
        <f>PROFORMA!W40</f>
        <v>0</v>
      </c>
      <c r="W31" s="538">
        <f>PROFORMA!X40</f>
        <v>0</v>
      </c>
      <c r="X31" s="579">
        <f t="shared" si="0"/>
        <v>0</v>
      </c>
      <c r="Y31" s="538">
        <f>PROFORMA!Y40</f>
        <v>0</v>
      </c>
      <c r="Z31" s="538">
        <f>PROFORMA!Z40</f>
        <v>0</v>
      </c>
      <c r="AA31" s="538">
        <f>PROFORMA!AA40</f>
        <v>0</v>
      </c>
      <c r="AB31" s="538">
        <f>PROFORMA!AB40</f>
        <v>0</v>
      </c>
      <c r="AC31" s="538">
        <f>PROFORMA!AC40</f>
        <v>0</v>
      </c>
      <c r="AD31" s="538">
        <f>PROFORMA!AD40</f>
        <v>0</v>
      </c>
      <c r="AE31" s="538">
        <f>PROFORMA!AE40</f>
        <v>0</v>
      </c>
      <c r="AF31" s="538">
        <f>PROFORMA!AG40</f>
        <v>0</v>
      </c>
      <c r="AG31" s="538">
        <f>PROFORMA!AH40</f>
        <v>0</v>
      </c>
      <c r="AH31" s="538">
        <f>PROFORMA!AI40</f>
        <v>0</v>
      </c>
      <c r="AI31" s="538">
        <f>PROFORMA!AJ40</f>
        <v>0</v>
      </c>
      <c r="AJ31" s="538">
        <f>PROFORMA!AK40</f>
        <v>0</v>
      </c>
      <c r="AK31" s="538">
        <f>PROFORMA!AL40</f>
        <v>0</v>
      </c>
      <c r="AL31" s="538">
        <f>PROFORMA!AM40</f>
        <v>0</v>
      </c>
      <c r="AM31" s="538">
        <f>PROFORMA!AN40</f>
        <v>0</v>
      </c>
      <c r="AN31" s="538">
        <f>PROFORMA!AO40</f>
        <v>0</v>
      </c>
      <c r="AO31" s="538">
        <f>PROFORMA!AP40</f>
        <v>0</v>
      </c>
      <c r="AP31" s="538">
        <f>PROFORMA!AQ40</f>
        <v>0</v>
      </c>
      <c r="AQ31" s="538">
        <f>PROFORMA!AR40</f>
        <v>0</v>
      </c>
      <c r="AR31" s="538">
        <f>PROFORMA!AS40</f>
        <v>0</v>
      </c>
      <c r="AS31" s="538">
        <f>PROFORMA!AT40</f>
        <v>0</v>
      </c>
      <c r="AT31" s="582">
        <f t="shared" si="41"/>
        <v>0</v>
      </c>
      <c r="AU31" s="532">
        <f t="shared" si="42"/>
        <v>0</v>
      </c>
      <c r="AV31" s="532">
        <f t="shared" si="43"/>
        <v>0</v>
      </c>
      <c r="AW31" s="532"/>
      <c r="AX31" s="532">
        <f t="shared" si="1"/>
        <v>0</v>
      </c>
    </row>
    <row r="32" spans="1:50">
      <c r="A32" s="529">
        <v>30</v>
      </c>
      <c r="B32" s="796"/>
      <c r="C32" s="521" t="s">
        <v>294</v>
      </c>
      <c r="D32" s="545">
        <v>820</v>
      </c>
      <c r="E32" s="538">
        <f>PROFORMA!F41</f>
        <v>0</v>
      </c>
      <c r="F32" s="538">
        <f>PROFORMA!G41</f>
        <v>0</v>
      </c>
      <c r="G32" s="538">
        <f>PROFORMA!H41</f>
        <v>0</v>
      </c>
      <c r="H32" s="538">
        <f>PROFORMA!I41</f>
        <v>0</v>
      </c>
      <c r="I32" s="538">
        <f>PROFORMA!J41</f>
        <v>0</v>
      </c>
      <c r="J32" s="538">
        <f>PROFORMA!K41</f>
        <v>0</v>
      </c>
      <c r="K32" s="538">
        <f>PROFORMA!L41</f>
        <v>0</v>
      </c>
      <c r="L32" s="538">
        <f>PROFORMA!M41</f>
        <v>0</v>
      </c>
      <c r="M32" s="538">
        <f>PROFORMA!N41</f>
        <v>0</v>
      </c>
      <c r="N32" s="538">
        <f>PROFORMA!O41</f>
        <v>0</v>
      </c>
      <c r="O32" s="538">
        <f>PROFORMA!P41</f>
        <v>0</v>
      </c>
      <c r="P32" s="538">
        <f>PROFORMA!Q41</f>
        <v>0</v>
      </c>
      <c r="Q32" s="538">
        <f>PROFORMA!R41</f>
        <v>0</v>
      </c>
      <c r="R32" s="538">
        <f>PROFORMA!S41</f>
        <v>0</v>
      </c>
      <c r="S32" s="538">
        <f>PROFORMA!T41</f>
        <v>0</v>
      </c>
      <c r="T32" s="538">
        <f>PROFORMA!U41</f>
        <v>0</v>
      </c>
      <c r="U32" s="538">
        <f>PROFORMA!V41</f>
        <v>0</v>
      </c>
      <c r="V32" s="538">
        <f>PROFORMA!W41</f>
        <v>0</v>
      </c>
      <c r="W32" s="538">
        <f>PROFORMA!X41</f>
        <v>0</v>
      </c>
      <c r="X32" s="579">
        <f t="shared" si="0"/>
        <v>0</v>
      </c>
      <c r="Y32" s="538">
        <f>PROFORMA!Y41</f>
        <v>0</v>
      </c>
      <c r="Z32" s="538">
        <f>PROFORMA!Z41</f>
        <v>0</v>
      </c>
      <c r="AA32" s="538">
        <f>PROFORMA!AA41</f>
        <v>0</v>
      </c>
      <c r="AB32" s="538">
        <f>PROFORMA!AB41</f>
        <v>0</v>
      </c>
      <c r="AC32" s="538">
        <f>PROFORMA!AC41</f>
        <v>0</v>
      </c>
      <c r="AD32" s="538">
        <f>PROFORMA!AD41</f>
        <v>0</v>
      </c>
      <c r="AE32" s="538">
        <f>PROFORMA!AE41</f>
        <v>0</v>
      </c>
      <c r="AF32" s="538">
        <f>PROFORMA!AG41</f>
        <v>0</v>
      </c>
      <c r="AG32" s="538">
        <f>PROFORMA!AH41</f>
        <v>0</v>
      </c>
      <c r="AH32" s="538">
        <f>PROFORMA!AI41</f>
        <v>0</v>
      </c>
      <c r="AI32" s="538">
        <f>PROFORMA!AJ41</f>
        <v>0</v>
      </c>
      <c r="AJ32" s="538">
        <f>PROFORMA!AK41</f>
        <v>0</v>
      </c>
      <c r="AK32" s="538">
        <f>PROFORMA!AL41</f>
        <v>0</v>
      </c>
      <c r="AL32" s="538">
        <f>PROFORMA!AM41</f>
        <v>0</v>
      </c>
      <c r="AM32" s="538">
        <f>PROFORMA!AN41</f>
        <v>0</v>
      </c>
      <c r="AN32" s="538">
        <f>PROFORMA!AO41</f>
        <v>0</v>
      </c>
      <c r="AO32" s="538">
        <f>PROFORMA!AP41</f>
        <v>0</v>
      </c>
      <c r="AP32" s="538">
        <f>PROFORMA!AQ41</f>
        <v>0</v>
      </c>
      <c r="AQ32" s="538">
        <f>PROFORMA!AR41</f>
        <v>0</v>
      </c>
      <c r="AR32" s="538">
        <f>PROFORMA!AS41</f>
        <v>0</v>
      </c>
      <c r="AS32" s="538">
        <f>PROFORMA!AT41</f>
        <v>0</v>
      </c>
      <c r="AT32" s="582">
        <f t="shared" si="41"/>
        <v>0</v>
      </c>
      <c r="AU32" s="532">
        <f t="shared" si="42"/>
        <v>0</v>
      </c>
      <c r="AV32" s="532">
        <f t="shared" si="43"/>
        <v>0</v>
      </c>
      <c r="AW32" s="532"/>
      <c r="AX32" s="532">
        <f t="shared" si="1"/>
        <v>0</v>
      </c>
    </row>
    <row r="33" spans="1:50">
      <c r="A33" s="529">
        <v>31</v>
      </c>
      <c r="B33" s="796"/>
      <c r="C33" s="521" t="s">
        <v>295</v>
      </c>
      <c r="D33" s="545">
        <v>821</v>
      </c>
      <c r="E33" s="538">
        <f>PROFORMA!F42</f>
        <v>0</v>
      </c>
      <c r="F33" s="538">
        <f>PROFORMA!G42</f>
        <v>0</v>
      </c>
      <c r="G33" s="538">
        <f>PROFORMA!H42</f>
        <v>0</v>
      </c>
      <c r="H33" s="538">
        <f>PROFORMA!I42</f>
        <v>0</v>
      </c>
      <c r="I33" s="538">
        <f>PROFORMA!J42</f>
        <v>0</v>
      </c>
      <c r="J33" s="538">
        <f>PROFORMA!K42</f>
        <v>0</v>
      </c>
      <c r="K33" s="538">
        <f>PROFORMA!L42</f>
        <v>0</v>
      </c>
      <c r="L33" s="538">
        <f>PROFORMA!M42</f>
        <v>0</v>
      </c>
      <c r="M33" s="538">
        <f>PROFORMA!N42</f>
        <v>0</v>
      </c>
      <c r="N33" s="538">
        <f>PROFORMA!O42</f>
        <v>0</v>
      </c>
      <c r="O33" s="538">
        <f>PROFORMA!P42</f>
        <v>0</v>
      </c>
      <c r="P33" s="538">
        <f>PROFORMA!Q42</f>
        <v>0</v>
      </c>
      <c r="Q33" s="538">
        <f>PROFORMA!R42</f>
        <v>0</v>
      </c>
      <c r="R33" s="538">
        <f>PROFORMA!S42</f>
        <v>0</v>
      </c>
      <c r="S33" s="538">
        <f>PROFORMA!T42</f>
        <v>0</v>
      </c>
      <c r="T33" s="538">
        <f>PROFORMA!U42</f>
        <v>0</v>
      </c>
      <c r="U33" s="538">
        <f>PROFORMA!V42</f>
        <v>0</v>
      </c>
      <c r="V33" s="538">
        <f>PROFORMA!W42</f>
        <v>0</v>
      </c>
      <c r="W33" s="538">
        <f>PROFORMA!X42</f>
        <v>0</v>
      </c>
      <c r="X33" s="579">
        <f t="shared" si="0"/>
        <v>0</v>
      </c>
      <c r="Y33" s="538">
        <f>PROFORMA!Y42</f>
        <v>0</v>
      </c>
      <c r="Z33" s="538">
        <f>PROFORMA!Z42</f>
        <v>0</v>
      </c>
      <c r="AA33" s="538">
        <f>PROFORMA!AA42</f>
        <v>0</v>
      </c>
      <c r="AB33" s="538">
        <f>PROFORMA!AB42</f>
        <v>0</v>
      </c>
      <c r="AC33" s="538">
        <f>PROFORMA!AC42</f>
        <v>0</v>
      </c>
      <c r="AD33" s="538">
        <f>PROFORMA!AD42</f>
        <v>0</v>
      </c>
      <c r="AE33" s="538">
        <f>PROFORMA!AE42</f>
        <v>0</v>
      </c>
      <c r="AF33" s="538">
        <f>PROFORMA!AG42</f>
        <v>0</v>
      </c>
      <c r="AG33" s="538">
        <f>PROFORMA!AH42</f>
        <v>0</v>
      </c>
      <c r="AH33" s="538">
        <f>PROFORMA!AI42</f>
        <v>0</v>
      </c>
      <c r="AI33" s="538">
        <f>PROFORMA!AJ42</f>
        <v>0</v>
      </c>
      <c r="AJ33" s="538">
        <f>PROFORMA!AK42</f>
        <v>0</v>
      </c>
      <c r="AK33" s="538">
        <f>PROFORMA!AL42</f>
        <v>0</v>
      </c>
      <c r="AL33" s="538">
        <f>PROFORMA!AM42</f>
        <v>0</v>
      </c>
      <c r="AM33" s="538">
        <f>PROFORMA!AN42</f>
        <v>0</v>
      </c>
      <c r="AN33" s="538">
        <f>PROFORMA!AO42</f>
        <v>0</v>
      </c>
      <c r="AO33" s="538">
        <f>PROFORMA!AP42</f>
        <v>0</v>
      </c>
      <c r="AP33" s="538">
        <f>PROFORMA!AQ42</f>
        <v>0</v>
      </c>
      <c r="AQ33" s="538">
        <f>PROFORMA!AR42</f>
        <v>0</v>
      </c>
      <c r="AR33" s="538">
        <f>PROFORMA!AS42</f>
        <v>0</v>
      </c>
      <c r="AS33" s="538">
        <f>PROFORMA!AT42</f>
        <v>0</v>
      </c>
      <c r="AT33" s="582">
        <f t="shared" si="41"/>
        <v>0</v>
      </c>
      <c r="AU33" s="532">
        <f t="shared" si="42"/>
        <v>0</v>
      </c>
      <c r="AV33" s="532">
        <f t="shared" si="43"/>
        <v>0</v>
      </c>
      <c r="AW33" s="532"/>
      <c r="AX33" s="532">
        <f t="shared" si="1"/>
        <v>0</v>
      </c>
    </row>
    <row r="34" spans="1:50">
      <c r="A34" s="529">
        <v>32</v>
      </c>
      <c r="B34" s="796"/>
      <c r="C34" s="521" t="s">
        <v>296</v>
      </c>
      <c r="D34" s="545">
        <v>824</v>
      </c>
      <c r="E34" s="538">
        <f>PROFORMA!F43</f>
        <v>571000</v>
      </c>
      <c r="F34" s="538">
        <f>PROFORMA!G43</f>
        <v>0</v>
      </c>
      <c r="G34" s="538">
        <f>PROFORMA!H43</f>
        <v>0</v>
      </c>
      <c r="H34" s="538">
        <f>PROFORMA!I43</f>
        <v>0</v>
      </c>
      <c r="I34" s="538">
        <f>PROFORMA!J43</f>
        <v>0</v>
      </c>
      <c r="J34" s="538">
        <f>PROFORMA!K43</f>
        <v>0</v>
      </c>
      <c r="K34" s="538">
        <f>PROFORMA!L43</f>
        <v>0</v>
      </c>
      <c r="L34" s="538">
        <f>PROFORMA!M43</f>
        <v>0</v>
      </c>
      <c r="M34" s="538">
        <f>PROFORMA!N43</f>
        <v>0</v>
      </c>
      <c r="N34" s="538">
        <f>PROFORMA!O43</f>
        <v>0</v>
      </c>
      <c r="O34" s="538">
        <f>PROFORMA!P43</f>
        <v>0</v>
      </c>
      <c r="P34" s="538">
        <f>PROFORMA!Q43</f>
        <v>0</v>
      </c>
      <c r="Q34" s="538">
        <f>PROFORMA!R43</f>
        <v>0</v>
      </c>
      <c r="R34" s="538">
        <f>PROFORMA!S43</f>
        <v>0</v>
      </c>
      <c r="S34" s="538">
        <f>PROFORMA!T43</f>
        <v>0</v>
      </c>
      <c r="T34" s="538">
        <f>PROFORMA!U43</f>
        <v>0</v>
      </c>
      <c r="U34" s="538">
        <f>PROFORMA!V43</f>
        <v>0</v>
      </c>
      <c r="V34" s="538">
        <f>PROFORMA!W43</f>
        <v>0</v>
      </c>
      <c r="W34" s="538">
        <f>PROFORMA!X43</f>
        <v>0</v>
      </c>
      <c r="X34" s="579">
        <f t="shared" si="0"/>
        <v>0</v>
      </c>
      <c r="Y34" s="538">
        <f>PROFORMA!Y43</f>
        <v>0</v>
      </c>
      <c r="Z34" s="538">
        <f>PROFORMA!Z43</f>
        <v>0</v>
      </c>
      <c r="AA34" s="538">
        <f>PROFORMA!AA43</f>
        <v>0</v>
      </c>
      <c r="AB34" s="538">
        <f>PROFORMA!AB43</f>
        <v>0</v>
      </c>
      <c r="AC34" s="538">
        <f>PROFORMA!AC43</f>
        <v>0</v>
      </c>
      <c r="AD34" s="538">
        <f>PROFORMA!AD43</f>
        <v>0</v>
      </c>
      <c r="AE34" s="538">
        <f>PROFORMA!AE43</f>
        <v>0</v>
      </c>
      <c r="AF34" s="538">
        <f>PROFORMA!AG43</f>
        <v>0</v>
      </c>
      <c r="AG34" s="538">
        <f>PROFORMA!AH43</f>
        <v>0</v>
      </c>
      <c r="AH34" s="538">
        <f>PROFORMA!AI43</f>
        <v>0</v>
      </c>
      <c r="AI34" s="538">
        <f>PROFORMA!AJ43</f>
        <v>0</v>
      </c>
      <c r="AJ34" s="538">
        <f>PROFORMA!AK43</f>
        <v>0</v>
      </c>
      <c r="AK34" s="538">
        <f>PROFORMA!AL43</f>
        <v>0</v>
      </c>
      <c r="AL34" s="538">
        <f>PROFORMA!AM43</f>
        <v>0</v>
      </c>
      <c r="AM34" s="538">
        <f>PROFORMA!AN43</f>
        <v>0</v>
      </c>
      <c r="AN34" s="538">
        <f>PROFORMA!AO43</f>
        <v>0</v>
      </c>
      <c r="AO34" s="538">
        <f>PROFORMA!AP43</f>
        <v>0</v>
      </c>
      <c r="AP34" s="538">
        <f>PROFORMA!AQ43</f>
        <v>0</v>
      </c>
      <c r="AQ34" s="538">
        <f>PROFORMA!AR43</f>
        <v>0</v>
      </c>
      <c r="AR34" s="538">
        <f>PROFORMA!AS43</f>
        <v>0</v>
      </c>
      <c r="AS34" s="538">
        <f>PROFORMA!AT43</f>
        <v>0</v>
      </c>
      <c r="AT34" s="582">
        <f t="shared" si="41"/>
        <v>0</v>
      </c>
      <c r="AU34" s="532">
        <f t="shared" si="42"/>
        <v>0</v>
      </c>
      <c r="AV34" s="532">
        <f t="shared" si="43"/>
        <v>571000</v>
      </c>
      <c r="AW34" s="532"/>
      <c r="AX34" s="532">
        <f t="shared" si="1"/>
        <v>571000</v>
      </c>
    </row>
    <row r="35" spans="1:50">
      <c r="A35" s="529">
        <v>33</v>
      </c>
      <c r="B35" s="796"/>
      <c r="C35" s="521" t="s">
        <v>297</v>
      </c>
      <c r="D35" s="545">
        <v>825</v>
      </c>
      <c r="E35" s="538">
        <f>PROFORMA!F44</f>
        <v>0</v>
      </c>
      <c r="F35" s="538">
        <f>PROFORMA!G44</f>
        <v>0</v>
      </c>
      <c r="G35" s="538">
        <f>PROFORMA!H44</f>
        <v>0</v>
      </c>
      <c r="H35" s="538">
        <f>PROFORMA!I44</f>
        <v>0</v>
      </c>
      <c r="I35" s="538">
        <f>PROFORMA!J44</f>
        <v>0</v>
      </c>
      <c r="J35" s="538">
        <f>PROFORMA!K44</f>
        <v>0</v>
      </c>
      <c r="K35" s="538">
        <f>PROFORMA!L44</f>
        <v>0</v>
      </c>
      <c r="L35" s="538">
        <f>PROFORMA!M44</f>
        <v>0</v>
      </c>
      <c r="M35" s="538">
        <f>PROFORMA!N44</f>
        <v>0</v>
      </c>
      <c r="N35" s="538">
        <f>PROFORMA!O44</f>
        <v>0</v>
      </c>
      <c r="O35" s="538">
        <f>PROFORMA!P44</f>
        <v>0</v>
      </c>
      <c r="P35" s="538">
        <f>PROFORMA!Q44</f>
        <v>0</v>
      </c>
      <c r="Q35" s="538">
        <f>PROFORMA!R44</f>
        <v>0</v>
      </c>
      <c r="R35" s="538">
        <f>PROFORMA!S44</f>
        <v>0</v>
      </c>
      <c r="S35" s="538">
        <f>PROFORMA!T44</f>
        <v>0</v>
      </c>
      <c r="T35" s="538">
        <f>PROFORMA!U44</f>
        <v>0</v>
      </c>
      <c r="U35" s="538">
        <f>PROFORMA!V44</f>
        <v>0</v>
      </c>
      <c r="V35" s="538">
        <f>PROFORMA!W44</f>
        <v>0</v>
      </c>
      <c r="W35" s="538">
        <f>PROFORMA!X44</f>
        <v>0</v>
      </c>
      <c r="X35" s="579">
        <f t="shared" si="0"/>
        <v>0</v>
      </c>
      <c r="Y35" s="538">
        <f>PROFORMA!Y44</f>
        <v>0</v>
      </c>
      <c r="Z35" s="538">
        <f>PROFORMA!Z44</f>
        <v>0</v>
      </c>
      <c r="AA35" s="538">
        <f>PROFORMA!AA44</f>
        <v>0</v>
      </c>
      <c r="AB35" s="538">
        <f>PROFORMA!AB44</f>
        <v>0</v>
      </c>
      <c r="AC35" s="538">
        <f>PROFORMA!AC44</f>
        <v>0</v>
      </c>
      <c r="AD35" s="538">
        <f>PROFORMA!AD44</f>
        <v>0</v>
      </c>
      <c r="AE35" s="538">
        <f>PROFORMA!AE44</f>
        <v>0</v>
      </c>
      <c r="AF35" s="538">
        <f>PROFORMA!AG44</f>
        <v>0</v>
      </c>
      <c r="AG35" s="538">
        <f>PROFORMA!AH44</f>
        <v>0</v>
      </c>
      <c r="AH35" s="538">
        <f>PROFORMA!AI44</f>
        <v>0</v>
      </c>
      <c r="AI35" s="538">
        <f>PROFORMA!AJ44</f>
        <v>0</v>
      </c>
      <c r="AJ35" s="538">
        <f>PROFORMA!AK44</f>
        <v>0</v>
      </c>
      <c r="AK35" s="538">
        <f>PROFORMA!AL44</f>
        <v>0</v>
      </c>
      <c r="AL35" s="538">
        <f>PROFORMA!AM44</f>
        <v>0</v>
      </c>
      <c r="AM35" s="538">
        <f>PROFORMA!AN44</f>
        <v>0</v>
      </c>
      <c r="AN35" s="538">
        <f>PROFORMA!AO44</f>
        <v>0</v>
      </c>
      <c r="AO35" s="538">
        <f>PROFORMA!AP44</f>
        <v>0</v>
      </c>
      <c r="AP35" s="538">
        <f>PROFORMA!AQ44</f>
        <v>0</v>
      </c>
      <c r="AQ35" s="538">
        <f>PROFORMA!AR44</f>
        <v>0</v>
      </c>
      <c r="AR35" s="538">
        <f>PROFORMA!AS44</f>
        <v>0</v>
      </c>
      <c r="AS35" s="538">
        <f>PROFORMA!AT44</f>
        <v>0</v>
      </c>
      <c r="AT35" s="582">
        <f t="shared" si="41"/>
        <v>0</v>
      </c>
      <c r="AU35" s="532">
        <f t="shared" si="42"/>
        <v>0</v>
      </c>
      <c r="AV35" s="532">
        <f t="shared" si="43"/>
        <v>0</v>
      </c>
      <c r="AW35" s="532"/>
      <c r="AX35" s="532">
        <f t="shared" si="1"/>
        <v>0</v>
      </c>
    </row>
    <row r="36" spans="1:50">
      <c r="A36" s="529">
        <v>34</v>
      </c>
      <c r="B36" s="796"/>
      <c r="C36" s="521" t="s">
        <v>2</v>
      </c>
      <c r="D36" s="545">
        <v>826</v>
      </c>
      <c r="E36" s="574">
        <f>PROFORMA!F45</f>
        <v>0</v>
      </c>
      <c r="F36" s="574">
        <f>PROFORMA!G45</f>
        <v>0</v>
      </c>
      <c r="G36" s="574">
        <f>PROFORMA!H45</f>
        <v>0</v>
      </c>
      <c r="H36" s="574">
        <f>PROFORMA!I45</f>
        <v>0</v>
      </c>
      <c r="I36" s="574">
        <f>PROFORMA!J45</f>
        <v>0</v>
      </c>
      <c r="J36" s="574">
        <f>PROFORMA!K45</f>
        <v>0</v>
      </c>
      <c r="K36" s="574">
        <f>PROFORMA!L45</f>
        <v>0</v>
      </c>
      <c r="L36" s="574">
        <f>PROFORMA!M45</f>
        <v>0</v>
      </c>
      <c r="M36" s="574">
        <f>PROFORMA!N45</f>
        <v>0</v>
      </c>
      <c r="N36" s="574">
        <f>PROFORMA!O45</f>
        <v>0</v>
      </c>
      <c r="O36" s="574">
        <f>PROFORMA!P45</f>
        <v>0</v>
      </c>
      <c r="P36" s="574">
        <f>PROFORMA!Q45</f>
        <v>0</v>
      </c>
      <c r="Q36" s="574">
        <f>PROFORMA!R45</f>
        <v>0</v>
      </c>
      <c r="R36" s="574">
        <f>PROFORMA!S45</f>
        <v>0</v>
      </c>
      <c r="S36" s="574">
        <f>PROFORMA!T45</f>
        <v>0</v>
      </c>
      <c r="T36" s="574">
        <f>PROFORMA!U45</f>
        <v>0</v>
      </c>
      <c r="U36" s="574">
        <f>PROFORMA!V45</f>
        <v>0</v>
      </c>
      <c r="V36" s="574">
        <f>PROFORMA!W45</f>
        <v>0</v>
      </c>
      <c r="W36" s="574">
        <f>PROFORMA!X45</f>
        <v>0</v>
      </c>
      <c r="X36" s="580">
        <f t="shared" si="0"/>
        <v>0</v>
      </c>
      <c r="Y36" s="574">
        <f>PROFORMA!Y45</f>
        <v>0</v>
      </c>
      <c r="Z36" s="574">
        <f>PROFORMA!Z45</f>
        <v>0</v>
      </c>
      <c r="AA36" s="574">
        <f>PROFORMA!AA45</f>
        <v>0</v>
      </c>
      <c r="AB36" s="574">
        <f>PROFORMA!AB45</f>
        <v>0</v>
      </c>
      <c r="AC36" s="574">
        <f>PROFORMA!AC45</f>
        <v>0</v>
      </c>
      <c r="AD36" s="574">
        <f>PROFORMA!AD45</f>
        <v>0</v>
      </c>
      <c r="AE36" s="574">
        <f>PROFORMA!AE45</f>
        <v>0</v>
      </c>
      <c r="AF36" s="574">
        <f>PROFORMA!AG45</f>
        <v>0</v>
      </c>
      <c r="AG36" s="574">
        <f>PROFORMA!AH45</f>
        <v>0</v>
      </c>
      <c r="AH36" s="574">
        <f>PROFORMA!AI45</f>
        <v>0</v>
      </c>
      <c r="AI36" s="574">
        <f>PROFORMA!AJ45</f>
        <v>0</v>
      </c>
      <c r="AJ36" s="574">
        <f>PROFORMA!AK45</f>
        <v>0</v>
      </c>
      <c r="AK36" s="574">
        <f>PROFORMA!AL45</f>
        <v>0</v>
      </c>
      <c r="AL36" s="574">
        <f>PROFORMA!AM45</f>
        <v>0</v>
      </c>
      <c r="AM36" s="574">
        <f>PROFORMA!AN45</f>
        <v>0</v>
      </c>
      <c r="AN36" s="574">
        <f>PROFORMA!AO45</f>
        <v>0</v>
      </c>
      <c r="AO36" s="574">
        <f>PROFORMA!AP45</f>
        <v>0</v>
      </c>
      <c r="AP36" s="574">
        <f>PROFORMA!AQ45</f>
        <v>0</v>
      </c>
      <c r="AQ36" s="574">
        <f>PROFORMA!AR45</f>
        <v>0</v>
      </c>
      <c r="AR36" s="574">
        <f>PROFORMA!AS45</f>
        <v>0</v>
      </c>
      <c r="AS36" s="574">
        <f>PROFORMA!AT45</f>
        <v>0</v>
      </c>
      <c r="AT36" s="583">
        <f t="shared" si="41"/>
        <v>0</v>
      </c>
      <c r="AU36" s="581">
        <f t="shared" si="42"/>
        <v>0</v>
      </c>
      <c r="AV36" s="581">
        <f t="shared" si="43"/>
        <v>0</v>
      </c>
      <c r="AW36" s="581"/>
      <c r="AX36" s="581">
        <f t="shared" si="1"/>
        <v>0</v>
      </c>
    </row>
    <row r="37" spans="1:50">
      <c r="A37" s="529">
        <v>35</v>
      </c>
      <c r="B37" s="796"/>
      <c r="C37" s="554" t="s">
        <v>1083</v>
      </c>
      <c r="D37" s="555"/>
      <c r="E37" s="535">
        <f>SUM(E26:E36)</f>
        <v>571000</v>
      </c>
      <c r="F37" s="535">
        <f t="shared" ref="F37" si="44">SUM(F26:F36)</f>
        <v>0</v>
      </c>
      <c r="G37" s="535">
        <f t="shared" ref="G37:W37" si="45">SUM(G26:G36)</f>
        <v>0</v>
      </c>
      <c r="H37" s="535">
        <f t="shared" si="45"/>
        <v>0</v>
      </c>
      <c r="I37" s="535">
        <f t="shared" si="45"/>
        <v>0</v>
      </c>
      <c r="J37" s="535">
        <f t="shared" si="45"/>
        <v>0</v>
      </c>
      <c r="K37" s="535">
        <f t="shared" si="45"/>
        <v>0</v>
      </c>
      <c r="L37" s="535">
        <f t="shared" si="45"/>
        <v>0</v>
      </c>
      <c r="M37" s="535">
        <f t="shared" si="45"/>
        <v>0</v>
      </c>
      <c r="N37" s="535">
        <f t="shared" si="45"/>
        <v>0</v>
      </c>
      <c r="O37" s="535">
        <f t="shared" si="45"/>
        <v>0</v>
      </c>
      <c r="P37" s="535">
        <f t="shared" si="45"/>
        <v>0</v>
      </c>
      <c r="Q37" s="535">
        <f t="shared" si="45"/>
        <v>0</v>
      </c>
      <c r="R37" s="535">
        <f t="shared" si="45"/>
        <v>0</v>
      </c>
      <c r="S37" s="535">
        <f t="shared" si="45"/>
        <v>0</v>
      </c>
      <c r="T37" s="535">
        <f t="shared" si="45"/>
        <v>0</v>
      </c>
      <c r="U37" s="535">
        <f t="shared" si="45"/>
        <v>0</v>
      </c>
      <c r="V37" s="535">
        <f t="shared" si="45"/>
        <v>0</v>
      </c>
      <c r="W37" s="535">
        <f t="shared" si="45"/>
        <v>0</v>
      </c>
      <c r="X37" s="579">
        <f t="shared" si="0"/>
        <v>0</v>
      </c>
      <c r="Y37" s="535">
        <f t="shared" ref="Y37:AX37" si="46">SUM(Y26:Y36)</f>
        <v>0</v>
      </c>
      <c r="Z37" s="535">
        <f t="shared" ref="Z37:AF37" si="47">SUM(Z26:Z36)</f>
        <v>0</v>
      </c>
      <c r="AA37" s="535">
        <f t="shared" si="47"/>
        <v>0</v>
      </c>
      <c r="AB37" s="535">
        <f t="shared" si="47"/>
        <v>0</v>
      </c>
      <c r="AC37" s="535">
        <f t="shared" si="47"/>
        <v>0</v>
      </c>
      <c r="AD37" s="535">
        <f t="shared" si="47"/>
        <v>0</v>
      </c>
      <c r="AE37" s="535">
        <f t="shared" si="47"/>
        <v>0</v>
      </c>
      <c r="AF37" s="535">
        <f t="shared" si="47"/>
        <v>0</v>
      </c>
      <c r="AG37" s="535">
        <f t="shared" ref="AG37:AQ37" si="48">SUM(AG26:AG36)</f>
        <v>0</v>
      </c>
      <c r="AH37" s="535">
        <f t="shared" si="48"/>
        <v>0</v>
      </c>
      <c r="AI37" s="535">
        <f t="shared" si="48"/>
        <v>0</v>
      </c>
      <c r="AJ37" s="535">
        <f t="shared" si="48"/>
        <v>0</v>
      </c>
      <c r="AK37" s="535">
        <f t="shared" si="48"/>
        <v>0</v>
      </c>
      <c r="AL37" s="535">
        <f t="shared" si="48"/>
        <v>0</v>
      </c>
      <c r="AM37" s="535">
        <f t="shared" si="48"/>
        <v>0</v>
      </c>
      <c r="AN37" s="535">
        <f t="shared" si="48"/>
        <v>0</v>
      </c>
      <c r="AO37" s="535">
        <f t="shared" si="48"/>
        <v>0</v>
      </c>
      <c r="AP37" s="535">
        <f t="shared" si="48"/>
        <v>0</v>
      </c>
      <c r="AQ37" s="535">
        <f t="shared" si="48"/>
        <v>0</v>
      </c>
      <c r="AR37" s="535">
        <f t="shared" ref="AR37:AS37" si="49">SUM(AR26:AR36)</f>
        <v>0</v>
      </c>
      <c r="AS37" s="535">
        <f t="shared" si="49"/>
        <v>0</v>
      </c>
      <c r="AT37" s="535">
        <f t="shared" si="46"/>
        <v>0</v>
      </c>
      <c r="AU37" s="535">
        <f t="shared" si="46"/>
        <v>0</v>
      </c>
      <c r="AV37" s="535">
        <f t="shared" si="46"/>
        <v>571000</v>
      </c>
      <c r="AW37" s="535">
        <f t="shared" si="46"/>
        <v>0</v>
      </c>
      <c r="AX37" s="535">
        <f t="shared" si="46"/>
        <v>571000</v>
      </c>
    </row>
    <row r="38" spans="1:50" ht="30.95" customHeight="1">
      <c r="A38" s="529">
        <v>36</v>
      </c>
      <c r="B38" s="795" t="s">
        <v>1158</v>
      </c>
      <c r="C38" s="521" t="s">
        <v>1</v>
      </c>
      <c r="D38" s="545">
        <v>830</v>
      </c>
      <c r="E38" s="538">
        <f>PROFORMA!F47</f>
        <v>0</v>
      </c>
      <c r="F38" s="538">
        <f>PROFORMA!G47</f>
        <v>0</v>
      </c>
      <c r="G38" s="538">
        <f>PROFORMA!H47</f>
        <v>0</v>
      </c>
      <c r="H38" s="538">
        <f>PROFORMA!I47</f>
        <v>0</v>
      </c>
      <c r="I38" s="538">
        <f>PROFORMA!J47</f>
        <v>0</v>
      </c>
      <c r="J38" s="538">
        <f>PROFORMA!K47</f>
        <v>0</v>
      </c>
      <c r="K38" s="538">
        <f>PROFORMA!L47</f>
        <v>0</v>
      </c>
      <c r="L38" s="538">
        <f>PROFORMA!M47</f>
        <v>0</v>
      </c>
      <c r="M38" s="538">
        <f>PROFORMA!N47</f>
        <v>0</v>
      </c>
      <c r="N38" s="538">
        <f>PROFORMA!O47</f>
        <v>0</v>
      </c>
      <c r="O38" s="538">
        <f>PROFORMA!P47</f>
        <v>0</v>
      </c>
      <c r="P38" s="538">
        <f>PROFORMA!Q47</f>
        <v>0</v>
      </c>
      <c r="Q38" s="538">
        <f>PROFORMA!R47</f>
        <v>0</v>
      </c>
      <c r="R38" s="538">
        <f>PROFORMA!S47</f>
        <v>0</v>
      </c>
      <c r="S38" s="538">
        <f>PROFORMA!T47</f>
        <v>0</v>
      </c>
      <c r="T38" s="538">
        <f>PROFORMA!U47</f>
        <v>0</v>
      </c>
      <c r="U38" s="538">
        <f>PROFORMA!V47</f>
        <v>0</v>
      </c>
      <c r="V38" s="538">
        <f>PROFORMA!W47</f>
        <v>0</v>
      </c>
      <c r="W38" s="538">
        <f>PROFORMA!X47</f>
        <v>0</v>
      </c>
      <c r="X38" s="579">
        <f t="shared" si="0"/>
        <v>0</v>
      </c>
      <c r="Y38" s="538">
        <f>PROFORMA!Y47</f>
        <v>0</v>
      </c>
      <c r="Z38" s="538">
        <f>PROFORMA!Z47</f>
        <v>0</v>
      </c>
      <c r="AA38" s="538">
        <f>PROFORMA!AA47</f>
        <v>0</v>
      </c>
      <c r="AB38" s="538">
        <f>PROFORMA!AB47</f>
        <v>0</v>
      </c>
      <c r="AC38" s="538">
        <f>PROFORMA!AC47</f>
        <v>0</v>
      </c>
      <c r="AD38" s="538">
        <f>PROFORMA!AD47</f>
        <v>0</v>
      </c>
      <c r="AE38" s="538">
        <f>PROFORMA!AE47</f>
        <v>0</v>
      </c>
      <c r="AF38" s="538">
        <f>PROFORMA!AG47</f>
        <v>0</v>
      </c>
      <c r="AG38" s="538">
        <f>PROFORMA!AH47</f>
        <v>0</v>
      </c>
      <c r="AH38" s="538">
        <f>PROFORMA!AI47</f>
        <v>0</v>
      </c>
      <c r="AI38" s="538">
        <f>PROFORMA!AJ47</f>
        <v>0</v>
      </c>
      <c r="AJ38" s="538">
        <f>PROFORMA!AK47</f>
        <v>0</v>
      </c>
      <c r="AK38" s="538">
        <f>PROFORMA!AL47</f>
        <v>0</v>
      </c>
      <c r="AL38" s="538">
        <f>PROFORMA!AM47</f>
        <v>0</v>
      </c>
      <c r="AM38" s="538">
        <f>PROFORMA!AN47</f>
        <v>0</v>
      </c>
      <c r="AN38" s="538">
        <f>PROFORMA!AO47</f>
        <v>0</v>
      </c>
      <c r="AO38" s="538">
        <f>PROFORMA!AP47</f>
        <v>0</v>
      </c>
      <c r="AP38" s="538">
        <f>PROFORMA!AQ47</f>
        <v>0</v>
      </c>
      <c r="AQ38" s="538">
        <f>PROFORMA!AR47</f>
        <v>0</v>
      </c>
      <c r="AR38" s="538">
        <f>PROFORMA!AS47</f>
        <v>0</v>
      </c>
      <c r="AS38" s="538">
        <f>PROFORMA!AT47</f>
        <v>0</v>
      </c>
      <c r="AT38" s="582">
        <f t="shared" ref="AT38:AT45" si="50">SUM(Y38:AS38)</f>
        <v>0</v>
      </c>
      <c r="AU38" s="532">
        <f t="shared" ref="AU38:AU45" si="51">X38+AT38</f>
        <v>0</v>
      </c>
      <c r="AV38" s="532">
        <f t="shared" ref="AV38:AV45" si="52">E38+AU38</f>
        <v>0</v>
      </c>
      <c r="AW38" s="532"/>
      <c r="AX38" s="532">
        <f t="shared" si="1"/>
        <v>0</v>
      </c>
    </row>
    <row r="39" spans="1:50">
      <c r="A39" s="529">
        <v>37</v>
      </c>
      <c r="B39" s="795"/>
      <c r="C39" s="521" t="s">
        <v>289</v>
      </c>
      <c r="D39" s="545">
        <v>831</v>
      </c>
      <c r="E39" s="538">
        <f>PROFORMA!F48</f>
        <v>0</v>
      </c>
      <c r="F39" s="538">
        <f>PROFORMA!G48</f>
        <v>0</v>
      </c>
      <c r="G39" s="538">
        <f>PROFORMA!H48</f>
        <v>0</v>
      </c>
      <c r="H39" s="538">
        <f>PROFORMA!I48</f>
        <v>0</v>
      </c>
      <c r="I39" s="538">
        <f>PROFORMA!J48</f>
        <v>0</v>
      </c>
      <c r="J39" s="538">
        <f>PROFORMA!K48</f>
        <v>0</v>
      </c>
      <c r="K39" s="538">
        <f>PROFORMA!L48</f>
        <v>0</v>
      </c>
      <c r="L39" s="538">
        <f>PROFORMA!M48</f>
        <v>0</v>
      </c>
      <c r="M39" s="538">
        <f>PROFORMA!N48</f>
        <v>0</v>
      </c>
      <c r="N39" s="538">
        <f>PROFORMA!O48</f>
        <v>0</v>
      </c>
      <c r="O39" s="538">
        <f>PROFORMA!P48</f>
        <v>0</v>
      </c>
      <c r="P39" s="538">
        <f>PROFORMA!Q48</f>
        <v>0</v>
      </c>
      <c r="Q39" s="538">
        <f>PROFORMA!R48</f>
        <v>0</v>
      </c>
      <c r="R39" s="538">
        <f>PROFORMA!S48</f>
        <v>0</v>
      </c>
      <c r="S39" s="538">
        <f>PROFORMA!T48</f>
        <v>0</v>
      </c>
      <c r="T39" s="538">
        <f>PROFORMA!U48</f>
        <v>0</v>
      </c>
      <c r="U39" s="538">
        <f>PROFORMA!V48</f>
        <v>0</v>
      </c>
      <c r="V39" s="538">
        <f>PROFORMA!W48</f>
        <v>0</v>
      </c>
      <c r="W39" s="538">
        <f>PROFORMA!X48</f>
        <v>0</v>
      </c>
      <c r="X39" s="579">
        <f t="shared" si="0"/>
        <v>0</v>
      </c>
      <c r="Y39" s="538">
        <f>PROFORMA!Y48</f>
        <v>0</v>
      </c>
      <c r="Z39" s="538">
        <f>PROFORMA!Z48</f>
        <v>0</v>
      </c>
      <c r="AA39" s="538">
        <f>PROFORMA!AA48</f>
        <v>0</v>
      </c>
      <c r="AB39" s="538">
        <f>PROFORMA!AB48</f>
        <v>0</v>
      </c>
      <c r="AC39" s="538">
        <f>PROFORMA!AC48</f>
        <v>0</v>
      </c>
      <c r="AD39" s="538">
        <f>PROFORMA!AD48</f>
        <v>0</v>
      </c>
      <c r="AE39" s="538">
        <f>PROFORMA!AE48</f>
        <v>0</v>
      </c>
      <c r="AF39" s="538">
        <f>PROFORMA!AG48</f>
        <v>0</v>
      </c>
      <c r="AG39" s="538">
        <f>PROFORMA!AH48</f>
        <v>0</v>
      </c>
      <c r="AH39" s="538">
        <f>PROFORMA!AI48</f>
        <v>0</v>
      </c>
      <c r="AI39" s="538">
        <f>PROFORMA!AJ48</f>
        <v>0</v>
      </c>
      <c r="AJ39" s="538">
        <f>PROFORMA!AK48</f>
        <v>0</v>
      </c>
      <c r="AK39" s="538">
        <f>PROFORMA!AL48</f>
        <v>0</v>
      </c>
      <c r="AL39" s="538">
        <f>PROFORMA!AM48</f>
        <v>0</v>
      </c>
      <c r="AM39" s="538">
        <f>PROFORMA!AN48</f>
        <v>0</v>
      </c>
      <c r="AN39" s="538">
        <f>PROFORMA!AO48</f>
        <v>0</v>
      </c>
      <c r="AO39" s="538">
        <f>PROFORMA!AP48</f>
        <v>0</v>
      </c>
      <c r="AP39" s="538">
        <f>PROFORMA!AQ48</f>
        <v>0</v>
      </c>
      <c r="AQ39" s="538">
        <f>PROFORMA!AR48</f>
        <v>0</v>
      </c>
      <c r="AR39" s="538">
        <f>PROFORMA!AS48</f>
        <v>0</v>
      </c>
      <c r="AS39" s="538">
        <f>PROFORMA!AT48</f>
        <v>0</v>
      </c>
      <c r="AT39" s="582">
        <f t="shared" si="50"/>
        <v>0</v>
      </c>
      <c r="AU39" s="532">
        <f t="shared" si="51"/>
        <v>0</v>
      </c>
      <c r="AV39" s="532">
        <f t="shared" si="52"/>
        <v>0</v>
      </c>
      <c r="AW39" s="532"/>
      <c r="AX39" s="532">
        <f t="shared" si="1"/>
        <v>0</v>
      </c>
    </row>
    <row r="40" spans="1:50">
      <c r="A40" s="529">
        <v>38</v>
      </c>
      <c r="B40" s="795"/>
      <c r="C40" s="521" t="s">
        <v>290</v>
      </c>
      <c r="D40" s="545">
        <v>832</v>
      </c>
      <c r="E40" s="538">
        <f>PROFORMA!F49</f>
        <v>0</v>
      </c>
      <c r="F40" s="538">
        <f>PROFORMA!G49</f>
        <v>0</v>
      </c>
      <c r="G40" s="538">
        <f>PROFORMA!H49</f>
        <v>0</v>
      </c>
      <c r="H40" s="538">
        <f>PROFORMA!I49</f>
        <v>0</v>
      </c>
      <c r="I40" s="538">
        <f>PROFORMA!J49</f>
        <v>0</v>
      </c>
      <c r="J40" s="538">
        <f>PROFORMA!K49</f>
        <v>0</v>
      </c>
      <c r="K40" s="538">
        <f>PROFORMA!L49</f>
        <v>0</v>
      </c>
      <c r="L40" s="538">
        <f>PROFORMA!M49</f>
        <v>0</v>
      </c>
      <c r="M40" s="538">
        <f>PROFORMA!N49</f>
        <v>0</v>
      </c>
      <c r="N40" s="538">
        <f>PROFORMA!O49</f>
        <v>0</v>
      </c>
      <c r="O40" s="538">
        <f>PROFORMA!P49</f>
        <v>0</v>
      </c>
      <c r="P40" s="538">
        <f>PROFORMA!Q49</f>
        <v>0</v>
      </c>
      <c r="Q40" s="538">
        <f>PROFORMA!R49</f>
        <v>0</v>
      </c>
      <c r="R40" s="538">
        <f>PROFORMA!S49</f>
        <v>0</v>
      </c>
      <c r="S40" s="538">
        <f>PROFORMA!T49</f>
        <v>0</v>
      </c>
      <c r="T40" s="538">
        <f>PROFORMA!U49</f>
        <v>0</v>
      </c>
      <c r="U40" s="538">
        <f>PROFORMA!V49</f>
        <v>0</v>
      </c>
      <c r="V40" s="538">
        <f>PROFORMA!W49</f>
        <v>0</v>
      </c>
      <c r="W40" s="538">
        <f>PROFORMA!X49</f>
        <v>0</v>
      </c>
      <c r="X40" s="579">
        <f t="shared" si="0"/>
        <v>0</v>
      </c>
      <c r="Y40" s="538">
        <f>PROFORMA!Y49</f>
        <v>0</v>
      </c>
      <c r="Z40" s="538">
        <f>PROFORMA!Z49</f>
        <v>0</v>
      </c>
      <c r="AA40" s="538">
        <f>PROFORMA!AA49</f>
        <v>0</v>
      </c>
      <c r="AB40" s="538">
        <f>PROFORMA!AB49</f>
        <v>0</v>
      </c>
      <c r="AC40" s="538">
        <f>PROFORMA!AC49</f>
        <v>0</v>
      </c>
      <c r="AD40" s="538">
        <f>PROFORMA!AD49</f>
        <v>0</v>
      </c>
      <c r="AE40" s="538">
        <f>PROFORMA!AE49</f>
        <v>0</v>
      </c>
      <c r="AF40" s="538">
        <f>PROFORMA!AG49</f>
        <v>0</v>
      </c>
      <c r="AG40" s="538">
        <f>PROFORMA!AH49</f>
        <v>0</v>
      </c>
      <c r="AH40" s="538">
        <f>PROFORMA!AI49</f>
        <v>0</v>
      </c>
      <c r="AI40" s="538">
        <f>PROFORMA!AJ49</f>
        <v>0</v>
      </c>
      <c r="AJ40" s="538">
        <f>PROFORMA!AK49</f>
        <v>0</v>
      </c>
      <c r="AK40" s="538">
        <f>PROFORMA!AL49</f>
        <v>0</v>
      </c>
      <c r="AL40" s="538">
        <f>PROFORMA!AM49</f>
        <v>0</v>
      </c>
      <c r="AM40" s="538">
        <f>PROFORMA!AN49</f>
        <v>0</v>
      </c>
      <c r="AN40" s="538">
        <f>PROFORMA!AO49</f>
        <v>0</v>
      </c>
      <c r="AO40" s="538">
        <f>PROFORMA!AP49</f>
        <v>0</v>
      </c>
      <c r="AP40" s="538">
        <f>PROFORMA!AQ49</f>
        <v>0</v>
      </c>
      <c r="AQ40" s="538">
        <f>PROFORMA!AR49</f>
        <v>0</v>
      </c>
      <c r="AR40" s="538">
        <f>PROFORMA!AS49</f>
        <v>0</v>
      </c>
      <c r="AS40" s="538">
        <f>PROFORMA!AT49</f>
        <v>0</v>
      </c>
      <c r="AT40" s="582">
        <f t="shared" si="50"/>
        <v>0</v>
      </c>
      <c r="AU40" s="532">
        <f t="shared" si="51"/>
        <v>0</v>
      </c>
      <c r="AV40" s="532">
        <f t="shared" si="52"/>
        <v>0</v>
      </c>
      <c r="AW40" s="532"/>
      <c r="AX40" s="532">
        <f t="shared" si="1"/>
        <v>0</v>
      </c>
    </row>
    <row r="41" spans="1:50">
      <c r="A41" s="529">
        <v>39</v>
      </c>
      <c r="B41" s="795"/>
      <c r="C41" s="521" t="s">
        <v>291</v>
      </c>
      <c r="D41" s="545">
        <v>833</v>
      </c>
      <c r="E41" s="538">
        <f>PROFORMA!F50</f>
        <v>0</v>
      </c>
      <c r="F41" s="538">
        <f>PROFORMA!G50</f>
        <v>0</v>
      </c>
      <c r="G41" s="538">
        <f>PROFORMA!H50</f>
        <v>0</v>
      </c>
      <c r="H41" s="538">
        <f>PROFORMA!I50</f>
        <v>0</v>
      </c>
      <c r="I41" s="538">
        <f>PROFORMA!J50</f>
        <v>0</v>
      </c>
      <c r="J41" s="538">
        <f>PROFORMA!K50</f>
        <v>0</v>
      </c>
      <c r="K41" s="538">
        <f>PROFORMA!L50</f>
        <v>0</v>
      </c>
      <c r="L41" s="538">
        <f>PROFORMA!M50</f>
        <v>0</v>
      </c>
      <c r="M41" s="538">
        <f>PROFORMA!N50</f>
        <v>0</v>
      </c>
      <c r="N41" s="538">
        <f>PROFORMA!O50</f>
        <v>0</v>
      </c>
      <c r="O41" s="538">
        <f>PROFORMA!P50</f>
        <v>0</v>
      </c>
      <c r="P41" s="538">
        <f>PROFORMA!Q50</f>
        <v>0</v>
      </c>
      <c r="Q41" s="538">
        <f>PROFORMA!R50</f>
        <v>0</v>
      </c>
      <c r="R41" s="538">
        <f>PROFORMA!S50</f>
        <v>0</v>
      </c>
      <c r="S41" s="538">
        <f>PROFORMA!T50</f>
        <v>0</v>
      </c>
      <c r="T41" s="538">
        <f>PROFORMA!U50</f>
        <v>0</v>
      </c>
      <c r="U41" s="538">
        <f>PROFORMA!V50</f>
        <v>0</v>
      </c>
      <c r="V41" s="538">
        <f>PROFORMA!W50</f>
        <v>0</v>
      </c>
      <c r="W41" s="538">
        <f>PROFORMA!X50</f>
        <v>0</v>
      </c>
      <c r="X41" s="579">
        <f t="shared" si="0"/>
        <v>0</v>
      </c>
      <c r="Y41" s="538">
        <f>PROFORMA!Y50</f>
        <v>0</v>
      </c>
      <c r="Z41" s="538">
        <f>PROFORMA!Z50</f>
        <v>0</v>
      </c>
      <c r="AA41" s="538">
        <f>PROFORMA!AA50</f>
        <v>0</v>
      </c>
      <c r="AB41" s="538">
        <f>PROFORMA!AB50</f>
        <v>0</v>
      </c>
      <c r="AC41" s="538">
        <f>PROFORMA!AC50</f>
        <v>0</v>
      </c>
      <c r="AD41" s="538">
        <f>PROFORMA!AD50</f>
        <v>0</v>
      </c>
      <c r="AE41" s="538">
        <f>PROFORMA!AE50</f>
        <v>0</v>
      </c>
      <c r="AF41" s="538">
        <f>PROFORMA!AG50</f>
        <v>0</v>
      </c>
      <c r="AG41" s="538">
        <f>PROFORMA!AH50</f>
        <v>0</v>
      </c>
      <c r="AH41" s="538">
        <f>PROFORMA!AI50</f>
        <v>0</v>
      </c>
      <c r="AI41" s="538">
        <f>PROFORMA!AJ50</f>
        <v>0</v>
      </c>
      <c r="AJ41" s="538">
        <f>PROFORMA!AK50</f>
        <v>0</v>
      </c>
      <c r="AK41" s="538">
        <f>PROFORMA!AL50</f>
        <v>0</v>
      </c>
      <c r="AL41" s="538">
        <f>PROFORMA!AM50</f>
        <v>0</v>
      </c>
      <c r="AM41" s="538">
        <f>PROFORMA!AN50</f>
        <v>0</v>
      </c>
      <c r="AN41" s="538">
        <f>PROFORMA!AO50</f>
        <v>0</v>
      </c>
      <c r="AO41" s="538">
        <f>PROFORMA!AP50</f>
        <v>0</v>
      </c>
      <c r="AP41" s="538">
        <f>PROFORMA!AQ50</f>
        <v>0</v>
      </c>
      <c r="AQ41" s="538">
        <f>PROFORMA!AR50</f>
        <v>0</v>
      </c>
      <c r="AR41" s="538">
        <f>PROFORMA!AS50</f>
        <v>0</v>
      </c>
      <c r="AS41" s="538">
        <f>PROFORMA!AT50</f>
        <v>0</v>
      </c>
      <c r="AT41" s="582">
        <f t="shared" si="50"/>
        <v>0</v>
      </c>
      <c r="AU41" s="532">
        <f t="shared" si="51"/>
        <v>0</v>
      </c>
      <c r="AV41" s="532">
        <f t="shared" si="52"/>
        <v>0</v>
      </c>
      <c r="AW41" s="532"/>
      <c r="AX41" s="532">
        <f t="shared" si="1"/>
        <v>0</v>
      </c>
    </row>
    <row r="42" spans="1:50">
      <c r="A42" s="529">
        <v>40</v>
      </c>
      <c r="B42" s="795"/>
      <c r="C42" s="521" t="s">
        <v>292</v>
      </c>
      <c r="D42" s="545">
        <v>834</v>
      </c>
      <c r="E42" s="538">
        <f>PROFORMA!F51</f>
        <v>0</v>
      </c>
      <c r="F42" s="538">
        <f>PROFORMA!G51</f>
        <v>0</v>
      </c>
      <c r="G42" s="538">
        <f>PROFORMA!H51</f>
        <v>0</v>
      </c>
      <c r="H42" s="538">
        <f>PROFORMA!I51</f>
        <v>0</v>
      </c>
      <c r="I42" s="538">
        <f>PROFORMA!J51</f>
        <v>0</v>
      </c>
      <c r="J42" s="538">
        <f>PROFORMA!K51</f>
        <v>0</v>
      </c>
      <c r="K42" s="538">
        <f>PROFORMA!L51</f>
        <v>0</v>
      </c>
      <c r="L42" s="538">
        <f>PROFORMA!M51</f>
        <v>0</v>
      </c>
      <c r="M42" s="538">
        <f>PROFORMA!N51</f>
        <v>0</v>
      </c>
      <c r="N42" s="538">
        <f>PROFORMA!O51</f>
        <v>0</v>
      </c>
      <c r="O42" s="538">
        <f>PROFORMA!P51</f>
        <v>0</v>
      </c>
      <c r="P42" s="538">
        <f>PROFORMA!Q51</f>
        <v>0</v>
      </c>
      <c r="Q42" s="538">
        <f>PROFORMA!R51</f>
        <v>0</v>
      </c>
      <c r="R42" s="538">
        <f>PROFORMA!S51</f>
        <v>0</v>
      </c>
      <c r="S42" s="538">
        <f>PROFORMA!T51</f>
        <v>0</v>
      </c>
      <c r="T42" s="538">
        <f>PROFORMA!U51</f>
        <v>0</v>
      </c>
      <c r="U42" s="538">
        <f>PROFORMA!V51</f>
        <v>0</v>
      </c>
      <c r="V42" s="538">
        <f>PROFORMA!W51</f>
        <v>0</v>
      </c>
      <c r="W42" s="538">
        <f>PROFORMA!X51</f>
        <v>0</v>
      </c>
      <c r="X42" s="579">
        <f t="shared" si="0"/>
        <v>0</v>
      </c>
      <c r="Y42" s="538">
        <f>PROFORMA!Y51</f>
        <v>0</v>
      </c>
      <c r="Z42" s="538">
        <f>PROFORMA!Z51</f>
        <v>0</v>
      </c>
      <c r="AA42" s="538">
        <f>PROFORMA!AA51</f>
        <v>0</v>
      </c>
      <c r="AB42" s="538">
        <f>PROFORMA!AB51</f>
        <v>0</v>
      </c>
      <c r="AC42" s="538">
        <f>PROFORMA!AC51</f>
        <v>0</v>
      </c>
      <c r="AD42" s="538">
        <f>PROFORMA!AD51</f>
        <v>0</v>
      </c>
      <c r="AE42" s="538">
        <f>PROFORMA!AE51</f>
        <v>0</v>
      </c>
      <c r="AF42" s="538">
        <f>PROFORMA!AG51</f>
        <v>0</v>
      </c>
      <c r="AG42" s="538">
        <f>PROFORMA!AH51</f>
        <v>0</v>
      </c>
      <c r="AH42" s="538">
        <f>PROFORMA!AI51</f>
        <v>0</v>
      </c>
      <c r="AI42" s="538">
        <f>PROFORMA!AJ51</f>
        <v>0</v>
      </c>
      <c r="AJ42" s="538">
        <f>PROFORMA!AK51</f>
        <v>0</v>
      </c>
      <c r="AK42" s="538">
        <f>PROFORMA!AL51</f>
        <v>0</v>
      </c>
      <c r="AL42" s="538">
        <f>PROFORMA!AM51</f>
        <v>0</v>
      </c>
      <c r="AM42" s="538">
        <f>PROFORMA!AN51</f>
        <v>0</v>
      </c>
      <c r="AN42" s="538">
        <f>PROFORMA!AO51</f>
        <v>0</v>
      </c>
      <c r="AO42" s="538">
        <f>PROFORMA!AP51</f>
        <v>0</v>
      </c>
      <c r="AP42" s="538">
        <f>PROFORMA!AQ51</f>
        <v>0</v>
      </c>
      <c r="AQ42" s="538">
        <f>PROFORMA!AR51</f>
        <v>0</v>
      </c>
      <c r="AR42" s="538">
        <f>PROFORMA!AS51</f>
        <v>0</v>
      </c>
      <c r="AS42" s="538">
        <f>PROFORMA!AT51</f>
        <v>0</v>
      </c>
      <c r="AT42" s="582">
        <f t="shared" si="50"/>
        <v>0</v>
      </c>
      <c r="AU42" s="532">
        <f t="shared" si="51"/>
        <v>0</v>
      </c>
      <c r="AV42" s="532">
        <f t="shared" si="52"/>
        <v>0</v>
      </c>
      <c r="AW42" s="532"/>
      <c r="AX42" s="532">
        <f t="shared" si="1"/>
        <v>0</v>
      </c>
    </row>
    <row r="43" spans="1:50">
      <c r="A43" s="529">
        <v>41</v>
      </c>
      <c r="B43" s="795"/>
      <c r="C43" s="521" t="s">
        <v>293</v>
      </c>
      <c r="D43" s="545">
        <v>835</v>
      </c>
      <c r="E43" s="538">
        <f>PROFORMA!F52</f>
        <v>0</v>
      </c>
      <c r="F43" s="538">
        <f>PROFORMA!G52</f>
        <v>0</v>
      </c>
      <c r="G43" s="538">
        <f>PROFORMA!H52</f>
        <v>0</v>
      </c>
      <c r="H43" s="538">
        <f>PROFORMA!I52</f>
        <v>0</v>
      </c>
      <c r="I43" s="538">
        <f>PROFORMA!J52</f>
        <v>0</v>
      </c>
      <c r="J43" s="538">
        <f>PROFORMA!K52</f>
        <v>0</v>
      </c>
      <c r="K43" s="538">
        <f>PROFORMA!L52</f>
        <v>0</v>
      </c>
      <c r="L43" s="538">
        <f>PROFORMA!M52</f>
        <v>0</v>
      </c>
      <c r="M43" s="538">
        <f>PROFORMA!N52</f>
        <v>0</v>
      </c>
      <c r="N43" s="538">
        <f>PROFORMA!O52</f>
        <v>0</v>
      </c>
      <c r="O43" s="538">
        <f>PROFORMA!P52</f>
        <v>0</v>
      </c>
      <c r="P43" s="538">
        <f>PROFORMA!Q52</f>
        <v>0</v>
      </c>
      <c r="Q43" s="538">
        <f>PROFORMA!R52</f>
        <v>0</v>
      </c>
      <c r="R43" s="538">
        <f>PROFORMA!S52</f>
        <v>0</v>
      </c>
      <c r="S43" s="538">
        <f>PROFORMA!T52</f>
        <v>0</v>
      </c>
      <c r="T43" s="538">
        <f>PROFORMA!U52</f>
        <v>0</v>
      </c>
      <c r="U43" s="538">
        <f>PROFORMA!V52</f>
        <v>0</v>
      </c>
      <c r="V43" s="538">
        <f>PROFORMA!W52</f>
        <v>0</v>
      </c>
      <c r="W43" s="538">
        <f>PROFORMA!X52</f>
        <v>0</v>
      </c>
      <c r="X43" s="579">
        <f t="shared" si="0"/>
        <v>0</v>
      </c>
      <c r="Y43" s="538">
        <f>PROFORMA!Y52</f>
        <v>0</v>
      </c>
      <c r="Z43" s="538">
        <f>PROFORMA!Z52</f>
        <v>0</v>
      </c>
      <c r="AA43" s="538">
        <f>PROFORMA!AA52</f>
        <v>0</v>
      </c>
      <c r="AB43" s="538">
        <f>PROFORMA!AB52</f>
        <v>0</v>
      </c>
      <c r="AC43" s="538">
        <f>PROFORMA!AC52</f>
        <v>0</v>
      </c>
      <c r="AD43" s="538">
        <f>PROFORMA!AD52</f>
        <v>0</v>
      </c>
      <c r="AE43" s="538">
        <f>PROFORMA!AE52</f>
        <v>0</v>
      </c>
      <c r="AF43" s="538">
        <f>PROFORMA!AG52</f>
        <v>0</v>
      </c>
      <c r="AG43" s="538">
        <f>PROFORMA!AH52</f>
        <v>0</v>
      </c>
      <c r="AH43" s="538">
        <f>PROFORMA!AI52</f>
        <v>0</v>
      </c>
      <c r="AI43" s="538">
        <f>PROFORMA!AJ52</f>
        <v>0</v>
      </c>
      <c r="AJ43" s="538">
        <f>PROFORMA!AK52</f>
        <v>0</v>
      </c>
      <c r="AK43" s="538">
        <f>PROFORMA!AL52</f>
        <v>0</v>
      </c>
      <c r="AL43" s="538">
        <f>PROFORMA!AM52</f>
        <v>0</v>
      </c>
      <c r="AM43" s="538">
        <f>PROFORMA!AN52</f>
        <v>0</v>
      </c>
      <c r="AN43" s="538">
        <f>PROFORMA!AO52</f>
        <v>0</v>
      </c>
      <c r="AO43" s="538">
        <f>PROFORMA!AP52</f>
        <v>0</v>
      </c>
      <c r="AP43" s="538">
        <f>PROFORMA!AQ52</f>
        <v>0</v>
      </c>
      <c r="AQ43" s="538">
        <f>PROFORMA!AR52</f>
        <v>0</v>
      </c>
      <c r="AR43" s="538">
        <f>PROFORMA!AS52</f>
        <v>0</v>
      </c>
      <c r="AS43" s="538">
        <f>PROFORMA!AT52</f>
        <v>0</v>
      </c>
      <c r="AT43" s="582">
        <f t="shared" si="50"/>
        <v>0</v>
      </c>
      <c r="AU43" s="532">
        <f t="shared" si="51"/>
        <v>0</v>
      </c>
      <c r="AV43" s="532">
        <f t="shared" si="52"/>
        <v>0</v>
      </c>
      <c r="AW43" s="532"/>
      <c r="AX43" s="532">
        <f t="shared" si="1"/>
        <v>0</v>
      </c>
    </row>
    <row r="44" spans="1:50" ht="31.5">
      <c r="A44" s="529">
        <v>42</v>
      </c>
      <c r="B44" s="795"/>
      <c r="C44" s="521" t="s">
        <v>317</v>
      </c>
      <c r="D44" s="545">
        <v>836</v>
      </c>
      <c r="E44" s="538">
        <f>PROFORMA!F53</f>
        <v>0</v>
      </c>
      <c r="F44" s="538">
        <f>PROFORMA!G53</f>
        <v>0</v>
      </c>
      <c r="G44" s="538">
        <f>PROFORMA!H53</f>
        <v>0</v>
      </c>
      <c r="H44" s="538">
        <f>PROFORMA!I53</f>
        <v>0</v>
      </c>
      <c r="I44" s="538">
        <f>PROFORMA!J53</f>
        <v>0</v>
      </c>
      <c r="J44" s="538">
        <f>PROFORMA!K53</f>
        <v>0</v>
      </c>
      <c r="K44" s="538">
        <f>PROFORMA!L53</f>
        <v>0</v>
      </c>
      <c r="L44" s="538">
        <f>PROFORMA!M53</f>
        <v>0</v>
      </c>
      <c r="M44" s="538">
        <f>PROFORMA!N53</f>
        <v>0</v>
      </c>
      <c r="N44" s="538">
        <f>PROFORMA!O53</f>
        <v>0</v>
      </c>
      <c r="O44" s="538">
        <f>PROFORMA!P53</f>
        <v>0</v>
      </c>
      <c r="P44" s="538">
        <f>PROFORMA!Q53</f>
        <v>0</v>
      </c>
      <c r="Q44" s="538">
        <f>PROFORMA!R53</f>
        <v>0</v>
      </c>
      <c r="R44" s="538">
        <f>PROFORMA!S53</f>
        <v>0</v>
      </c>
      <c r="S44" s="538">
        <f>PROFORMA!T53</f>
        <v>0</v>
      </c>
      <c r="T44" s="538">
        <f>PROFORMA!U53</f>
        <v>0</v>
      </c>
      <c r="U44" s="538">
        <f>PROFORMA!V53</f>
        <v>0</v>
      </c>
      <c r="V44" s="538">
        <f>PROFORMA!W53</f>
        <v>0</v>
      </c>
      <c r="W44" s="538">
        <f>PROFORMA!X53</f>
        <v>0</v>
      </c>
      <c r="X44" s="579">
        <f t="shared" si="0"/>
        <v>0</v>
      </c>
      <c r="Y44" s="538">
        <f>PROFORMA!Y53</f>
        <v>0</v>
      </c>
      <c r="Z44" s="538">
        <f>PROFORMA!Z53</f>
        <v>0</v>
      </c>
      <c r="AA44" s="538">
        <f>PROFORMA!AA53</f>
        <v>0</v>
      </c>
      <c r="AB44" s="538">
        <f>PROFORMA!AB53</f>
        <v>0</v>
      </c>
      <c r="AC44" s="538">
        <f>PROFORMA!AC53</f>
        <v>0</v>
      </c>
      <c r="AD44" s="538">
        <f>PROFORMA!AD53</f>
        <v>0</v>
      </c>
      <c r="AE44" s="538">
        <f>PROFORMA!AE53</f>
        <v>0</v>
      </c>
      <c r="AF44" s="538">
        <f>PROFORMA!AG53</f>
        <v>0</v>
      </c>
      <c r="AG44" s="538">
        <f>PROFORMA!AH53</f>
        <v>0</v>
      </c>
      <c r="AH44" s="538">
        <f>PROFORMA!AI53</f>
        <v>0</v>
      </c>
      <c r="AI44" s="538">
        <f>PROFORMA!AJ53</f>
        <v>0</v>
      </c>
      <c r="AJ44" s="538">
        <f>PROFORMA!AK53</f>
        <v>0</v>
      </c>
      <c r="AK44" s="538">
        <f>PROFORMA!AL53</f>
        <v>0</v>
      </c>
      <c r="AL44" s="538">
        <f>PROFORMA!AM53</f>
        <v>0</v>
      </c>
      <c r="AM44" s="538">
        <f>PROFORMA!AN53</f>
        <v>0</v>
      </c>
      <c r="AN44" s="538">
        <f>PROFORMA!AO53</f>
        <v>0</v>
      </c>
      <c r="AO44" s="538">
        <f>PROFORMA!AP53</f>
        <v>0</v>
      </c>
      <c r="AP44" s="538">
        <f>PROFORMA!AQ53</f>
        <v>0</v>
      </c>
      <c r="AQ44" s="538">
        <f>PROFORMA!AR53</f>
        <v>0</v>
      </c>
      <c r="AR44" s="538">
        <f>PROFORMA!AS53</f>
        <v>0</v>
      </c>
      <c r="AS44" s="538">
        <f>PROFORMA!AT53</f>
        <v>0</v>
      </c>
      <c r="AT44" s="582">
        <f t="shared" si="50"/>
        <v>0</v>
      </c>
      <c r="AU44" s="532">
        <f t="shared" si="51"/>
        <v>0</v>
      </c>
      <c r="AV44" s="532">
        <f t="shared" si="52"/>
        <v>0</v>
      </c>
      <c r="AW44" s="532"/>
      <c r="AX44" s="532">
        <f t="shared" si="1"/>
        <v>0</v>
      </c>
    </row>
    <row r="45" spans="1:50">
      <c r="A45" s="529">
        <v>43</v>
      </c>
      <c r="B45" s="795"/>
      <c r="C45" s="521" t="s">
        <v>242</v>
      </c>
      <c r="D45" s="545">
        <v>837</v>
      </c>
      <c r="E45" s="574">
        <f>PROFORMA!F54</f>
        <v>1492000</v>
      </c>
      <c r="F45" s="574">
        <f>PROFORMA!G54</f>
        <v>0</v>
      </c>
      <c r="G45" s="574">
        <f>PROFORMA!H54</f>
        <v>0</v>
      </c>
      <c r="H45" s="574">
        <f>PROFORMA!I54</f>
        <v>0</v>
      </c>
      <c r="I45" s="574">
        <f>PROFORMA!J54</f>
        <v>0</v>
      </c>
      <c r="J45" s="574">
        <f>PROFORMA!K54</f>
        <v>0</v>
      </c>
      <c r="K45" s="574">
        <f>PROFORMA!L54</f>
        <v>0</v>
      </c>
      <c r="L45" s="574">
        <f>PROFORMA!M54</f>
        <v>0</v>
      </c>
      <c r="M45" s="574">
        <f>PROFORMA!N54</f>
        <v>0</v>
      </c>
      <c r="N45" s="574">
        <f>PROFORMA!O54</f>
        <v>0</v>
      </c>
      <c r="O45" s="574">
        <f>PROFORMA!P54</f>
        <v>0</v>
      </c>
      <c r="P45" s="574">
        <f>PROFORMA!Q54</f>
        <v>0</v>
      </c>
      <c r="Q45" s="574">
        <f>PROFORMA!R54</f>
        <v>0</v>
      </c>
      <c r="R45" s="574">
        <f>PROFORMA!S54</f>
        <v>0</v>
      </c>
      <c r="S45" s="574">
        <f>PROFORMA!T54</f>
        <v>0</v>
      </c>
      <c r="T45" s="574">
        <f>PROFORMA!U54</f>
        <v>0</v>
      </c>
      <c r="U45" s="574">
        <f>PROFORMA!V54</f>
        <v>0</v>
      </c>
      <c r="V45" s="574">
        <f>PROFORMA!W54</f>
        <v>0</v>
      </c>
      <c r="W45" s="574">
        <f>PROFORMA!X54</f>
        <v>0</v>
      </c>
      <c r="X45" s="580">
        <f t="shared" si="0"/>
        <v>0</v>
      </c>
      <c r="Y45" s="574">
        <f>PROFORMA!Y54</f>
        <v>0</v>
      </c>
      <c r="Z45" s="574">
        <f>PROFORMA!Z54</f>
        <v>0</v>
      </c>
      <c r="AA45" s="574">
        <f>PROFORMA!AA54</f>
        <v>0</v>
      </c>
      <c r="AB45" s="574">
        <f>PROFORMA!AB54</f>
        <v>0</v>
      </c>
      <c r="AC45" s="574">
        <f>PROFORMA!AC54</f>
        <v>0</v>
      </c>
      <c r="AD45" s="574">
        <f>PROFORMA!AD54</f>
        <v>0</v>
      </c>
      <c r="AE45" s="574">
        <f>PROFORMA!AE54</f>
        <v>0</v>
      </c>
      <c r="AF45" s="574">
        <f>PROFORMA!AG54</f>
        <v>0</v>
      </c>
      <c r="AG45" s="574">
        <f>PROFORMA!AH54</f>
        <v>0</v>
      </c>
      <c r="AH45" s="574">
        <f>PROFORMA!AI54</f>
        <v>0</v>
      </c>
      <c r="AI45" s="574">
        <f>PROFORMA!AJ54</f>
        <v>0</v>
      </c>
      <c r="AJ45" s="574">
        <f>PROFORMA!AK54</f>
        <v>0</v>
      </c>
      <c r="AK45" s="574">
        <f>PROFORMA!AL54</f>
        <v>236000</v>
      </c>
      <c r="AL45" s="574">
        <f>PROFORMA!AM54</f>
        <v>0</v>
      </c>
      <c r="AM45" s="574">
        <f>PROFORMA!AN54</f>
        <v>0</v>
      </c>
      <c r="AN45" s="574">
        <f>PROFORMA!AO54</f>
        <v>0</v>
      </c>
      <c r="AO45" s="574">
        <f>PROFORMA!AP54</f>
        <v>0</v>
      </c>
      <c r="AP45" s="574">
        <f>PROFORMA!AQ54</f>
        <v>0</v>
      </c>
      <c r="AQ45" s="574">
        <f>PROFORMA!AR54</f>
        <v>0</v>
      </c>
      <c r="AR45" s="574">
        <f>PROFORMA!AS54</f>
        <v>0</v>
      </c>
      <c r="AS45" s="574">
        <f>PROFORMA!AT54</f>
        <v>0</v>
      </c>
      <c r="AT45" s="583">
        <f t="shared" si="50"/>
        <v>236000</v>
      </c>
      <c r="AU45" s="581">
        <f t="shared" si="51"/>
        <v>236000</v>
      </c>
      <c r="AV45" s="581">
        <f t="shared" si="52"/>
        <v>1728000</v>
      </c>
      <c r="AW45" s="581"/>
      <c r="AX45" s="581">
        <f t="shared" si="1"/>
        <v>1728000</v>
      </c>
    </row>
    <row r="46" spans="1:50">
      <c r="A46" s="529">
        <v>44</v>
      </c>
      <c r="B46" s="795"/>
      <c r="C46" s="554" t="s">
        <v>1084</v>
      </c>
      <c r="D46" s="555"/>
      <c r="E46" s="576">
        <f>SUM(E38:E45)</f>
        <v>1492000</v>
      </c>
      <c r="F46" s="576">
        <f t="shared" ref="F46" si="53">SUM(F38:F45)</f>
        <v>0</v>
      </c>
      <c r="G46" s="576">
        <f t="shared" ref="G46:W46" si="54">SUM(G38:G45)</f>
        <v>0</v>
      </c>
      <c r="H46" s="576">
        <f t="shared" si="54"/>
        <v>0</v>
      </c>
      <c r="I46" s="576">
        <f t="shared" si="54"/>
        <v>0</v>
      </c>
      <c r="J46" s="576">
        <f t="shared" si="54"/>
        <v>0</v>
      </c>
      <c r="K46" s="576">
        <f t="shared" si="54"/>
        <v>0</v>
      </c>
      <c r="L46" s="576">
        <f t="shared" si="54"/>
        <v>0</v>
      </c>
      <c r="M46" s="576">
        <f t="shared" si="54"/>
        <v>0</v>
      </c>
      <c r="N46" s="576">
        <f t="shared" si="54"/>
        <v>0</v>
      </c>
      <c r="O46" s="576">
        <f t="shared" si="54"/>
        <v>0</v>
      </c>
      <c r="P46" s="576">
        <f t="shared" si="54"/>
        <v>0</v>
      </c>
      <c r="Q46" s="576">
        <f t="shared" si="54"/>
        <v>0</v>
      </c>
      <c r="R46" s="576">
        <f t="shared" si="54"/>
        <v>0</v>
      </c>
      <c r="S46" s="576">
        <f t="shared" si="54"/>
        <v>0</v>
      </c>
      <c r="T46" s="576">
        <f t="shared" si="54"/>
        <v>0</v>
      </c>
      <c r="U46" s="576">
        <f t="shared" si="54"/>
        <v>0</v>
      </c>
      <c r="V46" s="576">
        <f t="shared" si="54"/>
        <v>0</v>
      </c>
      <c r="W46" s="576">
        <f t="shared" si="54"/>
        <v>0</v>
      </c>
      <c r="X46" s="580">
        <f t="shared" si="0"/>
        <v>0</v>
      </c>
      <c r="Y46" s="576">
        <f t="shared" ref="Y46:AX46" si="55">SUM(Y38:Y45)</f>
        <v>0</v>
      </c>
      <c r="Z46" s="576">
        <f t="shared" ref="Z46:AF46" si="56">SUM(Z38:Z45)</f>
        <v>0</v>
      </c>
      <c r="AA46" s="576">
        <f t="shared" si="56"/>
        <v>0</v>
      </c>
      <c r="AB46" s="576">
        <f t="shared" si="56"/>
        <v>0</v>
      </c>
      <c r="AC46" s="576">
        <f t="shared" si="56"/>
        <v>0</v>
      </c>
      <c r="AD46" s="576">
        <f t="shared" si="56"/>
        <v>0</v>
      </c>
      <c r="AE46" s="576">
        <f t="shared" si="56"/>
        <v>0</v>
      </c>
      <c r="AF46" s="576">
        <f t="shared" si="56"/>
        <v>0</v>
      </c>
      <c r="AG46" s="576">
        <f t="shared" ref="AG46:AQ46" si="57">SUM(AG38:AG45)</f>
        <v>0</v>
      </c>
      <c r="AH46" s="576">
        <f t="shared" si="57"/>
        <v>0</v>
      </c>
      <c r="AI46" s="576">
        <f t="shared" si="57"/>
        <v>0</v>
      </c>
      <c r="AJ46" s="576">
        <f t="shared" si="57"/>
        <v>0</v>
      </c>
      <c r="AK46" s="576">
        <f t="shared" si="57"/>
        <v>236000</v>
      </c>
      <c r="AL46" s="576">
        <f t="shared" si="57"/>
        <v>0</v>
      </c>
      <c r="AM46" s="576">
        <f t="shared" si="57"/>
        <v>0</v>
      </c>
      <c r="AN46" s="576">
        <f t="shared" si="57"/>
        <v>0</v>
      </c>
      <c r="AO46" s="576">
        <f t="shared" si="57"/>
        <v>0</v>
      </c>
      <c r="AP46" s="576">
        <f t="shared" si="57"/>
        <v>0</v>
      </c>
      <c r="AQ46" s="576">
        <f t="shared" si="57"/>
        <v>0</v>
      </c>
      <c r="AR46" s="576">
        <f t="shared" ref="AR46:AS46" si="58">SUM(AR38:AR45)</f>
        <v>0</v>
      </c>
      <c r="AS46" s="576">
        <f t="shared" si="58"/>
        <v>0</v>
      </c>
      <c r="AT46" s="576">
        <f t="shared" si="55"/>
        <v>236000</v>
      </c>
      <c r="AU46" s="576">
        <f t="shared" si="55"/>
        <v>236000</v>
      </c>
      <c r="AV46" s="576">
        <f t="shared" si="55"/>
        <v>1728000</v>
      </c>
      <c r="AW46" s="576">
        <f t="shared" si="55"/>
        <v>0</v>
      </c>
      <c r="AX46" s="576">
        <f t="shared" si="55"/>
        <v>1728000</v>
      </c>
    </row>
    <row r="47" spans="1:50">
      <c r="A47" s="529">
        <v>45</v>
      </c>
      <c r="B47" s="500"/>
      <c r="C47" s="525" t="s">
        <v>319</v>
      </c>
      <c r="D47" s="525"/>
      <c r="E47" s="539">
        <f>E37+E46</f>
        <v>2063000</v>
      </c>
      <c r="F47" s="539">
        <f t="shared" ref="F47" si="59">F37+F46</f>
        <v>0</v>
      </c>
      <c r="G47" s="539">
        <f t="shared" ref="G47:W47" si="60">G37+G46</f>
        <v>0</v>
      </c>
      <c r="H47" s="539">
        <f t="shared" si="60"/>
        <v>0</v>
      </c>
      <c r="I47" s="539">
        <f t="shared" si="60"/>
        <v>0</v>
      </c>
      <c r="J47" s="539">
        <f t="shared" si="60"/>
        <v>0</v>
      </c>
      <c r="K47" s="539">
        <f t="shared" si="60"/>
        <v>0</v>
      </c>
      <c r="L47" s="539">
        <f t="shared" si="60"/>
        <v>0</v>
      </c>
      <c r="M47" s="539">
        <f t="shared" si="60"/>
        <v>0</v>
      </c>
      <c r="N47" s="539">
        <f t="shared" si="60"/>
        <v>0</v>
      </c>
      <c r="O47" s="539">
        <f t="shared" si="60"/>
        <v>0</v>
      </c>
      <c r="P47" s="539">
        <f t="shared" si="60"/>
        <v>0</v>
      </c>
      <c r="Q47" s="539">
        <f t="shared" si="60"/>
        <v>0</v>
      </c>
      <c r="R47" s="539">
        <f t="shared" si="60"/>
        <v>0</v>
      </c>
      <c r="S47" s="539">
        <f t="shared" si="60"/>
        <v>0</v>
      </c>
      <c r="T47" s="539">
        <f t="shared" si="60"/>
        <v>0</v>
      </c>
      <c r="U47" s="539">
        <f t="shared" si="60"/>
        <v>0</v>
      </c>
      <c r="V47" s="539">
        <f t="shared" si="60"/>
        <v>0</v>
      </c>
      <c r="W47" s="539">
        <f t="shared" si="60"/>
        <v>0</v>
      </c>
      <c r="X47" s="579">
        <f t="shared" si="0"/>
        <v>0</v>
      </c>
      <c r="Y47" s="539">
        <f t="shared" ref="Y47:AX47" si="61">Y37+Y46</f>
        <v>0</v>
      </c>
      <c r="Z47" s="539">
        <f t="shared" ref="Z47:AF47" si="62">Z37+Z46</f>
        <v>0</v>
      </c>
      <c r="AA47" s="539">
        <f t="shared" si="62"/>
        <v>0</v>
      </c>
      <c r="AB47" s="539">
        <f t="shared" si="62"/>
        <v>0</v>
      </c>
      <c r="AC47" s="539">
        <f t="shared" si="62"/>
        <v>0</v>
      </c>
      <c r="AD47" s="539">
        <f t="shared" si="62"/>
        <v>0</v>
      </c>
      <c r="AE47" s="539">
        <f t="shared" si="62"/>
        <v>0</v>
      </c>
      <c r="AF47" s="539">
        <f t="shared" si="62"/>
        <v>0</v>
      </c>
      <c r="AG47" s="539">
        <f t="shared" ref="AG47:AQ47" si="63">AG37+AG46</f>
        <v>0</v>
      </c>
      <c r="AH47" s="539">
        <f t="shared" si="63"/>
        <v>0</v>
      </c>
      <c r="AI47" s="539">
        <f t="shared" si="63"/>
        <v>0</v>
      </c>
      <c r="AJ47" s="539">
        <f t="shared" si="63"/>
        <v>0</v>
      </c>
      <c r="AK47" s="539">
        <f t="shared" si="63"/>
        <v>236000</v>
      </c>
      <c r="AL47" s="539">
        <f t="shared" si="63"/>
        <v>0</v>
      </c>
      <c r="AM47" s="539">
        <f t="shared" si="63"/>
        <v>0</v>
      </c>
      <c r="AN47" s="539">
        <f t="shared" si="63"/>
        <v>0</v>
      </c>
      <c r="AO47" s="539">
        <f t="shared" si="63"/>
        <v>0</v>
      </c>
      <c r="AP47" s="539">
        <f t="shared" si="63"/>
        <v>0</v>
      </c>
      <c r="AQ47" s="539">
        <f t="shared" si="63"/>
        <v>0</v>
      </c>
      <c r="AR47" s="539">
        <f t="shared" ref="AR47:AS47" si="64">AR37+AR46</f>
        <v>0</v>
      </c>
      <c r="AS47" s="539">
        <f t="shared" si="64"/>
        <v>0</v>
      </c>
      <c r="AT47" s="539">
        <f t="shared" si="61"/>
        <v>236000</v>
      </c>
      <c r="AU47" s="539">
        <f t="shared" si="61"/>
        <v>236000</v>
      </c>
      <c r="AV47" s="539">
        <f t="shared" si="61"/>
        <v>2299000</v>
      </c>
      <c r="AW47" s="539">
        <f t="shared" si="61"/>
        <v>0</v>
      </c>
      <c r="AX47" s="539">
        <f t="shared" si="61"/>
        <v>2299000</v>
      </c>
    </row>
    <row r="48" spans="1:50">
      <c r="A48" s="529">
        <v>46</v>
      </c>
      <c r="B48" s="500"/>
      <c r="C48" s="556" t="s">
        <v>1</v>
      </c>
      <c r="D48" s="502">
        <v>870</v>
      </c>
      <c r="E48" s="538">
        <f>PROFORMA!F70</f>
        <v>1610000</v>
      </c>
      <c r="F48" s="538">
        <f>PROFORMA!G70</f>
        <v>0</v>
      </c>
      <c r="G48" s="538">
        <f>PROFORMA!H70</f>
        <v>0</v>
      </c>
      <c r="H48" s="538">
        <f>PROFORMA!I70</f>
        <v>0</v>
      </c>
      <c r="I48" s="538">
        <f>PROFORMA!J70</f>
        <v>0</v>
      </c>
      <c r="J48" s="538">
        <f>PROFORMA!K70</f>
        <v>0</v>
      </c>
      <c r="K48" s="538">
        <f>PROFORMA!L70</f>
        <v>0</v>
      </c>
      <c r="L48" s="538">
        <f>PROFORMA!M70</f>
        <v>0</v>
      </c>
      <c r="M48" s="538">
        <f>PROFORMA!N70</f>
        <v>0</v>
      </c>
      <c r="N48" s="538">
        <f>PROFORMA!O70</f>
        <v>0</v>
      </c>
      <c r="O48" s="538">
        <f>PROFORMA!P70</f>
        <v>0</v>
      </c>
      <c r="P48" s="538">
        <f>PROFORMA!Q70</f>
        <v>0</v>
      </c>
      <c r="Q48" s="538">
        <f>PROFORMA!R70</f>
        <v>0</v>
      </c>
      <c r="R48" s="538">
        <f>PROFORMA!S70</f>
        <v>0</v>
      </c>
      <c r="S48" s="538">
        <f>PROFORMA!T70</f>
        <v>0</v>
      </c>
      <c r="T48" s="538">
        <f>PROFORMA!U70</f>
        <v>0</v>
      </c>
      <c r="U48" s="538">
        <f>PROFORMA!V70</f>
        <v>0</v>
      </c>
      <c r="V48" s="538">
        <f>PROFORMA!W70</f>
        <v>0</v>
      </c>
      <c r="W48" s="538">
        <f>PROFORMA!X70</f>
        <v>0</v>
      </c>
      <c r="X48" s="579">
        <f t="shared" si="0"/>
        <v>0</v>
      </c>
      <c r="Y48" s="538">
        <f>PROFORMA!Y70</f>
        <v>0</v>
      </c>
      <c r="Z48" s="538">
        <f>PROFORMA!Z70</f>
        <v>0</v>
      </c>
      <c r="AA48" s="538">
        <f>PROFORMA!AA70</f>
        <v>0</v>
      </c>
      <c r="AB48" s="538">
        <f>PROFORMA!AB70</f>
        <v>0</v>
      </c>
      <c r="AC48" s="538">
        <f>PROFORMA!AC70</f>
        <v>102000</v>
      </c>
      <c r="AD48" s="538">
        <f>PROFORMA!AD70</f>
        <v>0</v>
      </c>
      <c r="AE48" s="538">
        <f>PROFORMA!AE70</f>
        <v>2000</v>
      </c>
      <c r="AF48" s="538">
        <f>PROFORMA!AG70</f>
        <v>0</v>
      </c>
      <c r="AG48" s="538">
        <f>PROFORMA!AH70</f>
        <v>0</v>
      </c>
      <c r="AH48" s="538">
        <f>PROFORMA!AI70</f>
        <v>0</v>
      </c>
      <c r="AI48" s="538">
        <f>PROFORMA!AJ70</f>
        <v>0</v>
      </c>
      <c r="AJ48" s="538">
        <f>PROFORMA!AK70</f>
        <v>0</v>
      </c>
      <c r="AK48" s="538">
        <f>PROFORMA!AL70</f>
        <v>72000</v>
      </c>
      <c r="AL48" s="538">
        <f>PROFORMA!AM70</f>
        <v>0</v>
      </c>
      <c r="AM48" s="538">
        <f>PROFORMA!AN70</f>
        <v>0</v>
      </c>
      <c r="AN48" s="538">
        <f>PROFORMA!AO70</f>
        <v>0</v>
      </c>
      <c r="AO48" s="538">
        <f>PROFORMA!AP70</f>
        <v>0</v>
      </c>
      <c r="AP48" s="538">
        <f>PROFORMA!AQ70</f>
        <v>0</v>
      </c>
      <c r="AQ48" s="538">
        <f>PROFORMA!AR70</f>
        <v>0</v>
      </c>
      <c r="AR48" s="538">
        <f>PROFORMA!AS70</f>
        <v>0</v>
      </c>
      <c r="AS48" s="538">
        <f>PROFORMA!AT70</f>
        <v>-24000</v>
      </c>
      <c r="AT48" s="582">
        <f t="shared" ref="AT48:AT58" si="65">SUM(Y48:AS48)</f>
        <v>152000</v>
      </c>
      <c r="AU48" s="532">
        <f t="shared" ref="AU48:AU58" si="66">X48+AT48</f>
        <v>152000</v>
      </c>
      <c r="AV48" s="532">
        <f t="shared" ref="AV48:AV58" si="67">E48+AU48</f>
        <v>1762000</v>
      </c>
      <c r="AW48" s="532"/>
      <c r="AX48" s="532">
        <f t="shared" si="1"/>
        <v>1762000</v>
      </c>
    </row>
    <row r="49" spans="1:50">
      <c r="A49" s="529">
        <v>47</v>
      </c>
      <c r="B49" s="795" t="s">
        <v>1159</v>
      </c>
      <c r="C49" s="521" t="s">
        <v>330</v>
      </c>
      <c r="D49" s="545">
        <v>871</v>
      </c>
      <c r="E49" s="538">
        <f>PROFORMA!F71</f>
        <v>0</v>
      </c>
      <c r="F49" s="538">
        <f>PROFORMA!G71</f>
        <v>0</v>
      </c>
      <c r="G49" s="538">
        <f>PROFORMA!H71</f>
        <v>0</v>
      </c>
      <c r="H49" s="538">
        <f>PROFORMA!I71</f>
        <v>0</v>
      </c>
      <c r="I49" s="538">
        <f>PROFORMA!J71</f>
        <v>0</v>
      </c>
      <c r="J49" s="538">
        <f>PROFORMA!K71</f>
        <v>0</v>
      </c>
      <c r="K49" s="538">
        <f>PROFORMA!L71</f>
        <v>0</v>
      </c>
      <c r="L49" s="538">
        <f>PROFORMA!M71</f>
        <v>0</v>
      </c>
      <c r="M49" s="538">
        <f>PROFORMA!N71</f>
        <v>0</v>
      </c>
      <c r="N49" s="538">
        <f>PROFORMA!O71</f>
        <v>0</v>
      </c>
      <c r="O49" s="538">
        <f>PROFORMA!P71</f>
        <v>0</v>
      </c>
      <c r="P49" s="538">
        <f>PROFORMA!Q71</f>
        <v>0</v>
      </c>
      <c r="Q49" s="538">
        <f>PROFORMA!R71</f>
        <v>0</v>
      </c>
      <c r="R49" s="538">
        <f>PROFORMA!S71</f>
        <v>0</v>
      </c>
      <c r="S49" s="538">
        <f>PROFORMA!T71</f>
        <v>0</v>
      </c>
      <c r="T49" s="538">
        <f>PROFORMA!U71</f>
        <v>0</v>
      </c>
      <c r="U49" s="538">
        <f>PROFORMA!V71</f>
        <v>0</v>
      </c>
      <c r="V49" s="538">
        <f>PROFORMA!W71</f>
        <v>0</v>
      </c>
      <c r="W49" s="538">
        <f>PROFORMA!X71</f>
        <v>0</v>
      </c>
      <c r="X49" s="579">
        <f t="shared" si="0"/>
        <v>0</v>
      </c>
      <c r="Y49" s="538">
        <f>PROFORMA!Y71</f>
        <v>0</v>
      </c>
      <c r="Z49" s="538">
        <f>PROFORMA!Z71</f>
        <v>0</v>
      </c>
      <c r="AA49" s="538">
        <f>PROFORMA!AA71</f>
        <v>0</v>
      </c>
      <c r="AB49" s="538">
        <f>PROFORMA!AB71</f>
        <v>0</v>
      </c>
      <c r="AC49" s="538">
        <f>PROFORMA!AC71</f>
        <v>0</v>
      </c>
      <c r="AD49" s="538">
        <f>PROFORMA!AD71</f>
        <v>0</v>
      </c>
      <c r="AE49" s="538">
        <f>PROFORMA!AE71</f>
        <v>0</v>
      </c>
      <c r="AF49" s="538">
        <f>PROFORMA!AG71</f>
        <v>0</v>
      </c>
      <c r="AG49" s="538">
        <f>PROFORMA!AH71</f>
        <v>0</v>
      </c>
      <c r="AH49" s="538">
        <f>PROFORMA!AI71</f>
        <v>0</v>
      </c>
      <c r="AI49" s="538">
        <f>PROFORMA!AJ71</f>
        <v>0</v>
      </c>
      <c r="AJ49" s="538">
        <f>PROFORMA!AK71</f>
        <v>0</v>
      </c>
      <c r="AK49" s="538">
        <f>PROFORMA!AL71</f>
        <v>0</v>
      </c>
      <c r="AL49" s="538">
        <f>PROFORMA!AM71</f>
        <v>0</v>
      </c>
      <c r="AM49" s="538">
        <f>PROFORMA!AN71</f>
        <v>0</v>
      </c>
      <c r="AN49" s="538">
        <f>PROFORMA!AO71</f>
        <v>0</v>
      </c>
      <c r="AO49" s="538">
        <f>PROFORMA!AP71</f>
        <v>0</v>
      </c>
      <c r="AP49" s="538">
        <f>PROFORMA!AQ71</f>
        <v>0</v>
      </c>
      <c r="AQ49" s="538">
        <f>PROFORMA!AR71</f>
        <v>0</v>
      </c>
      <c r="AR49" s="538">
        <f>PROFORMA!AS71</f>
        <v>0</v>
      </c>
      <c r="AS49" s="538">
        <f>PROFORMA!AT71</f>
        <v>0</v>
      </c>
      <c r="AT49" s="582">
        <f t="shared" si="65"/>
        <v>0</v>
      </c>
      <c r="AU49" s="532">
        <f t="shared" si="66"/>
        <v>0</v>
      </c>
      <c r="AV49" s="532">
        <f t="shared" si="67"/>
        <v>0</v>
      </c>
      <c r="AW49" s="532"/>
      <c r="AX49" s="532">
        <f t="shared" si="1"/>
        <v>0</v>
      </c>
    </row>
    <row r="50" spans="1:50" ht="31.5">
      <c r="A50" s="529">
        <v>48</v>
      </c>
      <c r="B50" s="795"/>
      <c r="C50" s="521" t="s">
        <v>665</v>
      </c>
      <c r="D50" s="545">
        <v>872</v>
      </c>
      <c r="E50" s="538">
        <f>PROFORMA!F72</f>
        <v>0</v>
      </c>
      <c r="F50" s="538">
        <f>PROFORMA!G72</f>
        <v>0</v>
      </c>
      <c r="G50" s="538">
        <f>PROFORMA!H72</f>
        <v>0</v>
      </c>
      <c r="H50" s="538">
        <f>PROFORMA!I72</f>
        <v>0</v>
      </c>
      <c r="I50" s="538">
        <f>PROFORMA!J72</f>
        <v>0</v>
      </c>
      <c r="J50" s="538">
        <f>PROFORMA!K72</f>
        <v>0</v>
      </c>
      <c r="K50" s="538">
        <f>PROFORMA!L72</f>
        <v>0</v>
      </c>
      <c r="L50" s="538">
        <f>PROFORMA!M72</f>
        <v>0</v>
      </c>
      <c r="M50" s="538">
        <f>PROFORMA!N72</f>
        <v>0</v>
      </c>
      <c r="N50" s="538">
        <f>PROFORMA!O72</f>
        <v>0</v>
      </c>
      <c r="O50" s="538">
        <f>PROFORMA!P72</f>
        <v>0</v>
      </c>
      <c r="P50" s="538">
        <f>PROFORMA!Q72</f>
        <v>0</v>
      </c>
      <c r="Q50" s="538">
        <f>PROFORMA!R72</f>
        <v>0</v>
      </c>
      <c r="R50" s="538">
        <f>PROFORMA!S72</f>
        <v>0</v>
      </c>
      <c r="S50" s="538">
        <f>PROFORMA!T72</f>
        <v>0</v>
      </c>
      <c r="T50" s="538">
        <f>PROFORMA!U72</f>
        <v>0</v>
      </c>
      <c r="U50" s="538">
        <f>PROFORMA!V72</f>
        <v>0</v>
      </c>
      <c r="V50" s="538">
        <f>PROFORMA!W72</f>
        <v>0</v>
      </c>
      <c r="W50" s="538">
        <f>PROFORMA!X72</f>
        <v>0</v>
      </c>
      <c r="X50" s="579">
        <f t="shared" si="0"/>
        <v>0</v>
      </c>
      <c r="Y50" s="538">
        <f>PROFORMA!Y72</f>
        <v>0</v>
      </c>
      <c r="Z50" s="538">
        <f>PROFORMA!Z72</f>
        <v>0</v>
      </c>
      <c r="AA50" s="538">
        <f>PROFORMA!AA72</f>
        <v>0</v>
      </c>
      <c r="AB50" s="538">
        <f>PROFORMA!AB72</f>
        <v>0</v>
      </c>
      <c r="AC50" s="538">
        <f>PROFORMA!AC72</f>
        <v>0</v>
      </c>
      <c r="AD50" s="538">
        <f>PROFORMA!AD72</f>
        <v>0</v>
      </c>
      <c r="AE50" s="538">
        <f>PROFORMA!AE72</f>
        <v>0</v>
      </c>
      <c r="AF50" s="538">
        <f>PROFORMA!AG72</f>
        <v>0</v>
      </c>
      <c r="AG50" s="538">
        <f>PROFORMA!AH72</f>
        <v>0</v>
      </c>
      <c r="AH50" s="538">
        <f>PROFORMA!AI72</f>
        <v>0</v>
      </c>
      <c r="AI50" s="538">
        <f>PROFORMA!AJ72</f>
        <v>0</v>
      </c>
      <c r="AJ50" s="538">
        <f>PROFORMA!AK72</f>
        <v>0</v>
      </c>
      <c r="AK50" s="538">
        <f>PROFORMA!AL72</f>
        <v>0</v>
      </c>
      <c r="AL50" s="538">
        <f>PROFORMA!AM72</f>
        <v>0</v>
      </c>
      <c r="AM50" s="538">
        <f>PROFORMA!AN72</f>
        <v>0</v>
      </c>
      <c r="AN50" s="538">
        <f>PROFORMA!AO72</f>
        <v>0</v>
      </c>
      <c r="AO50" s="538">
        <f>PROFORMA!AP72</f>
        <v>0</v>
      </c>
      <c r="AP50" s="538">
        <f>PROFORMA!AQ72</f>
        <v>0</v>
      </c>
      <c r="AQ50" s="538">
        <f>PROFORMA!AR72</f>
        <v>0</v>
      </c>
      <c r="AR50" s="538">
        <f>PROFORMA!AS72</f>
        <v>0</v>
      </c>
      <c r="AS50" s="538">
        <f>PROFORMA!AT72</f>
        <v>0</v>
      </c>
      <c r="AT50" s="582">
        <f t="shared" si="65"/>
        <v>0</v>
      </c>
      <c r="AU50" s="532">
        <f t="shared" si="66"/>
        <v>0</v>
      </c>
      <c r="AV50" s="532">
        <f t="shared" si="67"/>
        <v>0</v>
      </c>
      <c r="AW50" s="532"/>
      <c r="AX50" s="532">
        <f t="shared" si="1"/>
        <v>0</v>
      </c>
    </row>
    <row r="51" spans="1:50">
      <c r="A51" s="529">
        <v>49</v>
      </c>
      <c r="B51" s="795"/>
      <c r="C51" s="521" t="s">
        <v>331</v>
      </c>
      <c r="D51" s="545">
        <v>874</v>
      </c>
      <c r="E51" s="538">
        <f>PROFORMA!F73</f>
        <v>3230000</v>
      </c>
      <c r="F51" s="538">
        <f>PROFORMA!G73</f>
        <v>0</v>
      </c>
      <c r="G51" s="538">
        <f>PROFORMA!H73</f>
        <v>0</v>
      </c>
      <c r="H51" s="538">
        <f>PROFORMA!I73</f>
        <v>0</v>
      </c>
      <c r="I51" s="538">
        <f>PROFORMA!J73</f>
        <v>0</v>
      </c>
      <c r="J51" s="538">
        <f>PROFORMA!K73</f>
        <v>0</v>
      </c>
      <c r="K51" s="538">
        <f>PROFORMA!L73</f>
        <v>0</v>
      </c>
      <c r="L51" s="538">
        <f>PROFORMA!M73</f>
        <v>0</v>
      </c>
      <c r="M51" s="538">
        <f>PROFORMA!N73</f>
        <v>0</v>
      </c>
      <c r="N51" s="538">
        <f>PROFORMA!O73</f>
        <v>0</v>
      </c>
      <c r="O51" s="538">
        <f>PROFORMA!P73</f>
        <v>0</v>
      </c>
      <c r="P51" s="538">
        <f>PROFORMA!Q73</f>
        <v>0</v>
      </c>
      <c r="Q51" s="538">
        <f>PROFORMA!R73</f>
        <v>0</v>
      </c>
      <c r="R51" s="538">
        <f>PROFORMA!S73</f>
        <v>0</v>
      </c>
      <c r="S51" s="538">
        <f>PROFORMA!T73</f>
        <v>0</v>
      </c>
      <c r="T51" s="538">
        <f>PROFORMA!U73</f>
        <v>-3000</v>
      </c>
      <c r="U51" s="538">
        <f>PROFORMA!V73</f>
        <v>0</v>
      </c>
      <c r="V51" s="538">
        <f>PROFORMA!W73</f>
        <v>0</v>
      </c>
      <c r="W51" s="538">
        <f>PROFORMA!X73</f>
        <v>0</v>
      </c>
      <c r="X51" s="579">
        <f t="shared" si="0"/>
        <v>-3000</v>
      </c>
      <c r="Y51" s="538">
        <f>PROFORMA!Y73</f>
        <v>0</v>
      </c>
      <c r="Z51" s="538">
        <f>PROFORMA!Z73</f>
        <v>0</v>
      </c>
      <c r="AA51" s="538">
        <f>PROFORMA!AA73</f>
        <v>0</v>
      </c>
      <c r="AB51" s="538">
        <f>PROFORMA!AB73</f>
        <v>0</v>
      </c>
      <c r="AC51" s="538">
        <f>PROFORMA!AC73</f>
        <v>202000</v>
      </c>
      <c r="AD51" s="538">
        <f>PROFORMA!AD73</f>
        <v>0</v>
      </c>
      <c r="AE51" s="538">
        <f>PROFORMA!AE73</f>
        <v>6000</v>
      </c>
      <c r="AF51" s="538">
        <f>PROFORMA!AG73</f>
        <v>0</v>
      </c>
      <c r="AG51" s="538">
        <f>PROFORMA!AH73</f>
        <v>0</v>
      </c>
      <c r="AH51" s="538">
        <f>PROFORMA!AI73</f>
        <v>0</v>
      </c>
      <c r="AI51" s="538">
        <f>PROFORMA!AJ73</f>
        <v>0</v>
      </c>
      <c r="AJ51" s="538">
        <f>PROFORMA!AK73</f>
        <v>0</v>
      </c>
      <c r="AK51" s="538">
        <f>PROFORMA!AL73</f>
        <v>146000</v>
      </c>
      <c r="AL51" s="538">
        <f>PROFORMA!AM73</f>
        <v>0</v>
      </c>
      <c r="AM51" s="538">
        <f>PROFORMA!AN73</f>
        <v>0</v>
      </c>
      <c r="AN51" s="538">
        <f>PROFORMA!AO73</f>
        <v>0</v>
      </c>
      <c r="AO51" s="538">
        <f>PROFORMA!AP73</f>
        <v>0</v>
      </c>
      <c r="AP51" s="538">
        <f>PROFORMA!AQ73</f>
        <v>0</v>
      </c>
      <c r="AQ51" s="538">
        <f>PROFORMA!AR73</f>
        <v>0</v>
      </c>
      <c r="AR51" s="538">
        <f>PROFORMA!AS73</f>
        <v>0</v>
      </c>
      <c r="AS51" s="538">
        <f>PROFORMA!AT73</f>
        <v>-47000</v>
      </c>
      <c r="AT51" s="582">
        <f t="shared" si="65"/>
        <v>307000</v>
      </c>
      <c r="AU51" s="532">
        <f t="shared" si="66"/>
        <v>304000</v>
      </c>
      <c r="AV51" s="532">
        <f t="shared" si="67"/>
        <v>3534000</v>
      </c>
      <c r="AW51" s="532"/>
      <c r="AX51" s="532">
        <f t="shared" si="1"/>
        <v>3534000</v>
      </c>
    </row>
    <row r="52" spans="1:50" ht="31.5">
      <c r="A52" s="529">
        <v>50</v>
      </c>
      <c r="B52" s="795"/>
      <c r="C52" s="521" t="s">
        <v>332</v>
      </c>
      <c r="D52" s="545">
        <v>875</v>
      </c>
      <c r="E52" s="538">
        <f>PROFORMA!F74</f>
        <v>89000</v>
      </c>
      <c r="F52" s="538">
        <f>PROFORMA!G74</f>
        <v>0</v>
      </c>
      <c r="G52" s="538">
        <f>PROFORMA!H74</f>
        <v>0</v>
      </c>
      <c r="H52" s="538">
        <f>PROFORMA!I74</f>
        <v>0</v>
      </c>
      <c r="I52" s="538">
        <f>PROFORMA!J74</f>
        <v>0</v>
      </c>
      <c r="J52" s="538">
        <f>PROFORMA!K74</f>
        <v>0</v>
      </c>
      <c r="K52" s="538">
        <f>PROFORMA!L74</f>
        <v>0</v>
      </c>
      <c r="L52" s="538">
        <f>PROFORMA!M74</f>
        <v>0</v>
      </c>
      <c r="M52" s="538">
        <f>PROFORMA!N74</f>
        <v>0</v>
      </c>
      <c r="N52" s="538">
        <f>PROFORMA!O74</f>
        <v>0</v>
      </c>
      <c r="O52" s="538">
        <f>PROFORMA!P74</f>
        <v>0</v>
      </c>
      <c r="P52" s="538">
        <f>PROFORMA!Q74</f>
        <v>0</v>
      </c>
      <c r="Q52" s="538">
        <f>PROFORMA!R74</f>
        <v>0</v>
      </c>
      <c r="R52" s="538">
        <f>PROFORMA!S74</f>
        <v>0</v>
      </c>
      <c r="S52" s="538">
        <f>PROFORMA!T74</f>
        <v>0</v>
      </c>
      <c r="T52" s="538">
        <f>PROFORMA!U74</f>
        <v>0</v>
      </c>
      <c r="U52" s="538">
        <f>PROFORMA!V74</f>
        <v>0</v>
      </c>
      <c r="V52" s="538">
        <f>PROFORMA!W74</f>
        <v>0</v>
      </c>
      <c r="W52" s="538">
        <f>PROFORMA!X74</f>
        <v>0</v>
      </c>
      <c r="X52" s="579">
        <f t="shared" si="0"/>
        <v>0</v>
      </c>
      <c r="Y52" s="538">
        <f>PROFORMA!Y74</f>
        <v>0</v>
      </c>
      <c r="Z52" s="538">
        <f>PROFORMA!Z74</f>
        <v>0</v>
      </c>
      <c r="AA52" s="538">
        <f>PROFORMA!AA74</f>
        <v>0</v>
      </c>
      <c r="AB52" s="538">
        <f>PROFORMA!AB74</f>
        <v>0</v>
      </c>
      <c r="AC52" s="538">
        <f>PROFORMA!AC74</f>
        <v>6000</v>
      </c>
      <c r="AD52" s="538">
        <f>PROFORMA!AD74</f>
        <v>0</v>
      </c>
      <c r="AE52" s="538">
        <f>PROFORMA!AE74</f>
        <v>0</v>
      </c>
      <c r="AF52" s="538">
        <f>PROFORMA!AG74</f>
        <v>0</v>
      </c>
      <c r="AG52" s="538">
        <f>PROFORMA!AH74</f>
        <v>0</v>
      </c>
      <c r="AH52" s="538">
        <f>PROFORMA!AI74</f>
        <v>0</v>
      </c>
      <c r="AI52" s="538">
        <f>PROFORMA!AJ74</f>
        <v>0</v>
      </c>
      <c r="AJ52" s="538">
        <f>PROFORMA!AK74</f>
        <v>0</v>
      </c>
      <c r="AK52" s="538">
        <f>PROFORMA!AL74</f>
        <v>4000</v>
      </c>
      <c r="AL52" s="538">
        <f>PROFORMA!AM74</f>
        <v>0</v>
      </c>
      <c r="AM52" s="538">
        <f>PROFORMA!AN74</f>
        <v>0</v>
      </c>
      <c r="AN52" s="538">
        <f>PROFORMA!AO74</f>
        <v>0</v>
      </c>
      <c r="AO52" s="538">
        <f>PROFORMA!AP74</f>
        <v>0</v>
      </c>
      <c r="AP52" s="538">
        <f>PROFORMA!AQ74</f>
        <v>0</v>
      </c>
      <c r="AQ52" s="538">
        <f>PROFORMA!AR74</f>
        <v>0</v>
      </c>
      <c r="AR52" s="538">
        <f>PROFORMA!AS74</f>
        <v>0</v>
      </c>
      <c r="AS52" s="538">
        <f>PROFORMA!AT74</f>
        <v>-1000</v>
      </c>
      <c r="AT52" s="582">
        <f t="shared" si="65"/>
        <v>9000</v>
      </c>
      <c r="AU52" s="532">
        <f t="shared" si="66"/>
        <v>9000</v>
      </c>
      <c r="AV52" s="532">
        <f t="shared" si="67"/>
        <v>98000</v>
      </c>
      <c r="AW52" s="532"/>
      <c r="AX52" s="532">
        <f t="shared" si="1"/>
        <v>98000</v>
      </c>
    </row>
    <row r="53" spans="1:50" ht="31.5">
      <c r="A53" s="529">
        <v>51</v>
      </c>
      <c r="B53" s="795"/>
      <c r="C53" s="521" t="s">
        <v>333</v>
      </c>
      <c r="D53" s="545">
        <v>876</v>
      </c>
      <c r="E53" s="538">
        <f>PROFORMA!F75</f>
        <v>6000</v>
      </c>
      <c r="F53" s="538">
        <f>PROFORMA!G75</f>
        <v>0</v>
      </c>
      <c r="G53" s="538">
        <f>PROFORMA!H75</f>
        <v>0</v>
      </c>
      <c r="H53" s="538">
        <f>PROFORMA!I75</f>
        <v>0</v>
      </c>
      <c r="I53" s="538">
        <f>PROFORMA!J75</f>
        <v>0</v>
      </c>
      <c r="J53" s="538">
        <f>PROFORMA!K75</f>
        <v>0</v>
      </c>
      <c r="K53" s="538">
        <f>PROFORMA!L75</f>
        <v>0</v>
      </c>
      <c r="L53" s="538">
        <f>PROFORMA!M75</f>
        <v>0</v>
      </c>
      <c r="M53" s="538">
        <f>PROFORMA!N75</f>
        <v>0</v>
      </c>
      <c r="N53" s="538">
        <f>PROFORMA!O75</f>
        <v>0</v>
      </c>
      <c r="O53" s="538">
        <f>PROFORMA!P75</f>
        <v>0</v>
      </c>
      <c r="P53" s="538">
        <f>PROFORMA!Q75</f>
        <v>0</v>
      </c>
      <c r="Q53" s="538">
        <f>PROFORMA!R75</f>
        <v>0</v>
      </c>
      <c r="R53" s="538">
        <f>PROFORMA!S75</f>
        <v>0</v>
      </c>
      <c r="S53" s="538">
        <f>PROFORMA!T75</f>
        <v>0</v>
      </c>
      <c r="T53" s="538">
        <f>PROFORMA!U75</f>
        <v>0</v>
      </c>
      <c r="U53" s="538">
        <f>PROFORMA!V75</f>
        <v>0</v>
      </c>
      <c r="V53" s="538">
        <f>PROFORMA!W75</f>
        <v>0</v>
      </c>
      <c r="W53" s="538">
        <f>PROFORMA!X75</f>
        <v>0</v>
      </c>
      <c r="X53" s="579">
        <f t="shared" si="0"/>
        <v>0</v>
      </c>
      <c r="Y53" s="538">
        <f>PROFORMA!Y75</f>
        <v>0</v>
      </c>
      <c r="Z53" s="538">
        <f>PROFORMA!Z75</f>
        <v>0</v>
      </c>
      <c r="AA53" s="538">
        <f>PROFORMA!AA75</f>
        <v>0</v>
      </c>
      <c r="AB53" s="538">
        <f>PROFORMA!AB75</f>
        <v>0</v>
      </c>
      <c r="AC53" s="538">
        <f>PROFORMA!AC75</f>
        <v>0</v>
      </c>
      <c r="AD53" s="538">
        <f>PROFORMA!AD75</f>
        <v>0</v>
      </c>
      <c r="AE53" s="538">
        <f>PROFORMA!AE75</f>
        <v>0</v>
      </c>
      <c r="AF53" s="538">
        <f>PROFORMA!AG75</f>
        <v>0</v>
      </c>
      <c r="AG53" s="538">
        <f>PROFORMA!AH75</f>
        <v>0</v>
      </c>
      <c r="AH53" s="538">
        <f>PROFORMA!AI75</f>
        <v>0</v>
      </c>
      <c r="AI53" s="538">
        <f>PROFORMA!AJ75</f>
        <v>0</v>
      </c>
      <c r="AJ53" s="538">
        <f>PROFORMA!AK75</f>
        <v>0</v>
      </c>
      <c r="AK53" s="538">
        <f>PROFORMA!AL75</f>
        <v>0</v>
      </c>
      <c r="AL53" s="538">
        <f>PROFORMA!AM75</f>
        <v>0</v>
      </c>
      <c r="AM53" s="538">
        <f>PROFORMA!AN75</f>
        <v>0</v>
      </c>
      <c r="AN53" s="538">
        <f>PROFORMA!AO75</f>
        <v>0</v>
      </c>
      <c r="AO53" s="538">
        <f>PROFORMA!AP75</f>
        <v>0</v>
      </c>
      <c r="AP53" s="538">
        <f>PROFORMA!AQ75</f>
        <v>0</v>
      </c>
      <c r="AQ53" s="538">
        <f>PROFORMA!AR75</f>
        <v>0</v>
      </c>
      <c r="AR53" s="538">
        <f>PROFORMA!AS75</f>
        <v>0</v>
      </c>
      <c r="AS53" s="538">
        <f>PROFORMA!AT75</f>
        <v>0</v>
      </c>
      <c r="AT53" s="582">
        <f t="shared" si="65"/>
        <v>0</v>
      </c>
      <c r="AU53" s="532">
        <f t="shared" si="66"/>
        <v>0</v>
      </c>
      <c r="AV53" s="532">
        <f t="shared" si="67"/>
        <v>6000</v>
      </c>
      <c r="AW53" s="532"/>
      <c r="AX53" s="532">
        <f t="shared" si="1"/>
        <v>6000</v>
      </c>
    </row>
    <row r="54" spans="1:50" ht="31.5">
      <c r="A54" s="529">
        <v>52</v>
      </c>
      <c r="B54" s="795"/>
      <c r="C54" s="521" t="s">
        <v>334</v>
      </c>
      <c r="D54" s="545">
        <v>877</v>
      </c>
      <c r="E54" s="538">
        <f>PROFORMA!F76</f>
        <v>47000</v>
      </c>
      <c r="F54" s="538">
        <f>PROFORMA!G76</f>
        <v>0</v>
      </c>
      <c r="G54" s="538">
        <f>PROFORMA!H76</f>
        <v>0</v>
      </c>
      <c r="H54" s="538">
        <f>PROFORMA!I76</f>
        <v>0</v>
      </c>
      <c r="I54" s="538">
        <f>PROFORMA!J76</f>
        <v>0</v>
      </c>
      <c r="J54" s="538">
        <f>PROFORMA!K76</f>
        <v>0</v>
      </c>
      <c r="K54" s="538">
        <f>PROFORMA!L76</f>
        <v>0</v>
      </c>
      <c r="L54" s="538">
        <f>PROFORMA!M76</f>
        <v>0</v>
      </c>
      <c r="M54" s="538">
        <f>PROFORMA!N76</f>
        <v>0</v>
      </c>
      <c r="N54" s="538">
        <f>PROFORMA!O76</f>
        <v>0</v>
      </c>
      <c r="O54" s="538">
        <f>PROFORMA!P76</f>
        <v>0</v>
      </c>
      <c r="P54" s="538">
        <f>PROFORMA!Q76</f>
        <v>0</v>
      </c>
      <c r="Q54" s="538">
        <f>PROFORMA!R76</f>
        <v>0</v>
      </c>
      <c r="R54" s="538">
        <f>PROFORMA!S76</f>
        <v>0</v>
      </c>
      <c r="S54" s="538">
        <f>PROFORMA!T76</f>
        <v>0</v>
      </c>
      <c r="T54" s="538">
        <f>PROFORMA!U76</f>
        <v>0</v>
      </c>
      <c r="U54" s="538">
        <f>PROFORMA!V76</f>
        <v>0</v>
      </c>
      <c r="V54" s="538">
        <f>PROFORMA!W76</f>
        <v>0</v>
      </c>
      <c r="W54" s="538">
        <f>PROFORMA!X76</f>
        <v>0</v>
      </c>
      <c r="X54" s="579">
        <f t="shared" si="0"/>
        <v>0</v>
      </c>
      <c r="Y54" s="538">
        <f>PROFORMA!Y76</f>
        <v>0</v>
      </c>
      <c r="Z54" s="538">
        <f>PROFORMA!Z76</f>
        <v>0</v>
      </c>
      <c r="AA54" s="538">
        <f>PROFORMA!AA76</f>
        <v>0</v>
      </c>
      <c r="AB54" s="538">
        <f>PROFORMA!AB76</f>
        <v>0</v>
      </c>
      <c r="AC54" s="538">
        <f>PROFORMA!AC76</f>
        <v>3000</v>
      </c>
      <c r="AD54" s="538">
        <f>PROFORMA!AD76</f>
        <v>0</v>
      </c>
      <c r="AE54" s="538">
        <f>PROFORMA!AE76</f>
        <v>0</v>
      </c>
      <c r="AF54" s="538">
        <f>PROFORMA!AG76</f>
        <v>0</v>
      </c>
      <c r="AG54" s="538">
        <f>PROFORMA!AH76</f>
        <v>0</v>
      </c>
      <c r="AH54" s="538">
        <f>PROFORMA!AI76</f>
        <v>0</v>
      </c>
      <c r="AI54" s="538">
        <f>PROFORMA!AJ76</f>
        <v>0</v>
      </c>
      <c r="AJ54" s="538">
        <f>PROFORMA!AK76</f>
        <v>0</v>
      </c>
      <c r="AK54" s="538">
        <f>PROFORMA!AL76</f>
        <v>2000</v>
      </c>
      <c r="AL54" s="538">
        <f>PROFORMA!AM76</f>
        <v>0</v>
      </c>
      <c r="AM54" s="538">
        <f>PROFORMA!AN76</f>
        <v>0</v>
      </c>
      <c r="AN54" s="538">
        <f>PROFORMA!AO76</f>
        <v>0</v>
      </c>
      <c r="AO54" s="538">
        <f>PROFORMA!AP76</f>
        <v>0</v>
      </c>
      <c r="AP54" s="538">
        <f>PROFORMA!AQ76</f>
        <v>0</v>
      </c>
      <c r="AQ54" s="538">
        <f>PROFORMA!AR76</f>
        <v>0</v>
      </c>
      <c r="AR54" s="538">
        <f>PROFORMA!AS76</f>
        <v>0</v>
      </c>
      <c r="AS54" s="538">
        <f>PROFORMA!AT76</f>
        <v>-1000</v>
      </c>
      <c r="AT54" s="582">
        <f t="shared" si="65"/>
        <v>4000</v>
      </c>
      <c r="AU54" s="532">
        <f t="shared" si="66"/>
        <v>4000</v>
      </c>
      <c r="AV54" s="532">
        <f t="shared" si="67"/>
        <v>51000</v>
      </c>
      <c r="AW54" s="532"/>
      <c r="AX54" s="532">
        <f t="shared" si="1"/>
        <v>51000</v>
      </c>
    </row>
    <row r="55" spans="1:50" ht="31.5">
      <c r="A55" s="529">
        <v>53</v>
      </c>
      <c r="B55" s="795"/>
      <c r="C55" s="521" t="s">
        <v>335</v>
      </c>
      <c r="D55" s="545">
        <v>878</v>
      </c>
      <c r="E55" s="538">
        <f>PROFORMA!F77</f>
        <v>357000</v>
      </c>
      <c r="F55" s="538">
        <f>PROFORMA!G77</f>
        <v>0</v>
      </c>
      <c r="G55" s="538">
        <f>PROFORMA!H77</f>
        <v>0</v>
      </c>
      <c r="H55" s="538">
        <f>PROFORMA!I77</f>
        <v>0</v>
      </c>
      <c r="I55" s="538">
        <f>PROFORMA!J77</f>
        <v>0</v>
      </c>
      <c r="J55" s="538">
        <f>PROFORMA!K77</f>
        <v>0</v>
      </c>
      <c r="K55" s="538">
        <f>PROFORMA!L77</f>
        <v>0</v>
      </c>
      <c r="L55" s="538">
        <f>PROFORMA!M77</f>
        <v>0</v>
      </c>
      <c r="M55" s="538">
        <f>PROFORMA!N77</f>
        <v>0</v>
      </c>
      <c r="N55" s="538">
        <f>PROFORMA!O77</f>
        <v>0</v>
      </c>
      <c r="O55" s="538">
        <f>PROFORMA!P77</f>
        <v>0</v>
      </c>
      <c r="P55" s="538">
        <f>PROFORMA!Q77</f>
        <v>0</v>
      </c>
      <c r="Q55" s="538">
        <f>PROFORMA!R77</f>
        <v>0</v>
      </c>
      <c r="R55" s="538">
        <f>PROFORMA!S77</f>
        <v>0</v>
      </c>
      <c r="S55" s="538">
        <f>PROFORMA!T77</f>
        <v>0</v>
      </c>
      <c r="T55" s="538">
        <f>PROFORMA!U77</f>
        <v>0</v>
      </c>
      <c r="U55" s="538">
        <f>PROFORMA!V77</f>
        <v>0</v>
      </c>
      <c r="V55" s="538">
        <f>PROFORMA!W77</f>
        <v>0</v>
      </c>
      <c r="W55" s="538">
        <f>PROFORMA!X77</f>
        <v>0</v>
      </c>
      <c r="X55" s="579">
        <f t="shared" si="0"/>
        <v>0</v>
      </c>
      <c r="Y55" s="538">
        <f>PROFORMA!Y77</f>
        <v>0</v>
      </c>
      <c r="Z55" s="538">
        <f>PROFORMA!Z77</f>
        <v>0</v>
      </c>
      <c r="AA55" s="538">
        <f>PROFORMA!AA77</f>
        <v>0</v>
      </c>
      <c r="AB55" s="538">
        <f>PROFORMA!AB77</f>
        <v>-691000</v>
      </c>
      <c r="AC55" s="538">
        <f>PROFORMA!AC77</f>
        <v>23000</v>
      </c>
      <c r="AD55" s="538">
        <f>PROFORMA!AD77</f>
        <v>0</v>
      </c>
      <c r="AE55" s="538">
        <f>PROFORMA!AE77</f>
        <v>0</v>
      </c>
      <c r="AF55" s="538">
        <f>PROFORMA!AG77</f>
        <v>0</v>
      </c>
      <c r="AG55" s="538">
        <f>PROFORMA!AH77</f>
        <v>0</v>
      </c>
      <c r="AH55" s="538">
        <f>PROFORMA!AI77</f>
        <v>0</v>
      </c>
      <c r="AI55" s="538">
        <f>PROFORMA!AJ77</f>
        <v>0</v>
      </c>
      <c r="AJ55" s="538">
        <f>PROFORMA!AK77</f>
        <v>0</v>
      </c>
      <c r="AK55" s="538">
        <f>PROFORMA!AL77</f>
        <v>16000</v>
      </c>
      <c r="AL55" s="538">
        <f>PROFORMA!AM77</f>
        <v>0</v>
      </c>
      <c r="AM55" s="538">
        <f>PROFORMA!AN77</f>
        <v>0</v>
      </c>
      <c r="AN55" s="538">
        <f>PROFORMA!AO77</f>
        <v>0</v>
      </c>
      <c r="AO55" s="538">
        <f>PROFORMA!AP77</f>
        <v>0</v>
      </c>
      <c r="AP55" s="538">
        <f>PROFORMA!AQ77</f>
        <v>0</v>
      </c>
      <c r="AQ55" s="538">
        <f>PROFORMA!AR77</f>
        <v>0</v>
      </c>
      <c r="AR55" s="538">
        <f>PROFORMA!AS77</f>
        <v>0</v>
      </c>
      <c r="AS55" s="538">
        <f>PROFORMA!AT77</f>
        <v>-5000</v>
      </c>
      <c r="AT55" s="582">
        <f t="shared" si="65"/>
        <v>-657000</v>
      </c>
      <c r="AU55" s="532">
        <f t="shared" si="66"/>
        <v>-657000</v>
      </c>
      <c r="AV55" s="532">
        <f t="shared" si="67"/>
        <v>-300000</v>
      </c>
      <c r="AW55" s="532"/>
      <c r="AX55" s="532">
        <f t="shared" si="1"/>
        <v>-300000</v>
      </c>
    </row>
    <row r="56" spans="1:50">
      <c r="A56" s="529">
        <v>54</v>
      </c>
      <c r="B56" s="795"/>
      <c r="C56" s="521" t="s">
        <v>336</v>
      </c>
      <c r="D56" s="545">
        <v>879</v>
      </c>
      <c r="E56" s="538">
        <f>PROFORMA!F78</f>
        <v>1412000</v>
      </c>
      <c r="F56" s="538">
        <f>PROFORMA!G78</f>
        <v>0</v>
      </c>
      <c r="G56" s="538">
        <f>PROFORMA!H78</f>
        <v>0</v>
      </c>
      <c r="H56" s="538">
        <f>PROFORMA!I78</f>
        <v>0</v>
      </c>
      <c r="I56" s="538">
        <f>PROFORMA!J78</f>
        <v>0</v>
      </c>
      <c r="J56" s="538">
        <f>PROFORMA!K78</f>
        <v>0</v>
      </c>
      <c r="K56" s="538">
        <f>PROFORMA!L78</f>
        <v>0</v>
      </c>
      <c r="L56" s="538">
        <f>PROFORMA!M78</f>
        <v>0</v>
      </c>
      <c r="M56" s="538">
        <f>PROFORMA!N78</f>
        <v>0</v>
      </c>
      <c r="N56" s="538">
        <f>PROFORMA!O78</f>
        <v>0</v>
      </c>
      <c r="O56" s="538">
        <f>PROFORMA!P78</f>
        <v>0</v>
      </c>
      <c r="P56" s="538">
        <f>PROFORMA!Q78</f>
        <v>0</v>
      </c>
      <c r="Q56" s="538">
        <f>PROFORMA!R78</f>
        <v>0</v>
      </c>
      <c r="R56" s="538">
        <f>PROFORMA!S78</f>
        <v>0</v>
      </c>
      <c r="S56" s="538">
        <f>PROFORMA!T78</f>
        <v>0</v>
      </c>
      <c r="T56" s="538">
        <f>PROFORMA!U78</f>
        <v>0</v>
      </c>
      <c r="U56" s="538">
        <f>PROFORMA!V78</f>
        <v>0</v>
      </c>
      <c r="V56" s="538">
        <f>PROFORMA!W78</f>
        <v>0</v>
      </c>
      <c r="W56" s="538">
        <f>PROFORMA!X78</f>
        <v>0</v>
      </c>
      <c r="X56" s="579">
        <f t="shared" si="0"/>
        <v>0</v>
      </c>
      <c r="Y56" s="538">
        <f>PROFORMA!Y78</f>
        <v>0</v>
      </c>
      <c r="Z56" s="538">
        <f>PROFORMA!Z78</f>
        <v>0</v>
      </c>
      <c r="AA56" s="538">
        <f>PROFORMA!AA78</f>
        <v>0</v>
      </c>
      <c r="AB56" s="538">
        <f>PROFORMA!AB78</f>
        <v>0</v>
      </c>
      <c r="AC56" s="538">
        <f>PROFORMA!AC78</f>
        <v>89000</v>
      </c>
      <c r="AD56" s="538">
        <f>PROFORMA!AD78</f>
        <v>0</v>
      </c>
      <c r="AE56" s="538">
        <f>PROFORMA!AE78</f>
        <v>2000</v>
      </c>
      <c r="AF56" s="538">
        <f>PROFORMA!AG78</f>
        <v>0</v>
      </c>
      <c r="AG56" s="538">
        <f>PROFORMA!AH78</f>
        <v>0</v>
      </c>
      <c r="AH56" s="538">
        <f>PROFORMA!AI78</f>
        <v>0</v>
      </c>
      <c r="AI56" s="538">
        <f>PROFORMA!AJ78</f>
        <v>0</v>
      </c>
      <c r="AJ56" s="538">
        <f>PROFORMA!AK78</f>
        <v>0</v>
      </c>
      <c r="AK56" s="538">
        <f>PROFORMA!AL78</f>
        <v>63000</v>
      </c>
      <c r="AL56" s="538">
        <f>PROFORMA!AM78</f>
        <v>0</v>
      </c>
      <c r="AM56" s="538">
        <f>PROFORMA!AN78</f>
        <v>0</v>
      </c>
      <c r="AN56" s="538">
        <f>PROFORMA!AO78</f>
        <v>0</v>
      </c>
      <c r="AO56" s="538">
        <f>PROFORMA!AP78</f>
        <v>0</v>
      </c>
      <c r="AP56" s="538">
        <f>PROFORMA!AQ78</f>
        <v>0</v>
      </c>
      <c r="AQ56" s="538">
        <f>PROFORMA!AR78</f>
        <v>0</v>
      </c>
      <c r="AR56" s="538">
        <f>PROFORMA!AS78</f>
        <v>0</v>
      </c>
      <c r="AS56" s="538">
        <f>PROFORMA!AT78</f>
        <v>-21000</v>
      </c>
      <c r="AT56" s="582">
        <f t="shared" si="65"/>
        <v>133000</v>
      </c>
      <c r="AU56" s="532">
        <f t="shared" si="66"/>
        <v>133000</v>
      </c>
      <c r="AV56" s="532">
        <f t="shared" si="67"/>
        <v>1545000</v>
      </c>
      <c r="AW56" s="532"/>
      <c r="AX56" s="532">
        <f t="shared" si="1"/>
        <v>1545000</v>
      </c>
    </row>
    <row r="57" spans="1:50">
      <c r="A57" s="529">
        <v>55</v>
      </c>
      <c r="B57" s="795"/>
      <c r="C57" s="521" t="s">
        <v>337</v>
      </c>
      <c r="D57" s="545">
        <v>880</v>
      </c>
      <c r="E57" s="538">
        <f>PROFORMA!F79</f>
        <v>2144000</v>
      </c>
      <c r="F57" s="538">
        <f>PROFORMA!G79</f>
        <v>0</v>
      </c>
      <c r="G57" s="538">
        <f>PROFORMA!H79</f>
        <v>0</v>
      </c>
      <c r="H57" s="538">
        <f>PROFORMA!I79</f>
        <v>0</v>
      </c>
      <c r="I57" s="538">
        <f>PROFORMA!J79</f>
        <v>0</v>
      </c>
      <c r="J57" s="538">
        <f>PROFORMA!K79</f>
        <v>0</v>
      </c>
      <c r="K57" s="538">
        <f>PROFORMA!L79</f>
        <v>0</v>
      </c>
      <c r="L57" s="538">
        <f>PROFORMA!M79</f>
        <v>0</v>
      </c>
      <c r="M57" s="538">
        <f>PROFORMA!N79</f>
        <v>0</v>
      </c>
      <c r="N57" s="538">
        <f>PROFORMA!O79</f>
        <v>0</v>
      </c>
      <c r="O57" s="538">
        <f>PROFORMA!P79</f>
        <v>0</v>
      </c>
      <c r="P57" s="538">
        <f>PROFORMA!Q79</f>
        <v>0</v>
      </c>
      <c r="Q57" s="538">
        <f>PROFORMA!R79</f>
        <v>0</v>
      </c>
      <c r="R57" s="538">
        <f>PROFORMA!S79</f>
        <v>0</v>
      </c>
      <c r="S57" s="538">
        <f>PROFORMA!T79</f>
        <v>0</v>
      </c>
      <c r="T57" s="538">
        <f>PROFORMA!U79</f>
        <v>0</v>
      </c>
      <c r="U57" s="538">
        <f>PROFORMA!V79</f>
        <v>0</v>
      </c>
      <c r="V57" s="538">
        <f>PROFORMA!W79</f>
        <v>0</v>
      </c>
      <c r="W57" s="538">
        <f>PROFORMA!X79</f>
        <v>0</v>
      </c>
      <c r="X57" s="579">
        <f t="shared" si="0"/>
        <v>0</v>
      </c>
      <c r="Y57" s="538">
        <f>PROFORMA!Y79</f>
        <v>0</v>
      </c>
      <c r="Z57" s="538">
        <f>PROFORMA!Z79</f>
        <v>0</v>
      </c>
      <c r="AA57" s="538">
        <f>PROFORMA!AA79</f>
        <v>0</v>
      </c>
      <c r="AB57" s="538">
        <f>PROFORMA!AB79</f>
        <v>0</v>
      </c>
      <c r="AC57" s="538">
        <f>PROFORMA!AC79</f>
        <v>135000</v>
      </c>
      <c r="AD57" s="538">
        <f>PROFORMA!AD79</f>
        <v>0</v>
      </c>
      <c r="AE57" s="538">
        <f>PROFORMA!AE79</f>
        <v>3000</v>
      </c>
      <c r="AF57" s="538">
        <f>PROFORMA!AG79</f>
        <v>0</v>
      </c>
      <c r="AG57" s="538">
        <f>PROFORMA!AH79</f>
        <v>0</v>
      </c>
      <c r="AH57" s="538">
        <f>PROFORMA!AI79</f>
        <v>0</v>
      </c>
      <c r="AI57" s="538">
        <f>PROFORMA!AJ79</f>
        <v>0</v>
      </c>
      <c r="AJ57" s="538">
        <f>PROFORMA!AK79</f>
        <v>0</v>
      </c>
      <c r="AK57" s="538">
        <f>PROFORMA!AL79</f>
        <v>96000</v>
      </c>
      <c r="AL57" s="538">
        <f>PROFORMA!AM79</f>
        <v>0</v>
      </c>
      <c r="AM57" s="538">
        <f>PROFORMA!AN79</f>
        <v>0</v>
      </c>
      <c r="AN57" s="538">
        <f>PROFORMA!AO79</f>
        <v>0</v>
      </c>
      <c r="AO57" s="538">
        <f>PROFORMA!AP79</f>
        <v>0</v>
      </c>
      <c r="AP57" s="538">
        <f>PROFORMA!AQ79</f>
        <v>0</v>
      </c>
      <c r="AQ57" s="538">
        <f>PROFORMA!AR79</f>
        <v>0</v>
      </c>
      <c r="AR57" s="538">
        <f>PROFORMA!AS79</f>
        <v>0</v>
      </c>
      <c r="AS57" s="538">
        <f>PROFORMA!AT79</f>
        <v>-32000</v>
      </c>
      <c r="AT57" s="582">
        <f t="shared" si="65"/>
        <v>202000</v>
      </c>
      <c r="AU57" s="532">
        <f t="shared" si="66"/>
        <v>202000</v>
      </c>
      <c r="AV57" s="532">
        <f t="shared" si="67"/>
        <v>2346000</v>
      </c>
      <c r="AW57" s="532"/>
      <c r="AX57" s="532">
        <f t="shared" si="1"/>
        <v>2346000</v>
      </c>
    </row>
    <row r="58" spans="1:50">
      <c r="A58" s="529">
        <v>56</v>
      </c>
      <c r="B58" s="795"/>
      <c r="C58" s="521" t="s">
        <v>2</v>
      </c>
      <c r="D58" s="545">
        <v>881</v>
      </c>
      <c r="E58" s="574">
        <f>PROFORMA!F80</f>
        <v>-5000</v>
      </c>
      <c r="F58" s="574">
        <f>PROFORMA!G80</f>
        <v>0</v>
      </c>
      <c r="G58" s="574">
        <f>PROFORMA!H80</f>
        <v>0</v>
      </c>
      <c r="H58" s="574">
        <f>PROFORMA!I80</f>
        <v>0</v>
      </c>
      <c r="I58" s="574">
        <f>PROFORMA!J80</f>
        <v>0</v>
      </c>
      <c r="J58" s="574">
        <f>PROFORMA!K80</f>
        <v>0</v>
      </c>
      <c r="K58" s="574">
        <f>PROFORMA!L80</f>
        <v>0</v>
      </c>
      <c r="L58" s="574">
        <f>PROFORMA!M80</f>
        <v>0</v>
      </c>
      <c r="M58" s="574">
        <f>PROFORMA!N80</f>
        <v>0</v>
      </c>
      <c r="N58" s="574">
        <f>PROFORMA!O80</f>
        <v>0</v>
      </c>
      <c r="O58" s="574">
        <f>PROFORMA!P80</f>
        <v>0</v>
      </c>
      <c r="P58" s="574">
        <f>PROFORMA!Q80</f>
        <v>0</v>
      </c>
      <c r="Q58" s="574">
        <f>PROFORMA!R80</f>
        <v>0</v>
      </c>
      <c r="R58" s="574">
        <f>PROFORMA!S80</f>
        <v>0</v>
      </c>
      <c r="S58" s="574">
        <f>PROFORMA!T80</f>
        <v>0</v>
      </c>
      <c r="T58" s="574">
        <f>PROFORMA!U80</f>
        <v>0</v>
      </c>
      <c r="U58" s="574">
        <f>PROFORMA!V80</f>
        <v>0</v>
      </c>
      <c r="V58" s="574">
        <f>PROFORMA!W80</f>
        <v>0</v>
      </c>
      <c r="W58" s="574">
        <f>PROFORMA!X80</f>
        <v>0</v>
      </c>
      <c r="X58" s="580">
        <f t="shared" si="0"/>
        <v>0</v>
      </c>
      <c r="Y58" s="574">
        <f>PROFORMA!Y80</f>
        <v>0</v>
      </c>
      <c r="Z58" s="574">
        <f>PROFORMA!Z80</f>
        <v>0</v>
      </c>
      <c r="AA58" s="574">
        <f>PROFORMA!AA80</f>
        <v>0</v>
      </c>
      <c r="AB58" s="574">
        <f>PROFORMA!AB80</f>
        <v>0</v>
      </c>
      <c r="AC58" s="574">
        <f>PROFORMA!AC80</f>
        <v>0</v>
      </c>
      <c r="AD58" s="574">
        <f>PROFORMA!AD80</f>
        <v>0</v>
      </c>
      <c r="AE58" s="574">
        <f>PROFORMA!AE80</f>
        <v>0</v>
      </c>
      <c r="AF58" s="574">
        <f>PROFORMA!AG80</f>
        <v>0</v>
      </c>
      <c r="AG58" s="574">
        <f>PROFORMA!AH80</f>
        <v>0</v>
      </c>
      <c r="AH58" s="574">
        <f>PROFORMA!AI80</f>
        <v>0</v>
      </c>
      <c r="AI58" s="574">
        <f>PROFORMA!AJ80</f>
        <v>0</v>
      </c>
      <c r="AJ58" s="574">
        <f>PROFORMA!AK80</f>
        <v>0</v>
      </c>
      <c r="AK58" s="574">
        <f>PROFORMA!AL80</f>
        <v>0</v>
      </c>
      <c r="AL58" s="574">
        <f>PROFORMA!AM80</f>
        <v>0</v>
      </c>
      <c r="AM58" s="574">
        <f>PROFORMA!AN80</f>
        <v>0</v>
      </c>
      <c r="AN58" s="574">
        <f>PROFORMA!AO80</f>
        <v>0</v>
      </c>
      <c r="AO58" s="574">
        <f>PROFORMA!AP80</f>
        <v>0</v>
      </c>
      <c r="AP58" s="574">
        <f>PROFORMA!AQ80</f>
        <v>0</v>
      </c>
      <c r="AQ58" s="574">
        <f>PROFORMA!AR80</f>
        <v>0</v>
      </c>
      <c r="AR58" s="574">
        <f>PROFORMA!AS80</f>
        <v>0</v>
      </c>
      <c r="AS58" s="574">
        <f>PROFORMA!AT80</f>
        <v>0</v>
      </c>
      <c r="AT58" s="583">
        <f t="shared" si="65"/>
        <v>0</v>
      </c>
      <c r="AU58" s="581">
        <f t="shared" si="66"/>
        <v>0</v>
      </c>
      <c r="AV58" s="581">
        <f t="shared" si="67"/>
        <v>-5000</v>
      </c>
      <c r="AW58" s="581"/>
      <c r="AX58" s="581">
        <f t="shared" si="1"/>
        <v>-5000</v>
      </c>
    </row>
    <row r="59" spans="1:50">
      <c r="A59" s="529">
        <v>57</v>
      </c>
      <c r="B59" s="521"/>
      <c r="C59" s="518" t="s">
        <v>1085</v>
      </c>
      <c r="D59" s="544"/>
      <c r="E59" s="535">
        <f>SUM(E48:E58)</f>
        <v>8890000</v>
      </c>
      <c r="F59" s="535">
        <f t="shared" ref="F59" si="68">SUM(F48:F58)</f>
        <v>0</v>
      </c>
      <c r="G59" s="535">
        <f t="shared" ref="G59:W59" si="69">SUM(G48:G58)</f>
        <v>0</v>
      </c>
      <c r="H59" s="535">
        <f t="shared" si="69"/>
        <v>0</v>
      </c>
      <c r="I59" s="535">
        <f t="shared" si="69"/>
        <v>0</v>
      </c>
      <c r="J59" s="535">
        <f t="shared" si="69"/>
        <v>0</v>
      </c>
      <c r="K59" s="535">
        <f t="shared" si="69"/>
        <v>0</v>
      </c>
      <c r="L59" s="535">
        <f t="shared" si="69"/>
        <v>0</v>
      </c>
      <c r="M59" s="535">
        <f t="shared" si="69"/>
        <v>0</v>
      </c>
      <c r="N59" s="535">
        <f t="shared" si="69"/>
        <v>0</v>
      </c>
      <c r="O59" s="535">
        <f t="shared" si="69"/>
        <v>0</v>
      </c>
      <c r="P59" s="535">
        <f t="shared" si="69"/>
        <v>0</v>
      </c>
      <c r="Q59" s="535">
        <f t="shared" si="69"/>
        <v>0</v>
      </c>
      <c r="R59" s="535">
        <f t="shared" si="69"/>
        <v>0</v>
      </c>
      <c r="S59" s="535">
        <f t="shared" si="69"/>
        <v>0</v>
      </c>
      <c r="T59" s="535">
        <f t="shared" si="69"/>
        <v>-3000</v>
      </c>
      <c r="U59" s="535">
        <f t="shared" si="69"/>
        <v>0</v>
      </c>
      <c r="V59" s="535">
        <f t="shared" si="69"/>
        <v>0</v>
      </c>
      <c r="W59" s="535">
        <f t="shared" si="69"/>
        <v>0</v>
      </c>
      <c r="X59" s="579">
        <f t="shared" si="0"/>
        <v>-3000</v>
      </c>
      <c r="Y59" s="535">
        <f t="shared" ref="Y59:AX59" si="70">SUM(Y48:Y58)</f>
        <v>0</v>
      </c>
      <c r="Z59" s="535">
        <f t="shared" ref="Z59:AF59" si="71">SUM(Z48:Z58)</f>
        <v>0</v>
      </c>
      <c r="AA59" s="535">
        <f t="shared" si="71"/>
        <v>0</v>
      </c>
      <c r="AB59" s="535">
        <f t="shared" si="71"/>
        <v>-691000</v>
      </c>
      <c r="AC59" s="535">
        <f t="shared" si="71"/>
        <v>560000</v>
      </c>
      <c r="AD59" s="535">
        <f t="shared" si="71"/>
        <v>0</v>
      </c>
      <c r="AE59" s="535">
        <f t="shared" si="71"/>
        <v>13000</v>
      </c>
      <c r="AF59" s="535">
        <f t="shared" si="71"/>
        <v>0</v>
      </c>
      <c r="AG59" s="535">
        <f t="shared" ref="AG59:AQ59" si="72">SUM(AG48:AG58)</f>
        <v>0</v>
      </c>
      <c r="AH59" s="535">
        <f t="shared" si="72"/>
        <v>0</v>
      </c>
      <c r="AI59" s="535">
        <f t="shared" si="72"/>
        <v>0</v>
      </c>
      <c r="AJ59" s="535">
        <f t="shared" si="72"/>
        <v>0</v>
      </c>
      <c r="AK59" s="535">
        <f t="shared" si="72"/>
        <v>399000</v>
      </c>
      <c r="AL59" s="535">
        <f t="shared" si="72"/>
        <v>0</v>
      </c>
      <c r="AM59" s="535">
        <f t="shared" si="72"/>
        <v>0</v>
      </c>
      <c r="AN59" s="535">
        <f t="shared" si="72"/>
        <v>0</v>
      </c>
      <c r="AO59" s="535">
        <f t="shared" si="72"/>
        <v>0</v>
      </c>
      <c r="AP59" s="535">
        <f t="shared" si="72"/>
        <v>0</v>
      </c>
      <c r="AQ59" s="535">
        <f t="shared" si="72"/>
        <v>0</v>
      </c>
      <c r="AR59" s="535">
        <f t="shared" ref="AR59:AS59" si="73">SUM(AR48:AR58)</f>
        <v>0</v>
      </c>
      <c r="AS59" s="535">
        <f t="shared" si="73"/>
        <v>-131000</v>
      </c>
      <c r="AT59" s="535">
        <f t="shared" si="70"/>
        <v>150000</v>
      </c>
      <c r="AU59" s="535">
        <f t="shared" si="70"/>
        <v>147000</v>
      </c>
      <c r="AV59" s="535">
        <f t="shared" si="70"/>
        <v>9037000</v>
      </c>
      <c r="AW59" s="535">
        <f t="shared" si="70"/>
        <v>0</v>
      </c>
      <c r="AX59" s="535">
        <f t="shared" si="70"/>
        <v>9037000</v>
      </c>
    </row>
    <row r="60" spans="1:50">
      <c r="A60" s="529">
        <v>58</v>
      </c>
      <c r="B60" s="795" t="s">
        <v>1160</v>
      </c>
      <c r="C60" s="521" t="s">
        <v>1</v>
      </c>
      <c r="D60" s="522">
        <v>885</v>
      </c>
      <c r="E60" s="538">
        <f>PROFORMA!F83</f>
        <v>15000</v>
      </c>
      <c r="F60" s="538">
        <f>PROFORMA!G83</f>
        <v>0</v>
      </c>
      <c r="G60" s="538">
        <f>PROFORMA!H83</f>
        <v>0</v>
      </c>
      <c r="H60" s="538">
        <f>PROFORMA!I83</f>
        <v>0</v>
      </c>
      <c r="I60" s="538">
        <f>PROFORMA!J83</f>
        <v>0</v>
      </c>
      <c r="J60" s="538">
        <f>PROFORMA!K83</f>
        <v>0</v>
      </c>
      <c r="K60" s="538">
        <f>PROFORMA!L83</f>
        <v>0</v>
      </c>
      <c r="L60" s="538">
        <f>PROFORMA!M83</f>
        <v>0</v>
      </c>
      <c r="M60" s="538">
        <f>PROFORMA!N83</f>
        <v>0</v>
      </c>
      <c r="N60" s="538">
        <f>PROFORMA!O83</f>
        <v>0</v>
      </c>
      <c r="O60" s="538">
        <f>PROFORMA!P83</f>
        <v>0</v>
      </c>
      <c r="P60" s="538">
        <f>PROFORMA!Q83</f>
        <v>0</v>
      </c>
      <c r="Q60" s="538">
        <f>PROFORMA!R83</f>
        <v>0</v>
      </c>
      <c r="R60" s="538">
        <f>PROFORMA!S83</f>
        <v>0</v>
      </c>
      <c r="S60" s="538">
        <f>PROFORMA!T83</f>
        <v>0</v>
      </c>
      <c r="T60" s="538">
        <f>PROFORMA!U83</f>
        <v>0</v>
      </c>
      <c r="U60" s="538">
        <f>PROFORMA!V83</f>
        <v>0</v>
      </c>
      <c r="V60" s="538">
        <f>PROFORMA!W83</f>
        <v>0</v>
      </c>
      <c r="W60" s="538">
        <f>PROFORMA!X83</f>
        <v>0</v>
      </c>
      <c r="X60" s="579">
        <f t="shared" si="0"/>
        <v>0</v>
      </c>
      <c r="Y60" s="538">
        <f>PROFORMA!Y83</f>
        <v>0</v>
      </c>
      <c r="Z60" s="538">
        <f>PROFORMA!Z83</f>
        <v>0</v>
      </c>
      <c r="AA60" s="538">
        <f>PROFORMA!AA83</f>
        <v>0</v>
      </c>
      <c r="AB60" s="538">
        <f>PROFORMA!AB83</f>
        <v>0</v>
      </c>
      <c r="AC60" s="538">
        <f>PROFORMA!AC83</f>
        <v>1000</v>
      </c>
      <c r="AD60" s="538">
        <f>PROFORMA!AD83</f>
        <v>0</v>
      </c>
      <c r="AE60" s="538">
        <f>PROFORMA!AE83</f>
        <v>0</v>
      </c>
      <c r="AF60" s="538">
        <f>PROFORMA!AG83</f>
        <v>0</v>
      </c>
      <c r="AG60" s="538">
        <f>PROFORMA!AH83</f>
        <v>0</v>
      </c>
      <c r="AH60" s="538">
        <f>PROFORMA!AI83</f>
        <v>0</v>
      </c>
      <c r="AI60" s="538">
        <f>PROFORMA!AJ83</f>
        <v>0</v>
      </c>
      <c r="AJ60" s="538">
        <f>PROFORMA!AK83</f>
        <v>0</v>
      </c>
      <c r="AK60" s="538">
        <f>PROFORMA!AL83</f>
        <v>1000</v>
      </c>
      <c r="AL60" s="538">
        <f>PROFORMA!AM83</f>
        <v>0</v>
      </c>
      <c r="AM60" s="538">
        <f>PROFORMA!AN83</f>
        <v>0</v>
      </c>
      <c r="AN60" s="538">
        <f>PROFORMA!AO83</f>
        <v>0</v>
      </c>
      <c r="AO60" s="538">
        <f>PROFORMA!AP83</f>
        <v>0</v>
      </c>
      <c r="AP60" s="538">
        <f>PROFORMA!AQ83</f>
        <v>0</v>
      </c>
      <c r="AQ60" s="538">
        <f>PROFORMA!AR83</f>
        <v>0</v>
      </c>
      <c r="AR60" s="538">
        <f>PROFORMA!AS83</f>
        <v>0</v>
      </c>
      <c r="AS60" s="538">
        <f>PROFORMA!AT83</f>
        <v>0</v>
      </c>
      <c r="AT60" s="582">
        <f t="shared" ref="AT60:AT68" si="74">SUM(Y60:AS60)</f>
        <v>2000</v>
      </c>
      <c r="AU60" s="532">
        <f t="shared" ref="AU60:AU68" si="75">X60+AT60</f>
        <v>2000</v>
      </c>
      <c r="AV60" s="532">
        <f t="shared" ref="AV60:AV68" si="76">E60+AU60</f>
        <v>17000</v>
      </c>
      <c r="AW60" s="532"/>
      <c r="AX60" s="532">
        <f t="shared" si="1"/>
        <v>17000</v>
      </c>
    </row>
    <row r="61" spans="1:50">
      <c r="A61" s="529">
        <v>59</v>
      </c>
      <c r="B61" s="795"/>
      <c r="C61" s="521" t="s">
        <v>244</v>
      </c>
      <c r="D61" s="522">
        <v>887</v>
      </c>
      <c r="E61" s="538">
        <f>PROFORMA!F84</f>
        <v>982000</v>
      </c>
      <c r="F61" s="538">
        <f>PROFORMA!G84</f>
        <v>0</v>
      </c>
      <c r="G61" s="538">
        <f>PROFORMA!H84</f>
        <v>0</v>
      </c>
      <c r="H61" s="538">
        <f>PROFORMA!I84</f>
        <v>0</v>
      </c>
      <c r="I61" s="538">
        <f>PROFORMA!J84</f>
        <v>0</v>
      </c>
      <c r="J61" s="538">
        <f>PROFORMA!K84</f>
        <v>0</v>
      </c>
      <c r="K61" s="538">
        <f>PROFORMA!L84</f>
        <v>0</v>
      </c>
      <c r="L61" s="538">
        <f>PROFORMA!M84</f>
        <v>0</v>
      </c>
      <c r="M61" s="538">
        <f>PROFORMA!N84</f>
        <v>0</v>
      </c>
      <c r="N61" s="538">
        <f>PROFORMA!O84</f>
        <v>0</v>
      </c>
      <c r="O61" s="538">
        <f>PROFORMA!P84</f>
        <v>0</v>
      </c>
      <c r="P61" s="538">
        <f>PROFORMA!Q84</f>
        <v>0</v>
      </c>
      <c r="Q61" s="538">
        <f>PROFORMA!R84</f>
        <v>0</v>
      </c>
      <c r="R61" s="538">
        <f>PROFORMA!S84</f>
        <v>0</v>
      </c>
      <c r="S61" s="538">
        <f>PROFORMA!T84</f>
        <v>0</v>
      </c>
      <c r="T61" s="538">
        <f>PROFORMA!U84</f>
        <v>0</v>
      </c>
      <c r="U61" s="538">
        <f>PROFORMA!V84</f>
        <v>0</v>
      </c>
      <c r="V61" s="538">
        <f>PROFORMA!W84</f>
        <v>0</v>
      </c>
      <c r="W61" s="538">
        <f>PROFORMA!X84</f>
        <v>0</v>
      </c>
      <c r="X61" s="579">
        <f t="shared" si="0"/>
        <v>0</v>
      </c>
      <c r="Y61" s="538">
        <f>PROFORMA!Y84</f>
        <v>0</v>
      </c>
      <c r="Z61" s="538">
        <f>PROFORMA!Z84</f>
        <v>0</v>
      </c>
      <c r="AA61" s="538">
        <f>PROFORMA!AA84</f>
        <v>0</v>
      </c>
      <c r="AB61" s="538">
        <f>PROFORMA!AB84</f>
        <v>0</v>
      </c>
      <c r="AC61" s="538">
        <f>PROFORMA!AC84</f>
        <v>62000</v>
      </c>
      <c r="AD61" s="538">
        <f>PROFORMA!AD84</f>
        <v>0</v>
      </c>
      <c r="AE61" s="538">
        <f>PROFORMA!AE84</f>
        <v>1000</v>
      </c>
      <c r="AF61" s="538">
        <f>PROFORMA!AG84</f>
        <v>0</v>
      </c>
      <c r="AG61" s="538">
        <f>PROFORMA!AH84</f>
        <v>0</v>
      </c>
      <c r="AH61" s="538">
        <f>PROFORMA!AI84</f>
        <v>0</v>
      </c>
      <c r="AI61" s="538">
        <f>PROFORMA!AJ84</f>
        <v>0</v>
      </c>
      <c r="AJ61" s="538">
        <f>PROFORMA!AK84</f>
        <v>0</v>
      </c>
      <c r="AK61" s="538">
        <f>PROFORMA!AL84</f>
        <v>44000</v>
      </c>
      <c r="AL61" s="538">
        <f>PROFORMA!AM84</f>
        <v>0</v>
      </c>
      <c r="AM61" s="538">
        <f>PROFORMA!AN84</f>
        <v>0</v>
      </c>
      <c r="AN61" s="538">
        <f>PROFORMA!AO84</f>
        <v>0</v>
      </c>
      <c r="AO61" s="538">
        <f>PROFORMA!AP84</f>
        <v>0</v>
      </c>
      <c r="AP61" s="538">
        <f>PROFORMA!AQ84</f>
        <v>0</v>
      </c>
      <c r="AQ61" s="538">
        <f>PROFORMA!AR84</f>
        <v>0</v>
      </c>
      <c r="AR61" s="538">
        <f>PROFORMA!AS84</f>
        <v>0</v>
      </c>
      <c r="AS61" s="538">
        <f>PROFORMA!AT84</f>
        <v>-14000</v>
      </c>
      <c r="AT61" s="582">
        <f t="shared" si="74"/>
        <v>93000</v>
      </c>
      <c r="AU61" s="532">
        <f t="shared" si="75"/>
        <v>93000</v>
      </c>
      <c r="AV61" s="532">
        <f t="shared" si="76"/>
        <v>1075000</v>
      </c>
      <c r="AW61" s="532"/>
      <c r="AX61" s="532">
        <f t="shared" si="1"/>
        <v>1075000</v>
      </c>
    </row>
    <row r="62" spans="1:50">
      <c r="A62" s="529">
        <v>60</v>
      </c>
      <c r="B62" s="795"/>
      <c r="C62" s="521" t="s">
        <v>239</v>
      </c>
      <c r="D62" s="522">
        <v>888</v>
      </c>
      <c r="E62" s="538">
        <f>PROFORMA!F85</f>
        <v>0</v>
      </c>
      <c r="F62" s="538">
        <f>PROFORMA!G85</f>
        <v>0</v>
      </c>
      <c r="G62" s="538">
        <f>PROFORMA!H85</f>
        <v>0</v>
      </c>
      <c r="H62" s="538">
        <f>PROFORMA!I85</f>
        <v>0</v>
      </c>
      <c r="I62" s="538">
        <f>PROFORMA!J85</f>
        <v>0</v>
      </c>
      <c r="J62" s="538">
        <f>PROFORMA!K85</f>
        <v>0</v>
      </c>
      <c r="K62" s="538">
        <f>PROFORMA!L85</f>
        <v>0</v>
      </c>
      <c r="L62" s="538">
        <f>PROFORMA!M85</f>
        <v>0</v>
      </c>
      <c r="M62" s="538">
        <f>PROFORMA!N85</f>
        <v>0</v>
      </c>
      <c r="N62" s="538">
        <f>PROFORMA!O85</f>
        <v>0</v>
      </c>
      <c r="O62" s="538">
        <f>PROFORMA!P85</f>
        <v>0</v>
      </c>
      <c r="P62" s="538">
        <f>PROFORMA!Q85</f>
        <v>0</v>
      </c>
      <c r="Q62" s="538">
        <f>PROFORMA!R85</f>
        <v>0</v>
      </c>
      <c r="R62" s="538">
        <f>PROFORMA!S85</f>
        <v>0</v>
      </c>
      <c r="S62" s="538">
        <f>PROFORMA!T85</f>
        <v>0</v>
      </c>
      <c r="T62" s="538">
        <f>PROFORMA!U85</f>
        <v>0</v>
      </c>
      <c r="U62" s="538">
        <f>PROFORMA!V85</f>
        <v>0</v>
      </c>
      <c r="V62" s="538">
        <f>PROFORMA!W85</f>
        <v>0</v>
      </c>
      <c r="W62" s="538">
        <f>PROFORMA!X85</f>
        <v>0</v>
      </c>
      <c r="X62" s="579">
        <f t="shared" si="0"/>
        <v>0</v>
      </c>
      <c r="Y62" s="538">
        <f>PROFORMA!Y85</f>
        <v>0</v>
      </c>
      <c r="Z62" s="538">
        <f>PROFORMA!Z85</f>
        <v>0</v>
      </c>
      <c r="AA62" s="538">
        <f>PROFORMA!AA85</f>
        <v>0</v>
      </c>
      <c r="AB62" s="538">
        <f>PROFORMA!AB85</f>
        <v>0</v>
      </c>
      <c r="AC62" s="538">
        <f>PROFORMA!AC85</f>
        <v>0</v>
      </c>
      <c r="AD62" s="538">
        <f>PROFORMA!AD85</f>
        <v>0</v>
      </c>
      <c r="AE62" s="538">
        <f>PROFORMA!AE85</f>
        <v>0</v>
      </c>
      <c r="AF62" s="538">
        <f>PROFORMA!AG85</f>
        <v>0</v>
      </c>
      <c r="AG62" s="538">
        <f>PROFORMA!AH85</f>
        <v>0</v>
      </c>
      <c r="AH62" s="538">
        <f>PROFORMA!AI85</f>
        <v>0</v>
      </c>
      <c r="AI62" s="538">
        <f>PROFORMA!AJ85</f>
        <v>0</v>
      </c>
      <c r="AJ62" s="538">
        <f>PROFORMA!AK85</f>
        <v>0</v>
      </c>
      <c r="AK62" s="538">
        <f>PROFORMA!AL85</f>
        <v>0</v>
      </c>
      <c r="AL62" s="538">
        <f>PROFORMA!AM85</f>
        <v>0</v>
      </c>
      <c r="AM62" s="538">
        <f>PROFORMA!AN85</f>
        <v>0</v>
      </c>
      <c r="AN62" s="538">
        <f>PROFORMA!AO85</f>
        <v>0</v>
      </c>
      <c r="AO62" s="538">
        <f>PROFORMA!AP85</f>
        <v>0</v>
      </c>
      <c r="AP62" s="538">
        <f>PROFORMA!AQ85</f>
        <v>0</v>
      </c>
      <c r="AQ62" s="538">
        <f>PROFORMA!AR85</f>
        <v>0</v>
      </c>
      <c r="AR62" s="538">
        <f>PROFORMA!AS85</f>
        <v>0</v>
      </c>
      <c r="AS62" s="538">
        <f>PROFORMA!AT85</f>
        <v>0</v>
      </c>
      <c r="AT62" s="582">
        <f t="shared" si="74"/>
        <v>0</v>
      </c>
      <c r="AU62" s="532">
        <f t="shared" si="75"/>
        <v>0</v>
      </c>
      <c r="AV62" s="532">
        <f t="shared" si="76"/>
        <v>0</v>
      </c>
      <c r="AW62" s="532"/>
      <c r="AX62" s="532">
        <f t="shared" si="1"/>
        <v>0</v>
      </c>
    </row>
    <row r="63" spans="1:50" ht="31.5">
      <c r="A63" s="529">
        <v>61</v>
      </c>
      <c r="B63" s="795"/>
      <c r="C63" s="521" t="s">
        <v>332</v>
      </c>
      <c r="D63" s="522">
        <v>889</v>
      </c>
      <c r="E63" s="538">
        <f>PROFORMA!F86</f>
        <v>212000</v>
      </c>
      <c r="F63" s="538">
        <f>PROFORMA!G86</f>
        <v>0</v>
      </c>
      <c r="G63" s="538">
        <f>PROFORMA!H86</f>
        <v>0</v>
      </c>
      <c r="H63" s="538">
        <f>PROFORMA!I86</f>
        <v>0</v>
      </c>
      <c r="I63" s="538">
        <f>PROFORMA!J86</f>
        <v>0</v>
      </c>
      <c r="J63" s="538">
        <f>PROFORMA!K86</f>
        <v>0</v>
      </c>
      <c r="K63" s="538">
        <f>PROFORMA!L86</f>
        <v>0</v>
      </c>
      <c r="L63" s="538">
        <f>PROFORMA!M86</f>
        <v>0</v>
      </c>
      <c r="M63" s="538">
        <f>PROFORMA!N86</f>
        <v>0</v>
      </c>
      <c r="N63" s="538">
        <f>PROFORMA!O86</f>
        <v>0</v>
      </c>
      <c r="O63" s="538">
        <f>PROFORMA!P86</f>
        <v>0</v>
      </c>
      <c r="P63" s="538">
        <f>PROFORMA!Q86</f>
        <v>0</v>
      </c>
      <c r="Q63" s="538">
        <f>PROFORMA!R86</f>
        <v>0</v>
      </c>
      <c r="R63" s="538">
        <f>PROFORMA!S86</f>
        <v>0</v>
      </c>
      <c r="S63" s="538">
        <f>PROFORMA!T86</f>
        <v>0</v>
      </c>
      <c r="T63" s="538">
        <f>PROFORMA!U86</f>
        <v>0</v>
      </c>
      <c r="U63" s="538">
        <f>PROFORMA!V86</f>
        <v>0</v>
      </c>
      <c r="V63" s="538">
        <f>PROFORMA!W86</f>
        <v>0</v>
      </c>
      <c r="W63" s="538">
        <f>PROFORMA!X86</f>
        <v>0</v>
      </c>
      <c r="X63" s="579">
        <f t="shared" si="0"/>
        <v>0</v>
      </c>
      <c r="Y63" s="538">
        <f>PROFORMA!Y86</f>
        <v>0</v>
      </c>
      <c r="Z63" s="538">
        <f>PROFORMA!Z86</f>
        <v>0</v>
      </c>
      <c r="AA63" s="538">
        <f>PROFORMA!AA86</f>
        <v>0</v>
      </c>
      <c r="AB63" s="538">
        <f>PROFORMA!AB86</f>
        <v>0</v>
      </c>
      <c r="AC63" s="538">
        <f>PROFORMA!AC86</f>
        <v>13000</v>
      </c>
      <c r="AD63" s="538">
        <f>PROFORMA!AD86</f>
        <v>0</v>
      </c>
      <c r="AE63" s="538">
        <f>PROFORMA!AE86</f>
        <v>1000</v>
      </c>
      <c r="AF63" s="538">
        <f>PROFORMA!AG86</f>
        <v>0</v>
      </c>
      <c r="AG63" s="538">
        <f>PROFORMA!AH86</f>
        <v>0</v>
      </c>
      <c r="AH63" s="538">
        <f>PROFORMA!AI86</f>
        <v>0</v>
      </c>
      <c r="AI63" s="538">
        <f>PROFORMA!AJ86</f>
        <v>0</v>
      </c>
      <c r="AJ63" s="538">
        <f>PROFORMA!AK86</f>
        <v>0</v>
      </c>
      <c r="AK63" s="538">
        <f>PROFORMA!AL86</f>
        <v>10000</v>
      </c>
      <c r="AL63" s="538">
        <f>PROFORMA!AM86</f>
        <v>0</v>
      </c>
      <c r="AM63" s="538">
        <f>PROFORMA!AN86</f>
        <v>0</v>
      </c>
      <c r="AN63" s="538">
        <f>PROFORMA!AO86</f>
        <v>0</v>
      </c>
      <c r="AO63" s="538">
        <f>PROFORMA!AP86</f>
        <v>0</v>
      </c>
      <c r="AP63" s="538">
        <f>PROFORMA!AQ86</f>
        <v>0</v>
      </c>
      <c r="AQ63" s="538">
        <f>PROFORMA!AR86</f>
        <v>0</v>
      </c>
      <c r="AR63" s="538">
        <f>PROFORMA!AS86</f>
        <v>0</v>
      </c>
      <c r="AS63" s="538">
        <f>PROFORMA!AT86</f>
        <v>-3000</v>
      </c>
      <c r="AT63" s="582">
        <f t="shared" si="74"/>
        <v>21000</v>
      </c>
      <c r="AU63" s="532">
        <f t="shared" si="75"/>
        <v>21000</v>
      </c>
      <c r="AV63" s="532">
        <f t="shared" si="76"/>
        <v>233000</v>
      </c>
      <c r="AW63" s="532"/>
      <c r="AX63" s="532">
        <f t="shared" si="1"/>
        <v>233000</v>
      </c>
    </row>
    <row r="64" spans="1:50" ht="31.5">
      <c r="A64" s="529">
        <v>62</v>
      </c>
      <c r="B64" s="795"/>
      <c r="C64" s="521" t="s">
        <v>333</v>
      </c>
      <c r="D64" s="522">
        <v>890</v>
      </c>
      <c r="E64" s="538">
        <f>PROFORMA!F87</f>
        <v>8000</v>
      </c>
      <c r="F64" s="538">
        <f>PROFORMA!G87</f>
        <v>0</v>
      </c>
      <c r="G64" s="538">
        <f>PROFORMA!H87</f>
        <v>0</v>
      </c>
      <c r="H64" s="538">
        <f>PROFORMA!I87</f>
        <v>0</v>
      </c>
      <c r="I64" s="538">
        <f>PROFORMA!J87</f>
        <v>0</v>
      </c>
      <c r="J64" s="538">
        <f>PROFORMA!K87</f>
        <v>0</v>
      </c>
      <c r="K64" s="538">
        <f>PROFORMA!L87</f>
        <v>0</v>
      </c>
      <c r="L64" s="538">
        <f>PROFORMA!M87</f>
        <v>0</v>
      </c>
      <c r="M64" s="538">
        <f>PROFORMA!N87</f>
        <v>0</v>
      </c>
      <c r="N64" s="538">
        <f>PROFORMA!O87</f>
        <v>0</v>
      </c>
      <c r="O64" s="538">
        <f>PROFORMA!P87</f>
        <v>0</v>
      </c>
      <c r="P64" s="538">
        <f>PROFORMA!Q87</f>
        <v>0</v>
      </c>
      <c r="Q64" s="538">
        <f>PROFORMA!R87</f>
        <v>0</v>
      </c>
      <c r="R64" s="538">
        <f>PROFORMA!S87</f>
        <v>0</v>
      </c>
      <c r="S64" s="538">
        <f>PROFORMA!T87</f>
        <v>0</v>
      </c>
      <c r="T64" s="538">
        <f>PROFORMA!U87</f>
        <v>0</v>
      </c>
      <c r="U64" s="538">
        <f>PROFORMA!V87</f>
        <v>0</v>
      </c>
      <c r="V64" s="538">
        <f>PROFORMA!W87</f>
        <v>0</v>
      </c>
      <c r="W64" s="538">
        <f>PROFORMA!X87</f>
        <v>0</v>
      </c>
      <c r="X64" s="579">
        <f t="shared" si="0"/>
        <v>0</v>
      </c>
      <c r="Y64" s="538">
        <f>PROFORMA!Y87</f>
        <v>0</v>
      </c>
      <c r="Z64" s="538">
        <f>PROFORMA!Z87</f>
        <v>0</v>
      </c>
      <c r="AA64" s="538">
        <f>PROFORMA!AA87</f>
        <v>0</v>
      </c>
      <c r="AB64" s="538">
        <f>PROFORMA!AB87</f>
        <v>0</v>
      </c>
      <c r="AC64" s="538">
        <f>PROFORMA!AC87</f>
        <v>1000</v>
      </c>
      <c r="AD64" s="538">
        <f>PROFORMA!AD87</f>
        <v>0</v>
      </c>
      <c r="AE64" s="538">
        <f>PROFORMA!AE87</f>
        <v>0</v>
      </c>
      <c r="AF64" s="538">
        <f>PROFORMA!AG87</f>
        <v>0</v>
      </c>
      <c r="AG64" s="538">
        <f>PROFORMA!AH87</f>
        <v>0</v>
      </c>
      <c r="AH64" s="538">
        <f>PROFORMA!AI87</f>
        <v>0</v>
      </c>
      <c r="AI64" s="538">
        <f>PROFORMA!AJ87</f>
        <v>0</v>
      </c>
      <c r="AJ64" s="538">
        <f>PROFORMA!AK87</f>
        <v>0</v>
      </c>
      <c r="AK64" s="538">
        <f>PROFORMA!AL87</f>
        <v>0</v>
      </c>
      <c r="AL64" s="538">
        <f>PROFORMA!AM87</f>
        <v>0</v>
      </c>
      <c r="AM64" s="538">
        <f>PROFORMA!AN87</f>
        <v>0</v>
      </c>
      <c r="AN64" s="538">
        <f>PROFORMA!AO87</f>
        <v>0</v>
      </c>
      <c r="AO64" s="538">
        <f>PROFORMA!AP87</f>
        <v>0</v>
      </c>
      <c r="AP64" s="538">
        <f>PROFORMA!AQ87</f>
        <v>0</v>
      </c>
      <c r="AQ64" s="538">
        <f>PROFORMA!AR87</f>
        <v>0</v>
      </c>
      <c r="AR64" s="538">
        <f>PROFORMA!AS87</f>
        <v>0</v>
      </c>
      <c r="AS64" s="538">
        <f>PROFORMA!AT87</f>
        <v>0</v>
      </c>
      <c r="AT64" s="582">
        <f t="shared" si="74"/>
        <v>1000</v>
      </c>
      <c r="AU64" s="532">
        <f t="shared" si="75"/>
        <v>1000</v>
      </c>
      <c r="AV64" s="532">
        <f t="shared" si="76"/>
        <v>9000</v>
      </c>
      <c r="AW64" s="532"/>
      <c r="AX64" s="532">
        <f t="shared" si="1"/>
        <v>9000</v>
      </c>
    </row>
    <row r="65" spans="1:50" ht="31.5">
      <c r="A65" s="529">
        <v>63</v>
      </c>
      <c r="B65" s="795"/>
      <c r="C65" s="521" t="s">
        <v>334</v>
      </c>
      <c r="D65" s="522">
        <v>891</v>
      </c>
      <c r="E65" s="538">
        <f>PROFORMA!F88</f>
        <v>83000</v>
      </c>
      <c r="F65" s="538">
        <f>PROFORMA!G88</f>
        <v>0</v>
      </c>
      <c r="G65" s="538">
        <f>PROFORMA!H88</f>
        <v>0</v>
      </c>
      <c r="H65" s="538">
        <f>PROFORMA!I88</f>
        <v>0</v>
      </c>
      <c r="I65" s="538">
        <f>PROFORMA!J88</f>
        <v>0</v>
      </c>
      <c r="J65" s="538">
        <f>PROFORMA!K88</f>
        <v>0</v>
      </c>
      <c r="K65" s="538">
        <f>PROFORMA!L88</f>
        <v>0</v>
      </c>
      <c r="L65" s="538">
        <f>PROFORMA!M88</f>
        <v>0</v>
      </c>
      <c r="M65" s="538">
        <f>PROFORMA!N88</f>
        <v>0</v>
      </c>
      <c r="N65" s="538">
        <f>PROFORMA!O88</f>
        <v>0</v>
      </c>
      <c r="O65" s="538">
        <f>PROFORMA!P88</f>
        <v>0</v>
      </c>
      <c r="P65" s="538">
        <f>PROFORMA!Q88</f>
        <v>0</v>
      </c>
      <c r="Q65" s="538">
        <f>PROFORMA!R88</f>
        <v>0</v>
      </c>
      <c r="R65" s="538">
        <f>PROFORMA!S88</f>
        <v>0</v>
      </c>
      <c r="S65" s="538">
        <f>PROFORMA!T88</f>
        <v>0</v>
      </c>
      <c r="T65" s="538">
        <f>PROFORMA!U88</f>
        <v>0</v>
      </c>
      <c r="U65" s="538">
        <f>PROFORMA!V88</f>
        <v>0</v>
      </c>
      <c r="V65" s="538">
        <f>PROFORMA!W88</f>
        <v>0</v>
      </c>
      <c r="W65" s="538">
        <f>PROFORMA!X88</f>
        <v>0</v>
      </c>
      <c r="X65" s="579">
        <f t="shared" si="0"/>
        <v>0</v>
      </c>
      <c r="Y65" s="538">
        <f>PROFORMA!Y88</f>
        <v>0</v>
      </c>
      <c r="Z65" s="538">
        <f>PROFORMA!Z88</f>
        <v>0</v>
      </c>
      <c r="AA65" s="538">
        <f>PROFORMA!AA88</f>
        <v>0</v>
      </c>
      <c r="AB65" s="538">
        <f>PROFORMA!AB88</f>
        <v>0</v>
      </c>
      <c r="AC65" s="538">
        <f>PROFORMA!AC88</f>
        <v>5000</v>
      </c>
      <c r="AD65" s="538">
        <f>PROFORMA!AD88</f>
        <v>0</v>
      </c>
      <c r="AE65" s="538">
        <f>PROFORMA!AE88</f>
        <v>0</v>
      </c>
      <c r="AF65" s="538">
        <f>PROFORMA!AG88</f>
        <v>0</v>
      </c>
      <c r="AG65" s="538">
        <f>PROFORMA!AH88</f>
        <v>0</v>
      </c>
      <c r="AH65" s="538">
        <f>PROFORMA!AI88</f>
        <v>0</v>
      </c>
      <c r="AI65" s="538">
        <f>PROFORMA!AJ88</f>
        <v>0</v>
      </c>
      <c r="AJ65" s="538">
        <f>PROFORMA!AK88</f>
        <v>0</v>
      </c>
      <c r="AK65" s="538">
        <f>PROFORMA!AL88</f>
        <v>4000</v>
      </c>
      <c r="AL65" s="538">
        <f>PROFORMA!AM88</f>
        <v>0</v>
      </c>
      <c r="AM65" s="538">
        <f>PROFORMA!AN88</f>
        <v>0</v>
      </c>
      <c r="AN65" s="538">
        <f>PROFORMA!AO88</f>
        <v>0</v>
      </c>
      <c r="AO65" s="538">
        <f>PROFORMA!AP88</f>
        <v>0</v>
      </c>
      <c r="AP65" s="538">
        <f>PROFORMA!AQ88</f>
        <v>0</v>
      </c>
      <c r="AQ65" s="538">
        <f>PROFORMA!AR88</f>
        <v>0</v>
      </c>
      <c r="AR65" s="538">
        <f>PROFORMA!AS88</f>
        <v>0</v>
      </c>
      <c r="AS65" s="538">
        <f>PROFORMA!AT88</f>
        <v>-1000</v>
      </c>
      <c r="AT65" s="582">
        <f t="shared" si="74"/>
        <v>8000</v>
      </c>
      <c r="AU65" s="532">
        <f t="shared" si="75"/>
        <v>8000</v>
      </c>
      <c r="AV65" s="532">
        <f t="shared" si="76"/>
        <v>91000</v>
      </c>
      <c r="AW65" s="532"/>
      <c r="AX65" s="532">
        <f t="shared" si="1"/>
        <v>91000</v>
      </c>
    </row>
    <row r="66" spans="1:50">
      <c r="A66" s="529">
        <v>64</v>
      </c>
      <c r="B66" s="795"/>
      <c r="C66" s="521" t="s">
        <v>91</v>
      </c>
      <c r="D66" s="522">
        <v>892</v>
      </c>
      <c r="E66" s="538">
        <f>PROFORMA!F89</f>
        <v>1074000</v>
      </c>
      <c r="F66" s="538">
        <f>PROFORMA!G89</f>
        <v>0</v>
      </c>
      <c r="G66" s="538">
        <f>PROFORMA!H89</f>
        <v>0</v>
      </c>
      <c r="H66" s="538">
        <f>PROFORMA!I89</f>
        <v>0</v>
      </c>
      <c r="I66" s="538">
        <f>PROFORMA!J89</f>
        <v>0</v>
      </c>
      <c r="J66" s="538">
        <f>PROFORMA!K89</f>
        <v>0</v>
      </c>
      <c r="K66" s="538">
        <f>PROFORMA!L89</f>
        <v>0</v>
      </c>
      <c r="L66" s="538">
        <f>PROFORMA!M89</f>
        <v>0</v>
      </c>
      <c r="M66" s="538">
        <f>PROFORMA!N89</f>
        <v>0</v>
      </c>
      <c r="N66" s="538">
        <f>PROFORMA!O89</f>
        <v>0</v>
      </c>
      <c r="O66" s="538">
        <f>PROFORMA!P89</f>
        <v>0</v>
      </c>
      <c r="P66" s="538">
        <f>PROFORMA!Q89</f>
        <v>0</v>
      </c>
      <c r="Q66" s="538">
        <f>PROFORMA!R89</f>
        <v>0</v>
      </c>
      <c r="R66" s="538">
        <f>PROFORMA!S89</f>
        <v>0</v>
      </c>
      <c r="S66" s="538">
        <f>PROFORMA!T89</f>
        <v>0</v>
      </c>
      <c r="T66" s="538">
        <f>PROFORMA!U89</f>
        <v>-2000</v>
      </c>
      <c r="U66" s="538">
        <f>PROFORMA!V89</f>
        <v>0</v>
      </c>
      <c r="V66" s="538">
        <f>PROFORMA!W89</f>
        <v>0</v>
      </c>
      <c r="W66" s="538">
        <f>PROFORMA!X89</f>
        <v>0</v>
      </c>
      <c r="X66" s="579">
        <f t="shared" si="0"/>
        <v>-2000</v>
      </c>
      <c r="Y66" s="538">
        <f>PROFORMA!Y89</f>
        <v>0</v>
      </c>
      <c r="Z66" s="538">
        <f>PROFORMA!Z89</f>
        <v>0</v>
      </c>
      <c r="AA66" s="538">
        <f>PROFORMA!AA89</f>
        <v>0</v>
      </c>
      <c r="AB66" s="538">
        <f>PROFORMA!AB89</f>
        <v>0</v>
      </c>
      <c r="AC66" s="538">
        <f>PROFORMA!AC89</f>
        <v>68000</v>
      </c>
      <c r="AD66" s="538">
        <f>PROFORMA!AD89</f>
        <v>0</v>
      </c>
      <c r="AE66" s="538">
        <f>PROFORMA!AE89</f>
        <v>1000</v>
      </c>
      <c r="AF66" s="538">
        <f>PROFORMA!AG89</f>
        <v>0</v>
      </c>
      <c r="AG66" s="538">
        <f>PROFORMA!AH89</f>
        <v>0</v>
      </c>
      <c r="AH66" s="538">
        <f>PROFORMA!AI89</f>
        <v>0</v>
      </c>
      <c r="AI66" s="538">
        <f>PROFORMA!AJ89</f>
        <v>0</v>
      </c>
      <c r="AJ66" s="538">
        <f>PROFORMA!AK89</f>
        <v>0</v>
      </c>
      <c r="AK66" s="538">
        <f>PROFORMA!AL89</f>
        <v>48000</v>
      </c>
      <c r="AL66" s="538">
        <f>PROFORMA!AM89</f>
        <v>0</v>
      </c>
      <c r="AM66" s="538">
        <f>PROFORMA!AN89</f>
        <v>0</v>
      </c>
      <c r="AN66" s="538">
        <f>PROFORMA!AO89</f>
        <v>0</v>
      </c>
      <c r="AO66" s="538">
        <f>PROFORMA!AP89</f>
        <v>0</v>
      </c>
      <c r="AP66" s="538">
        <f>PROFORMA!AQ89</f>
        <v>0</v>
      </c>
      <c r="AQ66" s="538">
        <f>PROFORMA!AR89</f>
        <v>0</v>
      </c>
      <c r="AR66" s="538">
        <f>PROFORMA!AS89</f>
        <v>0</v>
      </c>
      <c r="AS66" s="538">
        <f>PROFORMA!AT89</f>
        <v>-16000</v>
      </c>
      <c r="AT66" s="582">
        <f t="shared" si="74"/>
        <v>101000</v>
      </c>
      <c r="AU66" s="532">
        <f t="shared" si="75"/>
        <v>99000</v>
      </c>
      <c r="AV66" s="532">
        <f t="shared" si="76"/>
        <v>1173000</v>
      </c>
      <c r="AW66" s="532"/>
      <c r="AX66" s="532">
        <f t="shared" si="1"/>
        <v>1173000</v>
      </c>
    </row>
    <row r="67" spans="1:50">
      <c r="A67" s="529">
        <v>65</v>
      </c>
      <c r="B67" s="795"/>
      <c r="C67" s="521" t="s">
        <v>338</v>
      </c>
      <c r="D67" s="522">
        <v>893</v>
      </c>
      <c r="E67" s="538">
        <f>PROFORMA!F90</f>
        <v>1531000</v>
      </c>
      <c r="F67" s="538">
        <f>PROFORMA!G90</f>
        <v>0</v>
      </c>
      <c r="G67" s="538">
        <f>PROFORMA!H90</f>
        <v>0</v>
      </c>
      <c r="H67" s="538">
        <f>PROFORMA!I90</f>
        <v>0</v>
      </c>
      <c r="I67" s="538">
        <f>PROFORMA!J90</f>
        <v>0</v>
      </c>
      <c r="J67" s="538">
        <f>PROFORMA!K90</f>
        <v>0</v>
      </c>
      <c r="K67" s="538">
        <f>PROFORMA!L90</f>
        <v>0</v>
      </c>
      <c r="L67" s="538">
        <f>PROFORMA!M90</f>
        <v>0</v>
      </c>
      <c r="M67" s="538">
        <f>PROFORMA!N90</f>
        <v>0</v>
      </c>
      <c r="N67" s="538">
        <f>PROFORMA!O90</f>
        <v>0</v>
      </c>
      <c r="O67" s="538">
        <f>PROFORMA!P90</f>
        <v>0</v>
      </c>
      <c r="P67" s="538">
        <f>PROFORMA!Q90</f>
        <v>0</v>
      </c>
      <c r="Q67" s="538">
        <f>PROFORMA!R90</f>
        <v>0</v>
      </c>
      <c r="R67" s="538">
        <f>PROFORMA!S90</f>
        <v>0</v>
      </c>
      <c r="S67" s="538">
        <f>PROFORMA!T90</f>
        <v>0</v>
      </c>
      <c r="T67" s="538">
        <f>PROFORMA!U90</f>
        <v>0</v>
      </c>
      <c r="U67" s="538">
        <f>PROFORMA!V90</f>
        <v>0</v>
      </c>
      <c r="V67" s="538">
        <f>PROFORMA!W90</f>
        <v>0</v>
      </c>
      <c r="W67" s="538">
        <f>PROFORMA!X90</f>
        <v>0</v>
      </c>
      <c r="X67" s="579">
        <f t="shared" si="0"/>
        <v>0</v>
      </c>
      <c r="Y67" s="538">
        <f>PROFORMA!Y90</f>
        <v>0</v>
      </c>
      <c r="Z67" s="538">
        <f>PROFORMA!Z90</f>
        <v>0</v>
      </c>
      <c r="AA67" s="538">
        <f>PROFORMA!AA90</f>
        <v>0</v>
      </c>
      <c r="AB67" s="538">
        <f>PROFORMA!AB90</f>
        <v>0</v>
      </c>
      <c r="AC67" s="538">
        <f>PROFORMA!AC90</f>
        <v>97000</v>
      </c>
      <c r="AD67" s="538">
        <f>PROFORMA!AD90</f>
        <v>0</v>
      </c>
      <c r="AE67" s="538">
        <f>PROFORMA!AE90</f>
        <v>2000</v>
      </c>
      <c r="AF67" s="538">
        <f>PROFORMA!AG90</f>
        <v>0</v>
      </c>
      <c r="AG67" s="538">
        <f>PROFORMA!AH90</f>
        <v>0</v>
      </c>
      <c r="AH67" s="538">
        <f>PROFORMA!AI90</f>
        <v>0</v>
      </c>
      <c r="AI67" s="538">
        <f>PROFORMA!AJ90</f>
        <v>0</v>
      </c>
      <c r="AJ67" s="538">
        <f>PROFORMA!AK90</f>
        <v>0</v>
      </c>
      <c r="AK67" s="538">
        <f>PROFORMA!AL90</f>
        <v>69000</v>
      </c>
      <c r="AL67" s="538">
        <f>PROFORMA!AM90</f>
        <v>0</v>
      </c>
      <c r="AM67" s="538">
        <f>PROFORMA!AN90</f>
        <v>0</v>
      </c>
      <c r="AN67" s="538">
        <f>PROFORMA!AO90</f>
        <v>0</v>
      </c>
      <c r="AO67" s="538">
        <f>PROFORMA!AP90</f>
        <v>0</v>
      </c>
      <c r="AP67" s="538">
        <f>PROFORMA!AQ90</f>
        <v>0</v>
      </c>
      <c r="AQ67" s="538">
        <f>PROFORMA!AR90</f>
        <v>0</v>
      </c>
      <c r="AR67" s="538">
        <f>PROFORMA!AS90</f>
        <v>0</v>
      </c>
      <c r="AS67" s="538">
        <f>PROFORMA!AT90</f>
        <v>-23000</v>
      </c>
      <c r="AT67" s="582">
        <f t="shared" si="74"/>
        <v>145000</v>
      </c>
      <c r="AU67" s="532">
        <f t="shared" si="75"/>
        <v>145000</v>
      </c>
      <c r="AV67" s="532">
        <f t="shared" si="76"/>
        <v>1676000</v>
      </c>
      <c r="AW67" s="532"/>
      <c r="AX67" s="532">
        <f t="shared" si="1"/>
        <v>1676000</v>
      </c>
    </row>
    <row r="68" spans="1:50">
      <c r="A68" s="529">
        <v>66</v>
      </c>
      <c r="B68" s="795"/>
      <c r="C68" s="521" t="s">
        <v>242</v>
      </c>
      <c r="D68" s="522">
        <v>894</v>
      </c>
      <c r="E68" s="574">
        <f>PROFORMA!F91</f>
        <v>121000</v>
      </c>
      <c r="F68" s="574">
        <f>PROFORMA!G91</f>
        <v>0</v>
      </c>
      <c r="G68" s="574">
        <f>PROFORMA!H91</f>
        <v>0</v>
      </c>
      <c r="H68" s="574">
        <f>PROFORMA!I91</f>
        <v>0</v>
      </c>
      <c r="I68" s="574">
        <f>PROFORMA!J91</f>
        <v>0</v>
      </c>
      <c r="J68" s="574">
        <f>PROFORMA!K91</f>
        <v>0</v>
      </c>
      <c r="K68" s="574">
        <f>PROFORMA!L91</f>
        <v>0</v>
      </c>
      <c r="L68" s="574">
        <f>PROFORMA!M91</f>
        <v>0</v>
      </c>
      <c r="M68" s="574">
        <f>PROFORMA!N91</f>
        <v>0</v>
      </c>
      <c r="N68" s="574">
        <f>PROFORMA!O91</f>
        <v>0</v>
      </c>
      <c r="O68" s="574">
        <f>PROFORMA!P91</f>
        <v>0</v>
      </c>
      <c r="P68" s="574">
        <f>PROFORMA!Q91</f>
        <v>0</v>
      </c>
      <c r="Q68" s="574">
        <f>PROFORMA!R91</f>
        <v>0</v>
      </c>
      <c r="R68" s="574">
        <f>PROFORMA!S91</f>
        <v>0</v>
      </c>
      <c r="S68" s="574">
        <f>PROFORMA!T91</f>
        <v>0</v>
      </c>
      <c r="T68" s="574">
        <f>PROFORMA!U91</f>
        <v>0</v>
      </c>
      <c r="U68" s="574">
        <f>PROFORMA!V91</f>
        <v>0</v>
      </c>
      <c r="V68" s="574">
        <f>PROFORMA!W91</f>
        <v>0</v>
      </c>
      <c r="W68" s="574">
        <f>PROFORMA!X91</f>
        <v>0</v>
      </c>
      <c r="X68" s="580">
        <f t="shared" ref="X68:X131" si="77">SUM(F68:W68)</f>
        <v>0</v>
      </c>
      <c r="Y68" s="574">
        <f>PROFORMA!Y91</f>
        <v>0</v>
      </c>
      <c r="Z68" s="574">
        <f>PROFORMA!Z91</f>
        <v>0</v>
      </c>
      <c r="AA68" s="574">
        <f>PROFORMA!AA91</f>
        <v>0</v>
      </c>
      <c r="AB68" s="574">
        <f>PROFORMA!AB91</f>
        <v>0</v>
      </c>
      <c r="AC68" s="574">
        <f>PROFORMA!AC91</f>
        <v>8000</v>
      </c>
      <c r="AD68" s="574">
        <f>PROFORMA!AD91</f>
        <v>0</v>
      </c>
      <c r="AE68" s="574">
        <f>PROFORMA!AE91</f>
        <v>0</v>
      </c>
      <c r="AF68" s="574">
        <f>PROFORMA!AG91</f>
        <v>0</v>
      </c>
      <c r="AG68" s="574">
        <f>PROFORMA!AH91</f>
        <v>0</v>
      </c>
      <c r="AH68" s="574">
        <f>PROFORMA!AI91</f>
        <v>0</v>
      </c>
      <c r="AI68" s="574">
        <f>PROFORMA!AJ91</f>
        <v>0</v>
      </c>
      <c r="AJ68" s="574">
        <f>PROFORMA!AK91</f>
        <v>0</v>
      </c>
      <c r="AK68" s="574">
        <f>PROFORMA!AL91</f>
        <v>5000</v>
      </c>
      <c r="AL68" s="574">
        <f>PROFORMA!AM91</f>
        <v>0</v>
      </c>
      <c r="AM68" s="574">
        <f>PROFORMA!AN91</f>
        <v>0</v>
      </c>
      <c r="AN68" s="574">
        <f>PROFORMA!AO91</f>
        <v>0</v>
      </c>
      <c r="AO68" s="574">
        <f>PROFORMA!AP91</f>
        <v>0</v>
      </c>
      <c r="AP68" s="574">
        <f>PROFORMA!AQ91</f>
        <v>0</v>
      </c>
      <c r="AQ68" s="574">
        <f>PROFORMA!AR91</f>
        <v>0</v>
      </c>
      <c r="AR68" s="574">
        <f>PROFORMA!AS91</f>
        <v>0</v>
      </c>
      <c r="AS68" s="574">
        <f>PROFORMA!AT91</f>
        <v>-2000</v>
      </c>
      <c r="AT68" s="583">
        <f t="shared" si="74"/>
        <v>11000</v>
      </c>
      <c r="AU68" s="581">
        <f t="shared" si="75"/>
        <v>11000</v>
      </c>
      <c r="AV68" s="581">
        <f t="shared" si="76"/>
        <v>132000</v>
      </c>
      <c r="AW68" s="581"/>
      <c r="AX68" s="581">
        <f t="shared" si="1"/>
        <v>132000</v>
      </c>
    </row>
    <row r="69" spans="1:50">
      <c r="A69" s="529">
        <v>67</v>
      </c>
      <c r="B69" s="521"/>
      <c r="C69" s="518" t="s">
        <v>1086</v>
      </c>
      <c r="D69" s="544"/>
      <c r="E69" s="576">
        <f>SUM(E60:E68)</f>
        <v>4026000</v>
      </c>
      <c r="F69" s="576">
        <f t="shared" ref="F69" si="78">SUM(F60:F68)</f>
        <v>0</v>
      </c>
      <c r="G69" s="576">
        <f t="shared" ref="G69:W69" si="79">SUM(G60:G68)</f>
        <v>0</v>
      </c>
      <c r="H69" s="576">
        <f t="shared" si="79"/>
        <v>0</v>
      </c>
      <c r="I69" s="576">
        <f t="shared" si="79"/>
        <v>0</v>
      </c>
      <c r="J69" s="576">
        <f t="shared" si="79"/>
        <v>0</v>
      </c>
      <c r="K69" s="576">
        <f t="shared" si="79"/>
        <v>0</v>
      </c>
      <c r="L69" s="576">
        <f t="shared" si="79"/>
        <v>0</v>
      </c>
      <c r="M69" s="576">
        <f t="shared" si="79"/>
        <v>0</v>
      </c>
      <c r="N69" s="576">
        <f t="shared" si="79"/>
        <v>0</v>
      </c>
      <c r="O69" s="576">
        <f t="shared" si="79"/>
        <v>0</v>
      </c>
      <c r="P69" s="576">
        <f t="shared" si="79"/>
        <v>0</v>
      </c>
      <c r="Q69" s="576">
        <f t="shared" si="79"/>
        <v>0</v>
      </c>
      <c r="R69" s="576">
        <f t="shared" si="79"/>
        <v>0</v>
      </c>
      <c r="S69" s="576">
        <f t="shared" si="79"/>
        <v>0</v>
      </c>
      <c r="T69" s="576">
        <f t="shared" si="79"/>
        <v>-2000</v>
      </c>
      <c r="U69" s="576">
        <f t="shared" si="79"/>
        <v>0</v>
      </c>
      <c r="V69" s="576">
        <f t="shared" si="79"/>
        <v>0</v>
      </c>
      <c r="W69" s="576">
        <f t="shared" si="79"/>
        <v>0</v>
      </c>
      <c r="X69" s="580">
        <f t="shared" si="77"/>
        <v>-2000</v>
      </c>
      <c r="Y69" s="576">
        <f t="shared" ref="Y69:AX69" si="80">SUM(Y60:Y68)</f>
        <v>0</v>
      </c>
      <c r="Z69" s="576">
        <f t="shared" ref="Z69:AF69" si="81">SUM(Z60:Z68)</f>
        <v>0</v>
      </c>
      <c r="AA69" s="576">
        <f t="shared" si="81"/>
        <v>0</v>
      </c>
      <c r="AB69" s="576">
        <f t="shared" si="81"/>
        <v>0</v>
      </c>
      <c r="AC69" s="576">
        <f t="shared" si="81"/>
        <v>255000</v>
      </c>
      <c r="AD69" s="576">
        <f t="shared" si="81"/>
        <v>0</v>
      </c>
      <c r="AE69" s="576">
        <f t="shared" si="81"/>
        <v>5000</v>
      </c>
      <c r="AF69" s="576">
        <f t="shared" si="81"/>
        <v>0</v>
      </c>
      <c r="AG69" s="576">
        <f t="shared" ref="AG69:AQ69" si="82">SUM(AG60:AG68)</f>
        <v>0</v>
      </c>
      <c r="AH69" s="576">
        <f t="shared" si="82"/>
        <v>0</v>
      </c>
      <c r="AI69" s="576">
        <f t="shared" si="82"/>
        <v>0</v>
      </c>
      <c r="AJ69" s="576">
        <f t="shared" si="82"/>
        <v>0</v>
      </c>
      <c r="AK69" s="576">
        <f t="shared" si="82"/>
        <v>181000</v>
      </c>
      <c r="AL69" s="576">
        <f t="shared" si="82"/>
        <v>0</v>
      </c>
      <c r="AM69" s="576">
        <f t="shared" si="82"/>
        <v>0</v>
      </c>
      <c r="AN69" s="576">
        <f t="shared" si="82"/>
        <v>0</v>
      </c>
      <c r="AO69" s="576">
        <f t="shared" si="82"/>
        <v>0</v>
      </c>
      <c r="AP69" s="576">
        <f t="shared" si="82"/>
        <v>0</v>
      </c>
      <c r="AQ69" s="576">
        <f t="shared" si="82"/>
        <v>0</v>
      </c>
      <c r="AR69" s="576">
        <f t="shared" ref="AR69:AS69" si="83">SUM(AR60:AR68)</f>
        <v>0</v>
      </c>
      <c r="AS69" s="576">
        <f t="shared" si="83"/>
        <v>-59000</v>
      </c>
      <c r="AT69" s="576">
        <f t="shared" si="80"/>
        <v>382000</v>
      </c>
      <c r="AU69" s="576">
        <f t="shared" si="80"/>
        <v>380000</v>
      </c>
      <c r="AV69" s="576">
        <f t="shared" si="80"/>
        <v>4406000</v>
      </c>
      <c r="AW69" s="576">
        <f t="shared" si="80"/>
        <v>0</v>
      </c>
      <c r="AX69" s="576">
        <f t="shared" si="80"/>
        <v>4406000</v>
      </c>
    </row>
    <row r="70" spans="1:50">
      <c r="A70" s="529">
        <v>68</v>
      </c>
      <c r="B70" s="503"/>
      <c r="C70" s="525" t="s">
        <v>1066</v>
      </c>
      <c r="D70" s="525"/>
      <c r="E70" s="539">
        <f>E59+E69</f>
        <v>12916000</v>
      </c>
      <c r="F70" s="539">
        <f t="shared" ref="F70" si="84">F59+F69</f>
        <v>0</v>
      </c>
      <c r="G70" s="539">
        <f t="shared" ref="G70:W70" si="85">G59+G69</f>
        <v>0</v>
      </c>
      <c r="H70" s="539">
        <f t="shared" si="85"/>
        <v>0</v>
      </c>
      <c r="I70" s="539">
        <f t="shared" si="85"/>
        <v>0</v>
      </c>
      <c r="J70" s="539">
        <f t="shared" si="85"/>
        <v>0</v>
      </c>
      <c r="K70" s="539">
        <f t="shared" si="85"/>
        <v>0</v>
      </c>
      <c r="L70" s="539">
        <f t="shared" si="85"/>
        <v>0</v>
      </c>
      <c r="M70" s="539">
        <f t="shared" si="85"/>
        <v>0</v>
      </c>
      <c r="N70" s="539">
        <f t="shared" si="85"/>
        <v>0</v>
      </c>
      <c r="O70" s="539">
        <f t="shared" si="85"/>
        <v>0</v>
      </c>
      <c r="P70" s="539">
        <f t="shared" si="85"/>
        <v>0</v>
      </c>
      <c r="Q70" s="539">
        <f t="shared" si="85"/>
        <v>0</v>
      </c>
      <c r="R70" s="539">
        <f t="shared" si="85"/>
        <v>0</v>
      </c>
      <c r="S70" s="539">
        <f t="shared" si="85"/>
        <v>0</v>
      </c>
      <c r="T70" s="539">
        <f t="shared" si="85"/>
        <v>-5000</v>
      </c>
      <c r="U70" s="539">
        <f t="shared" si="85"/>
        <v>0</v>
      </c>
      <c r="V70" s="539">
        <f t="shared" si="85"/>
        <v>0</v>
      </c>
      <c r="W70" s="539">
        <f t="shared" si="85"/>
        <v>0</v>
      </c>
      <c r="X70" s="579">
        <f t="shared" si="77"/>
        <v>-5000</v>
      </c>
      <c r="Y70" s="539">
        <f t="shared" ref="Y70:AX70" si="86">Y59+Y69</f>
        <v>0</v>
      </c>
      <c r="Z70" s="539">
        <f t="shared" ref="Z70:AF70" si="87">Z59+Z69</f>
        <v>0</v>
      </c>
      <c r="AA70" s="539">
        <f t="shared" si="87"/>
        <v>0</v>
      </c>
      <c r="AB70" s="539">
        <f t="shared" si="87"/>
        <v>-691000</v>
      </c>
      <c r="AC70" s="539">
        <f t="shared" si="87"/>
        <v>815000</v>
      </c>
      <c r="AD70" s="539">
        <f t="shared" si="87"/>
        <v>0</v>
      </c>
      <c r="AE70" s="539">
        <f t="shared" si="87"/>
        <v>18000</v>
      </c>
      <c r="AF70" s="539">
        <f t="shared" si="87"/>
        <v>0</v>
      </c>
      <c r="AG70" s="539">
        <f t="shared" ref="AG70:AQ70" si="88">AG59+AG69</f>
        <v>0</v>
      </c>
      <c r="AH70" s="539">
        <f t="shared" si="88"/>
        <v>0</v>
      </c>
      <c r="AI70" s="539">
        <f t="shared" si="88"/>
        <v>0</v>
      </c>
      <c r="AJ70" s="539">
        <f t="shared" si="88"/>
        <v>0</v>
      </c>
      <c r="AK70" s="539">
        <f t="shared" si="88"/>
        <v>580000</v>
      </c>
      <c r="AL70" s="539">
        <f t="shared" si="88"/>
        <v>0</v>
      </c>
      <c r="AM70" s="539">
        <f t="shared" si="88"/>
        <v>0</v>
      </c>
      <c r="AN70" s="539">
        <f t="shared" si="88"/>
        <v>0</v>
      </c>
      <c r="AO70" s="539">
        <f t="shared" si="88"/>
        <v>0</v>
      </c>
      <c r="AP70" s="539">
        <f t="shared" si="88"/>
        <v>0</v>
      </c>
      <c r="AQ70" s="539">
        <f t="shared" si="88"/>
        <v>0</v>
      </c>
      <c r="AR70" s="539">
        <f t="shared" ref="AR70:AS70" si="89">AR59+AR69</f>
        <v>0</v>
      </c>
      <c r="AS70" s="539">
        <f t="shared" si="89"/>
        <v>-190000</v>
      </c>
      <c r="AT70" s="539">
        <f t="shared" si="86"/>
        <v>532000</v>
      </c>
      <c r="AU70" s="539">
        <f t="shared" si="86"/>
        <v>527000</v>
      </c>
      <c r="AV70" s="539">
        <f t="shared" si="86"/>
        <v>13443000</v>
      </c>
      <c r="AW70" s="539">
        <f t="shared" si="86"/>
        <v>0</v>
      </c>
      <c r="AX70" s="539">
        <f t="shared" si="86"/>
        <v>13443000</v>
      </c>
    </row>
    <row r="71" spans="1:50">
      <c r="A71" s="529">
        <v>69</v>
      </c>
      <c r="B71" s="794" t="s">
        <v>1087</v>
      </c>
      <c r="C71" s="556" t="s">
        <v>13</v>
      </c>
      <c r="D71" s="502">
        <v>901</v>
      </c>
      <c r="E71" s="557">
        <f>PROFORMA!F97</f>
        <v>56000</v>
      </c>
      <c r="F71" s="557">
        <f>PROFORMA!G97</f>
        <v>0</v>
      </c>
      <c r="G71" s="557">
        <f>PROFORMA!H97</f>
        <v>0</v>
      </c>
      <c r="H71" s="557">
        <f>PROFORMA!I97</f>
        <v>0</v>
      </c>
      <c r="I71" s="557">
        <f>PROFORMA!J97</f>
        <v>0</v>
      </c>
      <c r="J71" s="557">
        <f>PROFORMA!K97</f>
        <v>0</v>
      </c>
      <c r="K71" s="557">
        <f>PROFORMA!L97</f>
        <v>0</v>
      </c>
      <c r="L71" s="557">
        <f>PROFORMA!M97</f>
        <v>0</v>
      </c>
      <c r="M71" s="557">
        <f>PROFORMA!N97</f>
        <v>0</v>
      </c>
      <c r="N71" s="557">
        <f>PROFORMA!O97</f>
        <v>0</v>
      </c>
      <c r="O71" s="557">
        <f>PROFORMA!P97</f>
        <v>0</v>
      </c>
      <c r="P71" s="557">
        <f>PROFORMA!Q97</f>
        <v>0</v>
      </c>
      <c r="Q71" s="557">
        <f>PROFORMA!R97</f>
        <v>0</v>
      </c>
      <c r="R71" s="557">
        <f>PROFORMA!S97</f>
        <v>0</v>
      </c>
      <c r="S71" s="557">
        <f>PROFORMA!T97</f>
        <v>0</v>
      </c>
      <c r="T71" s="557">
        <f>PROFORMA!U97</f>
        <v>0</v>
      </c>
      <c r="U71" s="557">
        <f>PROFORMA!V97</f>
        <v>0</v>
      </c>
      <c r="V71" s="557">
        <f>PROFORMA!W97</f>
        <v>0</v>
      </c>
      <c r="W71" s="557">
        <f>PROFORMA!X97</f>
        <v>0</v>
      </c>
      <c r="X71" s="579">
        <f t="shared" si="77"/>
        <v>0</v>
      </c>
      <c r="Y71" s="557">
        <f>PROFORMA!Y97</f>
        <v>0</v>
      </c>
      <c r="Z71" s="557">
        <f>PROFORMA!Z97</f>
        <v>0</v>
      </c>
      <c r="AA71" s="557">
        <f>PROFORMA!AA97</f>
        <v>0</v>
      </c>
      <c r="AB71" s="557">
        <f>PROFORMA!AB97</f>
        <v>0</v>
      </c>
      <c r="AC71" s="557">
        <f>PROFORMA!AC97</f>
        <v>4000</v>
      </c>
      <c r="AD71" s="557">
        <f>PROFORMA!AD97</f>
        <v>0</v>
      </c>
      <c r="AE71" s="557">
        <f>PROFORMA!AE97</f>
        <v>0</v>
      </c>
      <c r="AF71" s="557">
        <f>PROFORMA!AG97</f>
        <v>0</v>
      </c>
      <c r="AG71" s="557">
        <f>PROFORMA!AH97</f>
        <v>0</v>
      </c>
      <c r="AH71" s="557">
        <f>PROFORMA!AI97</f>
        <v>0</v>
      </c>
      <c r="AI71" s="557">
        <f>PROFORMA!AJ97</f>
        <v>0</v>
      </c>
      <c r="AJ71" s="557">
        <f>PROFORMA!AK97</f>
        <v>0</v>
      </c>
      <c r="AK71" s="557">
        <f>PROFORMA!AL97</f>
        <v>0</v>
      </c>
      <c r="AL71" s="557">
        <f>PROFORMA!AM97</f>
        <v>0</v>
      </c>
      <c r="AM71" s="557">
        <f>PROFORMA!AN97</f>
        <v>0</v>
      </c>
      <c r="AN71" s="557">
        <f>PROFORMA!AO97</f>
        <v>0</v>
      </c>
      <c r="AO71" s="557">
        <f>PROFORMA!AP97</f>
        <v>0</v>
      </c>
      <c r="AP71" s="557">
        <f>PROFORMA!AQ97</f>
        <v>0</v>
      </c>
      <c r="AQ71" s="557">
        <f>PROFORMA!AR97</f>
        <v>0</v>
      </c>
      <c r="AR71" s="557">
        <f>PROFORMA!AS97</f>
        <v>0</v>
      </c>
      <c r="AS71" s="557">
        <f>PROFORMA!AT97</f>
        <v>0</v>
      </c>
      <c r="AT71" s="582">
        <f>SUM(Y71:AS71)</f>
        <v>4000</v>
      </c>
      <c r="AU71" s="532">
        <f>X71+AT71</f>
        <v>4000</v>
      </c>
      <c r="AV71" s="532">
        <f>E71+AU71</f>
        <v>60000</v>
      </c>
      <c r="AW71" s="532"/>
      <c r="AX71" s="532">
        <f t="shared" ref="AX71:AX132" si="90">AV71+AW71</f>
        <v>60000</v>
      </c>
    </row>
    <row r="72" spans="1:50">
      <c r="A72" s="529">
        <v>70</v>
      </c>
      <c r="B72" s="794"/>
      <c r="C72" s="556" t="s">
        <v>15</v>
      </c>
      <c r="D72" s="502">
        <v>902</v>
      </c>
      <c r="E72" s="557">
        <f>PROFORMA!F98</f>
        <v>334000</v>
      </c>
      <c r="F72" s="557">
        <f>PROFORMA!G98</f>
        <v>0</v>
      </c>
      <c r="G72" s="557">
        <f>PROFORMA!H98</f>
        <v>0</v>
      </c>
      <c r="H72" s="557">
        <f>PROFORMA!I98</f>
        <v>0</v>
      </c>
      <c r="I72" s="557">
        <f>PROFORMA!J98</f>
        <v>0</v>
      </c>
      <c r="J72" s="557">
        <f>PROFORMA!K98</f>
        <v>0</v>
      </c>
      <c r="K72" s="557">
        <f>PROFORMA!L98</f>
        <v>0</v>
      </c>
      <c r="L72" s="557">
        <f>PROFORMA!M98</f>
        <v>0</v>
      </c>
      <c r="M72" s="557">
        <f>PROFORMA!N98</f>
        <v>0</v>
      </c>
      <c r="N72" s="557">
        <f>PROFORMA!O98</f>
        <v>0</v>
      </c>
      <c r="O72" s="557">
        <f>PROFORMA!P98</f>
        <v>0</v>
      </c>
      <c r="P72" s="557">
        <f>PROFORMA!Q98</f>
        <v>0</v>
      </c>
      <c r="Q72" s="557">
        <f>PROFORMA!R98</f>
        <v>0</v>
      </c>
      <c r="R72" s="557">
        <f>PROFORMA!S98</f>
        <v>0</v>
      </c>
      <c r="S72" s="557">
        <f>PROFORMA!T98</f>
        <v>0</v>
      </c>
      <c r="T72" s="557">
        <f>PROFORMA!U98</f>
        <v>0</v>
      </c>
      <c r="U72" s="557">
        <f>PROFORMA!V98</f>
        <v>0</v>
      </c>
      <c r="V72" s="557">
        <f>PROFORMA!W98</f>
        <v>0</v>
      </c>
      <c r="W72" s="557">
        <f>PROFORMA!X98</f>
        <v>0</v>
      </c>
      <c r="X72" s="579">
        <f t="shared" si="77"/>
        <v>0</v>
      </c>
      <c r="Y72" s="557">
        <f>PROFORMA!Y98</f>
        <v>0</v>
      </c>
      <c r="Z72" s="557">
        <f>PROFORMA!Z98</f>
        <v>0</v>
      </c>
      <c r="AA72" s="557">
        <f>PROFORMA!AA98</f>
        <v>0</v>
      </c>
      <c r="AB72" s="557">
        <f>PROFORMA!AB98</f>
        <v>0</v>
      </c>
      <c r="AC72" s="557">
        <f>PROFORMA!AC98</f>
        <v>23000</v>
      </c>
      <c r="AD72" s="557">
        <f>PROFORMA!AD98</f>
        <v>0</v>
      </c>
      <c r="AE72" s="557">
        <f>PROFORMA!AE98</f>
        <v>1000</v>
      </c>
      <c r="AF72" s="557">
        <f>PROFORMA!AG98</f>
        <v>0</v>
      </c>
      <c r="AG72" s="557">
        <f>PROFORMA!AH98</f>
        <v>0</v>
      </c>
      <c r="AH72" s="557">
        <f>PROFORMA!AI98</f>
        <v>0</v>
      </c>
      <c r="AI72" s="557">
        <f>PROFORMA!AJ98</f>
        <v>0</v>
      </c>
      <c r="AJ72" s="557">
        <f>PROFORMA!AK98</f>
        <v>0</v>
      </c>
      <c r="AK72" s="557">
        <f>PROFORMA!AL98</f>
        <v>0</v>
      </c>
      <c r="AL72" s="557">
        <f>PROFORMA!AM98</f>
        <v>0</v>
      </c>
      <c r="AM72" s="557">
        <f>PROFORMA!AN98</f>
        <v>0</v>
      </c>
      <c r="AN72" s="557">
        <f>PROFORMA!AO98</f>
        <v>0</v>
      </c>
      <c r="AO72" s="557">
        <f>PROFORMA!AP98</f>
        <v>0</v>
      </c>
      <c r="AP72" s="557">
        <f>PROFORMA!AQ98</f>
        <v>0</v>
      </c>
      <c r="AQ72" s="557">
        <f>PROFORMA!AR98</f>
        <v>0</v>
      </c>
      <c r="AR72" s="557">
        <f>PROFORMA!AS98</f>
        <v>0</v>
      </c>
      <c r="AS72" s="557">
        <f>PROFORMA!AT98</f>
        <v>0</v>
      </c>
      <c r="AT72" s="582">
        <f>SUM(Y72:AS72)</f>
        <v>24000</v>
      </c>
      <c r="AU72" s="532">
        <f>X72+AT72</f>
        <v>24000</v>
      </c>
      <c r="AV72" s="532">
        <f>E72+AU72</f>
        <v>358000</v>
      </c>
      <c r="AW72" s="532"/>
      <c r="AX72" s="532">
        <f t="shared" si="90"/>
        <v>358000</v>
      </c>
    </row>
    <row r="73" spans="1:50">
      <c r="A73" s="529">
        <v>71</v>
      </c>
      <c r="B73" s="794"/>
      <c r="C73" s="556" t="s">
        <v>348</v>
      </c>
      <c r="D73" s="502">
        <v>903</v>
      </c>
      <c r="E73" s="557">
        <f>PROFORMA!F99</f>
        <v>3432000</v>
      </c>
      <c r="F73" s="557">
        <f>PROFORMA!G99</f>
        <v>0</v>
      </c>
      <c r="G73" s="557">
        <f>PROFORMA!H99</f>
        <v>0</v>
      </c>
      <c r="H73" s="557">
        <f>PROFORMA!I99</f>
        <v>0</v>
      </c>
      <c r="I73" s="557">
        <f>PROFORMA!J99</f>
        <v>0</v>
      </c>
      <c r="J73" s="557">
        <f>PROFORMA!K99</f>
        <v>0</v>
      </c>
      <c r="K73" s="557">
        <f>PROFORMA!L99</f>
        <v>0</v>
      </c>
      <c r="L73" s="557">
        <f>PROFORMA!M99</f>
        <v>0</v>
      </c>
      <c r="M73" s="557">
        <f>PROFORMA!N99</f>
        <v>0</v>
      </c>
      <c r="N73" s="557">
        <f>PROFORMA!O99</f>
        <v>0</v>
      </c>
      <c r="O73" s="557">
        <f>PROFORMA!P99</f>
        <v>0</v>
      </c>
      <c r="P73" s="557">
        <f>PROFORMA!Q99</f>
        <v>0</v>
      </c>
      <c r="Q73" s="557">
        <f>PROFORMA!R99</f>
        <v>0</v>
      </c>
      <c r="R73" s="557">
        <f>PROFORMA!S99</f>
        <v>0</v>
      </c>
      <c r="S73" s="557">
        <f>PROFORMA!T99</f>
        <v>0</v>
      </c>
      <c r="T73" s="557">
        <f>PROFORMA!U99</f>
        <v>0</v>
      </c>
      <c r="U73" s="557">
        <f>PROFORMA!V99</f>
        <v>0</v>
      </c>
      <c r="V73" s="557">
        <f>PROFORMA!W99</f>
        <v>0</v>
      </c>
      <c r="W73" s="557">
        <f>PROFORMA!X99</f>
        <v>0</v>
      </c>
      <c r="X73" s="579">
        <f t="shared" si="77"/>
        <v>0</v>
      </c>
      <c r="Y73" s="557">
        <f>PROFORMA!Y99</f>
        <v>0</v>
      </c>
      <c r="Z73" s="557">
        <f>PROFORMA!Z99</f>
        <v>0</v>
      </c>
      <c r="AA73" s="557">
        <f>PROFORMA!AA99</f>
        <v>0</v>
      </c>
      <c r="AB73" s="557">
        <f>PROFORMA!AB99</f>
        <v>0</v>
      </c>
      <c r="AC73" s="557">
        <f>PROFORMA!AC99</f>
        <v>235000</v>
      </c>
      <c r="AD73" s="557">
        <f>PROFORMA!AD99</f>
        <v>0</v>
      </c>
      <c r="AE73" s="557">
        <f>PROFORMA!AE99</f>
        <v>5000</v>
      </c>
      <c r="AF73" s="557">
        <f>PROFORMA!AG99</f>
        <v>0</v>
      </c>
      <c r="AG73" s="557">
        <f>PROFORMA!AH99</f>
        <v>0</v>
      </c>
      <c r="AH73" s="557">
        <f>PROFORMA!AI99</f>
        <v>0</v>
      </c>
      <c r="AI73" s="557">
        <f>PROFORMA!AJ99</f>
        <v>0</v>
      </c>
      <c r="AJ73" s="557">
        <f>PROFORMA!AK99</f>
        <v>0</v>
      </c>
      <c r="AK73" s="557">
        <f>PROFORMA!AL99</f>
        <v>0</v>
      </c>
      <c r="AL73" s="557">
        <f>PROFORMA!AM99</f>
        <v>0</v>
      </c>
      <c r="AM73" s="557">
        <f>PROFORMA!AN99</f>
        <v>0</v>
      </c>
      <c r="AN73" s="557">
        <f>PROFORMA!AO99</f>
        <v>0</v>
      </c>
      <c r="AO73" s="557">
        <f>PROFORMA!AP99</f>
        <v>0</v>
      </c>
      <c r="AP73" s="557">
        <f>PROFORMA!AQ99</f>
        <v>0</v>
      </c>
      <c r="AQ73" s="557">
        <f>PROFORMA!AR99</f>
        <v>0</v>
      </c>
      <c r="AR73" s="557">
        <f>PROFORMA!AS99</f>
        <v>0</v>
      </c>
      <c r="AS73" s="557">
        <f>PROFORMA!AT99</f>
        <v>0</v>
      </c>
      <c r="AT73" s="582">
        <f>SUM(Y73:AS73)</f>
        <v>240000</v>
      </c>
      <c r="AU73" s="532">
        <f>X73+AT73</f>
        <v>240000</v>
      </c>
      <c r="AV73" s="532">
        <f>E73+AU73</f>
        <v>3672000</v>
      </c>
      <c r="AW73" s="532"/>
      <c r="AX73" s="532">
        <f t="shared" si="90"/>
        <v>3672000</v>
      </c>
    </row>
    <row r="74" spans="1:50">
      <c r="A74" s="529">
        <v>72</v>
      </c>
      <c r="B74" s="794"/>
      <c r="C74" s="556" t="s">
        <v>18</v>
      </c>
      <c r="D74" s="502">
        <v>904</v>
      </c>
      <c r="E74" s="557">
        <f>PROFORMA!F100</f>
        <v>16000</v>
      </c>
      <c r="F74" s="557">
        <f>PROFORMA!G100</f>
        <v>0</v>
      </c>
      <c r="G74" s="557">
        <f>PROFORMA!H100</f>
        <v>0</v>
      </c>
      <c r="H74" s="557">
        <f>PROFORMA!I100</f>
        <v>0</v>
      </c>
      <c r="I74" s="557">
        <f>PROFORMA!J100</f>
        <v>0</v>
      </c>
      <c r="J74" s="557">
        <f>PROFORMA!K100</f>
        <v>0</v>
      </c>
      <c r="K74" s="557">
        <f>PROFORMA!L100</f>
        <v>927000</v>
      </c>
      <c r="L74" s="557">
        <f>PROFORMA!M100</f>
        <v>0</v>
      </c>
      <c r="M74" s="557">
        <f>PROFORMA!N100</f>
        <v>0</v>
      </c>
      <c r="N74" s="557">
        <f>PROFORMA!O100</f>
        <v>0</v>
      </c>
      <c r="O74" s="557">
        <f>PROFORMA!P100</f>
        <v>0</v>
      </c>
      <c r="P74" s="557">
        <f>PROFORMA!Q100</f>
        <v>0</v>
      </c>
      <c r="Q74" s="557">
        <f>PROFORMA!R100</f>
        <v>0</v>
      </c>
      <c r="R74" s="557">
        <f>PROFORMA!S100</f>
        <v>0</v>
      </c>
      <c r="S74" s="557">
        <f>PROFORMA!T100</f>
        <v>-132000</v>
      </c>
      <c r="T74" s="557">
        <f>PROFORMA!U100</f>
        <v>0</v>
      </c>
      <c r="U74" s="557">
        <f>PROFORMA!V100</f>
        <v>0</v>
      </c>
      <c r="V74" s="557">
        <f>PROFORMA!W100</f>
        <v>0</v>
      </c>
      <c r="W74" s="557">
        <f>PROFORMA!X100</f>
        <v>0</v>
      </c>
      <c r="X74" s="579">
        <f t="shared" si="77"/>
        <v>795000</v>
      </c>
      <c r="Y74" s="557">
        <f>PROFORMA!Y100</f>
        <v>-443000</v>
      </c>
      <c r="Z74" s="557">
        <f>PROFORMA!Z100</f>
        <v>0</v>
      </c>
      <c r="AA74" s="557">
        <f>PROFORMA!AA100</f>
        <v>0</v>
      </c>
      <c r="AB74" s="557">
        <f>PROFORMA!AB100</f>
        <v>0</v>
      </c>
      <c r="AC74" s="557">
        <f>PROFORMA!AC100</f>
        <v>1000</v>
      </c>
      <c r="AD74" s="557">
        <f>PROFORMA!AD100</f>
        <v>0</v>
      </c>
      <c r="AE74" s="557">
        <f>PROFORMA!AE100</f>
        <v>0</v>
      </c>
      <c r="AF74" s="557">
        <f>PROFORMA!AG100</f>
        <v>0</v>
      </c>
      <c r="AG74" s="557">
        <f>PROFORMA!AH100</f>
        <v>0</v>
      </c>
      <c r="AH74" s="557">
        <f>PROFORMA!AI100</f>
        <v>0</v>
      </c>
      <c r="AI74" s="557">
        <f>PROFORMA!AJ100</f>
        <v>0</v>
      </c>
      <c r="AJ74" s="557">
        <f>PROFORMA!AK100</f>
        <v>0</v>
      </c>
      <c r="AK74" s="557">
        <f>PROFORMA!AL100</f>
        <v>0</v>
      </c>
      <c r="AL74" s="557">
        <f>PROFORMA!AM100</f>
        <v>0</v>
      </c>
      <c r="AM74" s="557">
        <f>PROFORMA!AN100</f>
        <v>0</v>
      </c>
      <c r="AN74" s="557">
        <f>PROFORMA!AO100</f>
        <v>0</v>
      </c>
      <c r="AO74" s="557">
        <f>PROFORMA!AP100</f>
        <v>0</v>
      </c>
      <c r="AP74" s="557">
        <f>PROFORMA!AQ100</f>
        <v>0</v>
      </c>
      <c r="AQ74" s="557">
        <f>PROFORMA!AR100</f>
        <v>0</v>
      </c>
      <c r="AR74" s="557">
        <f>PROFORMA!AS100</f>
        <v>0</v>
      </c>
      <c r="AS74" s="557">
        <f>PROFORMA!AT100</f>
        <v>0</v>
      </c>
      <c r="AT74" s="582">
        <f>SUM(Y74:AS74)</f>
        <v>-442000</v>
      </c>
      <c r="AU74" s="532">
        <f>X74+AT74</f>
        <v>353000</v>
      </c>
      <c r="AV74" s="532">
        <f>E74+AU74</f>
        <v>369000</v>
      </c>
      <c r="AW74" s="532"/>
      <c r="AX74" s="532">
        <f t="shared" si="90"/>
        <v>369000</v>
      </c>
    </row>
    <row r="75" spans="1:50">
      <c r="A75" s="529">
        <v>73</v>
      </c>
      <c r="B75" s="794"/>
      <c r="C75" s="501" t="s">
        <v>20</v>
      </c>
      <c r="D75" s="499">
        <v>905</v>
      </c>
      <c r="E75" s="577">
        <f>PROFORMA!F101</f>
        <v>155000</v>
      </c>
      <c r="F75" s="577">
        <f>PROFORMA!G101</f>
        <v>0</v>
      </c>
      <c r="G75" s="577">
        <f>PROFORMA!H101</f>
        <v>0</v>
      </c>
      <c r="H75" s="577">
        <f>PROFORMA!I101</f>
        <v>0</v>
      </c>
      <c r="I75" s="577">
        <f>PROFORMA!J101</f>
        <v>0</v>
      </c>
      <c r="J75" s="577">
        <f>PROFORMA!K101</f>
        <v>0</v>
      </c>
      <c r="K75" s="577">
        <f>PROFORMA!L101</f>
        <v>0</v>
      </c>
      <c r="L75" s="577">
        <f>PROFORMA!M101</f>
        <v>0</v>
      </c>
      <c r="M75" s="577">
        <f>PROFORMA!N101</f>
        <v>0</v>
      </c>
      <c r="N75" s="577">
        <f>PROFORMA!O101</f>
        <v>0</v>
      </c>
      <c r="O75" s="577">
        <f>PROFORMA!P101</f>
        <v>0</v>
      </c>
      <c r="P75" s="577">
        <f>PROFORMA!Q101</f>
        <v>0</v>
      </c>
      <c r="Q75" s="577">
        <f>PROFORMA!R101</f>
        <v>0</v>
      </c>
      <c r="R75" s="577">
        <f>PROFORMA!S101</f>
        <v>0</v>
      </c>
      <c r="S75" s="577">
        <f>PROFORMA!T101</f>
        <v>0</v>
      </c>
      <c r="T75" s="577">
        <f>PROFORMA!U101</f>
        <v>0</v>
      </c>
      <c r="U75" s="577">
        <f>PROFORMA!V101</f>
        <v>0</v>
      </c>
      <c r="V75" s="577">
        <f>PROFORMA!W101</f>
        <v>0</v>
      </c>
      <c r="W75" s="577">
        <f>PROFORMA!X101</f>
        <v>0</v>
      </c>
      <c r="X75" s="580">
        <f t="shared" si="77"/>
        <v>0</v>
      </c>
      <c r="Y75" s="577">
        <f>PROFORMA!Y101</f>
        <v>0</v>
      </c>
      <c r="Z75" s="577">
        <f>PROFORMA!Z101</f>
        <v>0</v>
      </c>
      <c r="AA75" s="577">
        <f>PROFORMA!AA101</f>
        <v>0</v>
      </c>
      <c r="AB75" s="577">
        <f>PROFORMA!AB101</f>
        <v>0</v>
      </c>
      <c r="AC75" s="577">
        <f>PROFORMA!AC101</f>
        <v>11000</v>
      </c>
      <c r="AD75" s="577">
        <f>PROFORMA!AD101</f>
        <v>0</v>
      </c>
      <c r="AE75" s="577">
        <f>PROFORMA!AE101</f>
        <v>0</v>
      </c>
      <c r="AF75" s="577">
        <f>PROFORMA!AG101</f>
        <v>0</v>
      </c>
      <c r="AG75" s="577">
        <f>PROFORMA!AH101</f>
        <v>0</v>
      </c>
      <c r="AH75" s="577">
        <f>PROFORMA!AI101</f>
        <v>0</v>
      </c>
      <c r="AI75" s="577">
        <f>PROFORMA!AJ101</f>
        <v>0</v>
      </c>
      <c r="AJ75" s="577">
        <f>PROFORMA!AK101</f>
        <v>0</v>
      </c>
      <c r="AK75" s="577">
        <f>PROFORMA!AL101</f>
        <v>184000</v>
      </c>
      <c r="AL75" s="577">
        <f>PROFORMA!AM101</f>
        <v>0</v>
      </c>
      <c r="AM75" s="577">
        <f>PROFORMA!AN101</f>
        <v>0</v>
      </c>
      <c r="AN75" s="577">
        <f>PROFORMA!AO101</f>
        <v>0</v>
      </c>
      <c r="AO75" s="577">
        <f>PROFORMA!AP101</f>
        <v>0</v>
      </c>
      <c r="AP75" s="577">
        <f>PROFORMA!AQ101</f>
        <v>0</v>
      </c>
      <c r="AQ75" s="577">
        <f>PROFORMA!AR101</f>
        <v>0</v>
      </c>
      <c r="AR75" s="577">
        <f>PROFORMA!AS101</f>
        <v>0</v>
      </c>
      <c r="AS75" s="577">
        <f>PROFORMA!AT101</f>
        <v>0</v>
      </c>
      <c r="AT75" s="583">
        <f>SUM(Y75:AS75)</f>
        <v>195000</v>
      </c>
      <c r="AU75" s="581">
        <f>X75+AT75</f>
        <v>195000</v>
      </c>
      <c r="AV75" s="581">
        <f>E75+AU75</f>
        <v>350000</v>
      </c>
      <c r="AW75" s="581"/>
      <c r="AX75" s="581">
        <f t="shared" si="90"/>
        <v>350000</v>
      </c>
    </row>
    <row r="76" spans="1:50">
      <c r="A76" s="529">
        <v>74</v>
      </c>
      <c r="B76" s="500"/>
      <c r="C76" s="525" t="s">
        <v>1067</v>
      </c>
      <c r="D76" s="553"/>
      <c r="E76" s="539">
        <f>SUM(E71:E75)</f>
        <v>3993000</v>
      </c>
      <c r="F76" s="539">
        <f t="shared" ref="F76" si="91">SUM(F71:F75)</f>
        <v>0</v>
      </c>
      <c r="G76" s="539">
        <f t="shared" ref="G76:W76" si="92">SUM(G71:G75)</f>
        <v>0</v>
      </c>
      <c r="H76" s="539">
        <f t="shared" si="92"/>
        <v>0</v>
      </c>
      <c r="I76" s="539">
        <f t="shared" si="92"/>
        <v>0</v>
      </c>
      <c r="J76" s="539">
        <f t="shared" si="92"/>
        <v>0</v>
      </c>
      <c r="K76" s="539">
        <f t="shared" si="92"/>
        <v>927000</v>
      </c>
      <c r="L76" s="539">
        <f t="shared" si="92"/>
        <v>0</v>
      </c>
      <c r="M76" s="539">
        <f t="shared" si="92"/>
        <v>0</v>
      </c>
      <c r="N76" s="539">
        <f t="shared" si="92"/>
        <v>0</v>
      </c>
      <c r="O76" s="539">
        <f t="shared" si="92"/>
        <v>0</v>
      </c>
      <c r="P76" s="539">
        <f t="shared" si="92"/>
        <v>0</v>
      </c>
      <c r="Q76" s="539">
        <f t="shared" si="92"/>
        <v>0</v>
      </c>
      <c r="R76" s="539">
        <f t="shared" si="92"/>
        <v>0</v>
      </c>
      <c r="S76" s="539">
        <f t="shared" si="92"/>
        <v>-132000</v>
      </c>
      <c r="T76" s="539">
        <f t="shared" si="92"/>
        <v>0</v>
      </c>
      <c r="U76" s="539">
        <f t="shared" si="92"/>
        <v>0</v>
      </c>
      <c r="V76" s="539">
        <f t="shared" si="92"/>
        <v>0</v>
      </c>
      <c r="W76" s="539">
        <f t="shared" si="92"/>
        <v>0</v>
      </c>
      <c r="X76" s="579">
        <f t="shared" si="77"/>
        <v>795000</v>
      </c>
      <c r="Y76" s="539">
        <f t="shared" ref="Y76:AX76" si="93">SUM(Y71:Y75)</f>
        <v>-443000</v>
      </c>
      <c r="Z76" s="539">
        <f t="shared" ref="Z76:AF76" si="94">SUM(Z71:Z75)</f>
        <v>0</v>
      </c>
      <c r="AA76" s="539">
        <f t="shared" si="94"/>
        <v>0</v>
      </c>
      <c r="AB76" s="539">
        <f t="shared" si="94"/>
        <v>0</v>
      </c>
      <c r="AC76" s="539">
        <f t="shared" si="94"/>
        <v>274000</v>
      </c>
      <c r="AD76" s="539">
        <f t="shared" si="94"/>
        <v>0</v>
      </c>
      <c r="AE76" s="539">
        <f t="shared" si="94"/>
        <v>6000</v>
      </c>
      <c r="AF76" s="539">
        <f t="shared" si="94"/>
        <v>0</v>
      </c>
      <c r="AG76" s="539">
        <f t="shared" ref="AG76:AQ76" si="95">SUM(AG71:AG75)</f>
        <v>0</v>
      </c>
      <c r="AH76" s="539">
        <f t="shared" si="95"/>
        <v>0</v>
      </c>
      <c r="AI76" s="539">
        <f t="shared" si="95"/>
        <v>0</v>
      </c>
      <c r="AJ76" s="539">
        <f t="shared" si="95"/>
        <v>0</v>
      </c>
      <c r="AK76" s="539">
        <f t="shared" si="95"/>
        <v>184000</v>
      </c>
      <c r="AL76" s="539">
        <f t="shared" si="95"/>
        <v>0</v>
      </c>
      <c r="AM76" s="539">
        <f t="shared" si="95"/>
        <v>0</v>
      </c>
      <c r="AN76" s="539">
        <f t="shared" si="95"/>
        <v>0</v>
      </c>
      <c r="AO76" s="539">
        <f t="shared" si="95"/>
        <v>0</v>
      </c>
      <c r="AP76" s="539">
        <f t="shared" si="95"/>
        <v>0</v>
      </c>
      <c r="AQ76" s="539">
        <f t="shared" si="95"/>
        <v>0</v>
      </c>
      <c r="AR76" s="539">
        <f t="shared" ref="AR76:AS76" si="96">SUM(AR71:AR75)</f>
        <v>0</v>
      </c>
      <c r="AS76" s="539">
        <f t="shared" si="96"/>
        <v>0</v>
      </c>
      <c r="AT76" s="539">
        <f t="shared" si="93"/>
        <v>21000</v>
      </c>
      <c r="AU76" s="539">
        <f t="shared" si="93"/>
        <v>816000</v>
      </c>
      <c r="AV76" s="539">
        <f t="shared" si="93"/>
        <v>4809000</v>
      </c>
      <c r="AW76" s="539">
        <f t="shared" si="93"/>
        <v>0</v>
      </c>
      <c r="AX76" s="539">
        <f t="shared" si="93"/>
        <v>4809000</v>
      </c>
    </row>
    <row r="77" spans="1:50">
      <c r="A77" s="529">
        <v>75</v>
      </c>
      <c r="B77" s="795" t="s">
        <v>22</v>
      </c>
      <c r="C77" s="556" t="s">
        <v>13</v>
      </c>
      <c r="D77" s="502">
        <v>907</v>
      </c>
      <c r="E77" s="557">
        <f>PROFORMA!F105</f>
        <v>0</v>
      </c>
      <c r="F77" s="557">
        <f>PROFORMA!G105</f>
        <v>0</v>
      </c>
      <c r="G77" s="557">
        <f>PROFORMA!H105</f>
        <v>0</v>
      </c>
      <c r="H77" s="557">
        <f>PROFORMA!I105</f>
        <v>0</v>
      </c>
      <c r="I77" s="557">
        <f>PROFORMA!J105</f>
        <v>0</v>
      </c>
      <c r="J77" s="557">
        <f>PROFORMA!K105</f>
        <v>0</v>
      </c>
      <c r="K77" s="557">
        <f>PROFORMA!L105</f>
        <v>0</v>
      </c>
      <c r="L77" s="557">
        <f>PROFORMA!M105</f>
        <v>0</v>
      </c>
      <c r="M77" s="557">
        <f>PROFORMA!N105</f>
        <v>0</v>
      </c>
      <c r="N77" s="557">
        <f>PROFORMA!O105</f>
        <v>0</v>
      </c>
      <c r="O77" s="557">
        <f>PROFORMA!P105</f>
        <v>0</v>
      </c>
      <c r="P77" s="557">
        <f>PROFORMA!Q105</f>
        <v>0</v>
      </c>
      <c r="Q77" s="557">
        <f>PROFORMA!R105</f>
        <v>0</v>
      </c>
      <c r="R77" s="557">
        <f>PROFORMA!S105</f>
        <v>0</v>
      </c>
      <c r="S77" s="557">
        <f>PROFORMA!T105</f>
        <v>0</v>
      </c>
      <c r="T77" s="557">
        <f>PROFORMA!U105</f>
        <v>0</v>
      </c>
      <c r="U77" s="557">
        <f>PROFORMA!V105</f>
        <v>0</v>
      </c>
      <c r="V77" s="557">
        <f>PROFORMA!W105</f>
        <v>0</v>
      </c>
      <c r="W77" s="557">
        <f>PROFORMA!X105</f>
        <v>0</v>
      </c>
      <c r="X77" s="579">
        <f t="shared" si="77"/>
        <v>0</v>
      </c>
      <c r="Y77" s="557">
        <f>PROFORMA!Y105</f>
        <v>0</v>
      </c>
      <c r="Z77" s="557">
        <f>PROFORMA!Z105</f>
        <v>0</v>
      </c>
      <c r="AA77" s="557">
        <f>PROFORMA!AA105</f>
        <v>0</v>
      </c>
      <c r="AB77" s="557">
        <f>PROFORMA!AB105</f>
        <v>0</v>
      </c>
      <c r="AC77" s="557">
        <f>PROFORMA!AC105</f>
        <v>0</v>
      </c>
      <c r="AD77" s="557">
        <f>PROFORMA!AD105</f>
        <v>0</v>
      </c>
      <c r="AE77" s="557">
        <f>PROFORMA!AE105</f>
        <v>0</v>
      </c>
      <c r="AF77" s="557">
        <f>PROFORMA!AG105</f>
        <v>0</v>
      </c>
      <c r="AG77" s="557">
        <f>PROFORMA!AH105</f>
        <v>0</v>
      </c>
      <c r="AH77" s="557">
        <f>PROFORMA!AI105</f>
        <v>0</v>
      </c>
      <c r="AI77" s="557">
        <f>PROFORMA!AJ105</f>
        <v>0</v>
      </c>
      <c r="AJ77" s="557">
        <f>PROFORMA!AK105</f>
        <v>0</v>
      </c>
      <c r="AK77" s="557">
        <f>PROFORMA!AL105</f>
        <v>0</v>
      </c>
      <c r="AL77" s="557">
        <f>PROFORMA!AM105</f>
        <v>0</v>
      </c>
      <c r="AM77" s="557">
        <f>PROFORMA!AN105</f>
        <v>0</v>
      </c>
      <c r="AN77" s="557">
        <f>PROFORMA!AO105</f>
        <v>0</v>
      </c>
      <c r="AO77" s="557">
        <f>PROFORMA!AP105</f>
        <v>0</v>
      </c>
      <c r="AP77" s="557">
        <f>PROFORMA!AQ105</f>
        <v>0</v>
      </c>
      <c r="AQ77" s="557">
        <f>PROFORMA!AR105</f>
        <v>0</v>
      </c>
      <c r="AR77" s="557">
        <f>PROFORMA!AS105</f>
        <v>0</v>
      </c>
      <c r="AS77" s="557">
        <f>PROFORMA!AT105</f>
        <v>0</v>
      </c>
      <c r="AT77" s="582">
        <f>SUM(Y77:AS77)</f>
        <v>0</v>
      </c>
      <c r="AU77" s="532">
        <f>X77+AT77</f>
        <v>0</v>
      </c>
      <c r="AV77" s="532">
        <f>E77+AU77</f>
        <v>0</v>
      </c>
      <c r="AW77" s="532"/>
      <c r="AX77" s="532">
        <f t="shared" si="90"/>
        <v>0</v>
      </c>
    </row>
    <row r="78" spans="1:50">
      <c r="A78" s="529">
        <v>76</v>
      </c>
      <c r="B78" s="795"/>
      <c r="C78" s="556" t="s">
        <v>25</v>
      </c>
      <c r="D78" s="502">
        <v>908</v>
      </c>
      <c r="E78" s="557">
        <f>PROFORMA!F106</f>
        <v>13606000</v>
      </c>
      <c r="F78" s="557">
        <f>PROFORMA!G106</f>
        <v>0</v>
      </c>
      <c r="G78" s="557">
        <f>PROFORMA!H106</f>
        <v>0</v>
      </c>
      <c r="H78" s="557">
        <f>PROFORMA!I106</f>
        <v>0</v>
      </c>
      <c r="I78" s="557">
        <f>PROFORMA!J106</f>
        <v>0</v>
      </c>
      <c r="J78" s="557">
        <f>PROFORMA!K106</f>
        <v>0</v>
      </c>
      <c r="K78" s="557">
        <f>PROFORMA!L106</f>
        <v>0</v>
      </c>
      <c r="L78" s="557">
        <f>PROFORMA!M106</f>
        <v>0</v>
      </c>
      <c r="M78" s="557">
        <f>PROFORMA!N106</f>
        <v>0</v>
      </c>
      <c r="N78" s="557">
        <f>PROFORMA!O106</f>
        <v>0</v>
      </c>
      <c r="O78" s="557">
        <f>PROFORMA!P106</f>
        <v>0</v>
      </c>
      <c r="P78" s="557">
        <f>PROFORMA!Q106</f>
        <v>0</v>
      </c>
      <c r="Q78" s="557">
        <f>PROFORMA!R106</f>
        <v>0</v>
      </c>
      <c r="R78" s="557">
        <f>PROFORMA!S106</f>
        <v>0</v>
      </c>
      <c r="S78" s="557">
        <f>PROFORMA!T106</f>
        <v>-13330000</v>
      </c>
      <c r="T78" s="557">
        <f>PROFORMA!U106</f>
        <v>0</v>
      </c>
      <c r="U78" s="557">
        <f>PROFORMA!V106</f>
        <v>0</v>
      </c>
      <c r="V78" s="557">
        <f>PROFORMA!W106</f>
        <v>0</v>
      </c>
      <c r="W78" s="557">
        <f>PROFORMA!X106</f>
        <v>0</v>
      </c>
      <c r="X78" s="579">
        <f t="shared" si="77"/>
        <v>-13330000</v>
      </c>
      <c r="Y78" s="557">
        <f>PROFORMA!Y106</f>
        <v>0</v>
      </c>
      <c r="Z78" s="557">
        <f>PROFORMA!Z106</f>
        <v>0</v>
      </c>
      <c r="AA78" s="557">
        <f>PROFORMA!AA106</f>
        <v>0</v>
      </c>
      <c r="AB78" s="557">
        <f>PROFORMA!AB106</f>
        <v>0</v>
      </c>
      <c r="AC78" s="557">
        <f>PROFORMA!AC106</f>
        <v>19000</v>
      </c>
      <c r="AD78" s="557">
        <f>PROFORMA!AD106</f>
        <v>0</v>
      </c>
      <c r="AE78" s="557">
        <f>PROFORMA!AE106</f>
        <v>0</v>
      </c>
      <c r="AF78" s="557">
        <f>PROFORMA!AG106</f>
        <v>0</v>
      </c>
      <c r="AG78" s="557">
        <f>PROFORMA!AH106</f>
        <v>0</v>
      </c>
      <c r="AH78" s="557">
        <f>PROFORMA!AI106</f>
        <v>0</v>
      </c>
      <c r="AI78" s="557">
        <f>PROFORMA!AJ106</f>
        <v>0</v>
      </c>
      <c r="AJ78" s="557">
        <f>PROFORMA!AK106</f>
        <v>0</v>
      </c>
      <c r="AK78" s="557">
        <f>PROFORMA!AL106</f>
        <v>0</v>
      </c>
      <c r="AL78" s="557">
        <f>PROFORMA!AM106</f>
        <v>0</v>
      </c>
      <c r="AM78" s="557">
        <f>PROFORMA!AN106</f>
        <v>0</v>
      </c>
      <c r="AN78" s="557">
        <f>PROFORMA!AO106</f>
        <v>0</v>
      </c>
      <c r="AO78" s="557">
        <f>PROFORMA!AP106</f>
        <v>0</v>
      </c>
      <c r="AP78" s="557">
        <f>PROFORMA!AQ106</f>
        <v>0</v>
      </c>
      <c r="AQ78" s="557">
        <f>PROFORMA!AR106</f>
        <v>0</v>
      </c>
      <c r="AR78" s="557">
        <f>PROFORMA!AS106</f>
        <v>0</v>
      </c>
      <c r="AS78" s="557">
        <f>PROFORMA!AT106</f>
        <v>0</v>
      </c>
      <c r="AT78" s="582">
        <f>SUM(Y78:AS78)</f>
        <v>19000</v>
      </c>
      <c r="AU78" s="532">
        <f>X78+AT78</f>
        <v>-13311000</v>
      </c>
      <c r="AV78" s="532">
        <f>E78+AU78</f>
        <v>295000</v>
      </c>
      <c r="AW78" s="532"/>
      <c r="AX78" s="532">
        <f t="shared" si="90"/>
        <v>295000</v>
      </c>
    </row>
    <row r="79" spans="1:50">
      <c r="A79" s="529">
        <v>77</v>
      </c>
      <c r="B79" s="795"/>
      <c r="C79" s="556" t="s">
        <v>27</v>
      </c>
      <c r="D79" s="502">
        <v>909</v>
      </c>
      <c r="E79" s="557">
        <f>PROFORMA!F107</f>
        <v>358000</v>
      </c>
      <c r="F79" s="557">
        <f>PROFORMA!G107</f>
        <v>0</v>
      </c>
      <c r="G79" s="557">
        <f>PROFORMA!H107</f>
        <v>0</v>
      </c>
      <c r="H79" s="557">
        <f>PROFORMA!I107</f>
        <v>0</v>
      </c>
      <c r="I79" s="557">
        <f>PROFORMA!J107</f>
        <v>0</v>
      </c>
      <c r="J79" s="557">
        <f>PROFORMA!K107</f>
        <v>0</v>
      </c>
      <c r="K79" s="557">
        <f>PROFORMA!L107</f>
        <v>0</v>
      </c>
      <c r="L79" s="557">
        <f>PROFORMA!M107</f>
        <v>0</v>
      </c>
      <c r="M79" s="557">
        <f>PROFORMA!N107</f>
        <v>0</v>
      </c>
      <c r="N79" s="557">
        <f>PROFORMA!O107</f>
        <v>0</v>
      </c>
      <c r="O79" s="557">
        <f>PROFORMA!P107</f>
        <v>0</v>
      </c>
      <c r="P79" s="557">
        <f>PROFORMA!Q107</f>
        <v>0</v>
      </c>
      <c r="Q79" s="557">
        <f>PROFORMA!R107</f>
        <v>0</v>
      </c>
      <c r="R79" s="557">
        <f>PROFORMA!S107</f>
        <v>0</v>
      </c>
      <c r="S79" s="557">
        <f>PROFORMA!T107</f>
        <v>0</v>
      </c>
      <c r="T79" s="557">
        <f>PROFORMA!U107</f>
        <v>-1000</v>
      </c>
      <c r="U79" s="557">
        <f>PROFORMA!V107</f>
        <v>0</v>
      </c>
      <c r="V79" s="557">
        <f>PROFORMA!W107</f>
        <v>0</v>
      </c>
      <c r="W79" s="557">
        <f>PROFORMA!X107</f>
        <v>0</v>
      </c>
      <c r="X79" s="579">
        <f t="shared" si="77"/>
        <v>-1000</v>
      </c>
      <c r="Y79" s="557">
        <f>PROFORMA!Y107</f>
        <v>0</v>
      </c>
      <c r="Z79" s="557">
        <f>PROFORMA!Z107</f>
        <v>0</v>
      </c>
      <c r="AA79" s="557">
        <f>PROFORMA!AA107</f>
        <v>0</v>
      </c>
      <c r="AB79" s="557">
        <f>PROFORMA!AB107</f>
        <v>0</v>
      </c>
      <c r="AC79" s="557">
        <f>PROFORMA!AC107</f>
        <v>1000</v>
      </c>
      <c r="AD79" s="557">
        <f>PROFORMA!AD107</f>
        <v>0</v>
      </c>
      <c r="AE79" s="557">
        <f>PROFORMA!AE107</f>
        <v>0</v>
      </c>
      <c r="AF79" s="557">
        <f>PROFORMA!AG107</f>
        <v>0</v>
      </c>
      <c r="AG79" s="557">
        <f>PROFORMA!AH107</f>
        <v>0</v>
      </c>
      <c r="AH79" s="557">
        <f>PROFORMA!AI107</f>
        <v>0</v>
      </c>
      <c r="AI79" s="557">
        <f>PROFORMA!AJ107</f>
        <v>0</v>
      </c>
      <c r="AJ79" s="557">
        <f>PROFORMA!AK107</f>
        <v>0</v>
      </c>
      <c r="AK79" s="557">
        <f>PROFORMA!AL107</f>
        <v>0</v>
      </c>
      <c r="AL79" s="557">
        <f>PROFORMA!AM107</f>
        <v>0</v>
      </c>
      <c r="AM79" s="557">
        <f>PROFORMA!AN107</f>
        <v>0</v>
      </c>
      <c r="AN79" s="557">
        <f>PROFORMA!AO107</f>
        <v>0</v>
      </c>
      <c r="AO79" s="557">
        <f>PROFORMA!AP107</f>
        <v>0</v>
      </c>
      <c r="AP79" s="557">
        <f>PROFORMA!AQ107</f>
        <v>0</v>
      </c>
      <c r="AQ79" s="557">
        <f>PROFORMA!AR107</f>
        <v>0</v>
      </c>
      <c r="AR79" s="557">
        <f>PROFORMA!AS107</f>
        <v>0</v>
      </c>
      <c r="AS79" s="557">
        <f>PROFORMA!AT107</f>
        <v>0</v>
      </c>
      <c r="AT79" s="582">
        <f>SUM(Y79:AS79)</f>
        <v>1000</v>
      </c>
      <c r="AU79" s="532">
        <f>X79+AT79</f>
        <v>0</v>
      </c>
      <c r="AV79" s="532">
        <f>E79+AU79</f>
        <v>358000</v>
      </c>
      <c r="AW79" s="532"/>
      <c r="AX79" s="532">
        <f t="shared" si="90"/>
        <v>358000</v>
      </c>
    </row>
    <row r="80" spans="1:50" ht="31.5">
      <c r="A80" s="529">
        <v>78</v>
      </c>
      <c r="B80" s="795"/>
      <c r="C80" s="521" t="s">
        <v>349</v>
      </c>
      <c r="D80" s="502">
        <v>910</v>
      </c>
      <c r="E80" s="577">
        <f>PROFORMA!F108</f>
        <v>103000</v>
      </c>
      <c r="F80" s="577">
        <f>PROFORMA!G108</f>
        <v>0</v>
      </c>
      <c r="G80" s="577">
        <f>PROFORMA!H108</f>
        <v>0</v>
      </c>
      <c r="H80" s="577">
        <f>PROFORMA!I108</f>
        <v>0</v>
      </c>
      <c r="I80" s="577">
        <f>PROFORMA!J108</f>
        <v>0</v>
      </c>
      <c r="J80" s="577">
        <f>PROFORMA!K108</f>
        <v>0</v>
      </c>
      <c r="K80" s="577">
        <f>PROFORMA!L108</f>
        <v>0</v>
      </c>
      <c r="L80" s="577">
        <f>PROFORMA!M108</f>
        <v>0</v>
      </c>
      <c r="M80" s="577">
        <f>PROFORMA!N108</f>
        <v>0</v>
      </c>
      <c r="N80" s="577">
        <f>PROFORMA!O108</f>
        <v>0</v>
      </c>
      <c r="O80" s="577">
        <f>PROFORMA!P108</f>
        <v>0</v>
      </c>
      <c r="P80" s="577">
        <f>PROFORMA!Q108</f>
        <v>0</v>
      </c>
      <c r="Q80" s="577">
        <f>PROFORMA!R108</f>
        <v>0</v>
      </c>
      <c r="R80" s="577">
        <f>PROFORMA!S108</f>
        <v>0</v>
      </c>
      <c r="S80" s="577">
        <f>PROFORMA!T108</f>
        <v>0</v>
      </c>
      <c r="T80" s="577">
        <f>PROFORMA!U108</f>
        <v>0</v>
      </c>
      <c r="U80" s="577">
        <f>PROFORMA!V108</f>
        <v>0</v>
      </c>
      <c r="V80" s="577">
        <f>PROFORMA!W108</f>
        <v>0</v>
      </c>
      <c r="W80" s="577">
        <f>PROFORMA!X108</f>
        <v>0</v>
      </c>
      <c r="X80" s="580">
        <f t="shared" si="77"/>
        <v>0</v>
      </c>
      <c r="Y80" s="577">
        <f>PROFORMA!Y108</f>
        <v>0</v>
      </c>
      <c r="Z80" s="577">
        <f>PROFORMA!Z108</f>
        <v>0</v>
      </c>
      <c r="AA80" s="577">
        <f>PROFORMA!AA108</f>
        <v>0</v>
      </c>
      <c r="AB80" s="577">
        <f>PROFORMA!AB108</f>
        <v>0</v>
      </c>
      <c r="AC80" s="577">
        <f>PROFORMA!AC108</f>
        <v>0</v>
      </c>
      <c r="AD80" s="577">
        <f>PROFORMA!AD108</f>
        <v>0</v>
      </c>
      <c r="AE80" s="577">
        <f>PROFORMA!AE108</f>
        <v>0</v>
      </c>
      <c r="AF80" s="577">
        <f>PROFORMA!AG108</f>
        <v>78000</v>
      </c>
      <c r="AG80" s="577">
        <f>PROFORMA!AH108</f>
        <v>0</v>
      </c>
      <c r="AH80" s="577">
        <f>PROFORMA!AI108</f>
        <v>0</v>
      </c>
      <c r="AI80" s="577">
        <f>PROFORMA!AJ108</f>
        <v>0</v>
      </c>
      <c r="AJ80" s="577">
        <f>PROFORMA!AK108</f>
        <v>0</v>
      </c>
      <c r="AK80" s="577">
        <f>PROFORMA!AL108</f>
        <v>65000</v>
      </c>
      <c r="AL80" s="577">
        <f>PROFORMA!AM108</f>
        <v>0</v>
      </c>
      <c r="AM80" s="577">
        <f>PROFORMA!AN108</f>
        <v>0</v>
      </c>
      <c r="AN80" s="577">
        <f>PROFORMA!AO108</f>
        <v>0</v>
      </c>
      <c r="AO80" s="577">
        <f>PROFORMA!AP108</f>
        <v>0</v>
      </c>
      <c r="AP80" s="577">
        <f>PROFORMA!AQ108</f>
        <v>0</v>
      </c>
      <c r="AQ80" s="577">
        <f>PROFORMA!AR108</f>
        <v>0</v>
      </c>
      <c r="AR80" s="577">
        <f>PROFORMA!AS108</f>
        <v>0</v>
      </c>
      <c r="AS80" s="577">
        <f>PROFORMA!AT108</f>
        <v>0</v>
      </c>
      <c r="AT80" s="583">
        <f>SUM(Y80:AS80)</f>
        <v>143000</v>
      </c>
      <c r="AU80" s="581">
        <f>X80+AT80</f>
        <v>143000</v>
      </c>
      <c r="AV80" s="581">
        <f>E80+AU80</f>
        <v>246000</v>
      </c>
      <c r="AW80" s="581"/>
      <c r="AX80" s="581">
        <f t="shared" si="90"/>
        <v>246000</v>
      </c>
    </row>
    <row r="81" spans="1:50">
      <c r="A81" s="529">
        <v>79</v>
      </c>
      <c r="B81" s="500"/>
      <c r="C81" s="525" t="s">
        <v>29</v>
      </c>
      <c r="D81" s="553"/>
      <c r="E81" s="539">
        <f>SUM(E77:E80)</f>
        <v>14067000</v>
      </c>
      <c r="F81" s="539">
        <f t="shared" ref="F81" si="97">SUM(F77:F80)</f>
        <v>0</v>
      </c>
      <c r="G81" s="539">
        <f t="shared" ref="G81:W81" si="98">SUM(G77:G80)</f>
        <v>0</v>
      </c>
      <c r="H81" s="539">
        <f t="shared" si="98"/>
        <v>0</v>
      </c>
      <c r="I81" s="539">
        <f t="shared" si="98"/>
        <v>0</v>
      </c>
      <c r="J81" s="539">
        <f t="shared" si="98"/>
        <v>0</v>
      </c>
      <c r="K81" s="539">
        <f t="shared" si="98"/>
        <v>0</v>
      </c>
      <c r="L81" s="539">
        <f t="shared" si="98"/>
        <v>0</v>
      </c>
      <c r="M81" s="539">
        <f t="shared" si="98"/>
        <v>0</v>
      </c>
      <c r="N81" s="539">
        <f t="shared" si="98"/>
        <v>0</v>
      </c>
      <c r="O81" s="539">
        <f t="shared" si="98"/>
        <v>0</v>
      </c>
      <c r="P81" s="539">
        <f t="shared" si="98"/>
        <v>0</v>
      </c>
      <c r="Q81" s="539">
        <f t="shared" si="98"/>
        <v>0</v>
      </c>
      <c r="R81" s="539">
        <f t="shared" si="98"/>
        <v>0</v>
      </c>
      <c r="S81" s="539">
        <f t="shared" si="98"/>
        <v>-13330000</v>
      </c>
      <c r="T81" s="539">
        <f t="shared" si="98"/>
        <v>-1000</v>
      </c>
      <c r="U81" s="539">
        <f t="shared" si="98"/>
        <v>0</v>
      </c>
      <c r="V81" s="539">
        <f t="shared" si="98"/>
        <v>0</v>
      </c>
      <c r="W81" s="539">
        <f t="shared" si="98"/>
        <v>0</v>
      </c>
      <c r="X81" s="579">
        <f t="shared" si="77"/>
        <v>-13331000</v>
      </c>
      <c r="Y81" s="539">
        <f t="shared" ref="Y81:AX81" si="99">SUM(Y77:Y80)</f>
        <v>0</v>
      </c>
      <c r="Z81" s="539">
        <f t="shared" ref="Z81:AF81" si="100">SUM(Z77:Z80)</f>
        <v>0</v>
      </c>
      <c r="AA81" s="539">
        <f t="shared" si="100"/>
        <v>0</v>
      </c>
      <c r="AB81" s="539">
        <f t="shared" si="100"/>
        <v>0</v>
      </c>
      <c r="AC81" s="539">
        <f t="shared" si="100"/>
        <v>20000</v>
      </c>
      <c r="AD81" s="539">
        <f t="shared" si="100"/>
        <v>0</v>
      </c>
      <c r="AE81" s="539">
        <f t="shared" si="100"/>
        <v>0</v>
      </c>
      <c r="AF81" s="539">
        <f t="shared" si="100"/>
        <v>78000</v>
      </c>
      <c r="AG81" s="539">
        <f t="shared" ref="AG81:AQ81" si="101">SUM(AG77:AG80)</f>
        <v>0</v>
      </c>
      <c r="AH81" s="539">
        <f t="shared" si="101"/>
        <v>0</v>
      </c>
      <c r="AI81" s="539">
        <f t="shared" si="101"/>
        <v>0</v>
      </c>
      <c r="AJ81" s="539">
        <f t="shared" si="101"/>
        <v>0</v>
      </c>
      <c r="AK81" s="539">
        <f t="shared" si="101"/>
        <v>65000</v>
      </c>
      <c r="AL81" s="539">
        <f t="shared" si="101"/>
        <v>0</v>
      </c>
      <c r="AM81" s="539">
        <f t="shared" si="101"/>
        <v>0</v>
      </c>
      <c r="AN81" s="539">
        <f t="shared" si="101"/>
        <v>0</v>
      </c>
      <c r="AO81" s="539">
        <f t="shared" si="101"/>
        <v>0</v>
      </c>
      <c r="AP81" s="539">
        <f t="shared" si="101"/>
        <v>0</v>
      </c>
      <c r="AQ81" s="539">
        <f t="shared" si="101"/>
        <v>0</v>
      </c>
      <c r="AR81" s="539">
        <f t="shared" ref="AR81:AS81" si="102">SUM(AR77:AR80)</f>
        <v>0</v>
      </c>
      <c r="AS81" s="539">
        <f t="shared" si="102"/>
        <v>0</v>
      </c>
      <c r="AT81" s="539">
        <f t="shared" si="99"/>
        <v>163000</v>
      </c>
      <c r="AU81" s="539">
        <f t="shared" si="99"/>
        <v>-13168000</v>
      </c>
      <c r="AV81" s="539">
        <f t="shared" si="99"/>
        <v>899000</v>
      </c>
      <c r="AW81" s="539">
        <f t="shared" si="99"/>
        <v>0</v>
      </c>
      <c r="AX81" s="539">
        <f t="shared" si="99"/>
        <v>899000</v>
      </c>
    </row>
    <row r="82" spans="1:50">
      <c r="A82" s="529">
        <v>80</v>
      </c>
      <c r="B82" s="794" t="s">
        <v>30</v>
      </c>
      <c r="C82" s="556" t="s">
        <v>13</v>
      </c>
      <c r="D82" s="502">
        <v>911</v>
      </c>
      <c r="E82" s="539">
        <f>PROFORMA!F112</f>
        <v>0</v>
      </c>
      <c r="F82" s="539">
        <f>PROFORMA!G112</f>
        <v>0</v>
      </c>
      <c r="G82" s="539">
        <f>PROFORMA!H112</f>
        <v>0</v>
      </c>
      <c r="H82" s="539">
        <f>PROFORMA!I112</f>
        <v>0</v>
      </c>
      <c r="I82" s="539">
        <f>PROFORMA!J112</f>
        <v>0</v>
      </c>
      <c r="J82" s="539">
        <f>PROFORMA!K112</f>
        <v>0</v>
      </c>
      <c r="K82" s="539">
        <f>PROFORMA!L112</f>
        <v>0</v>
      </c>
      <c r="L82" s="539">
        <f>PROFORMA!M112</f>
        <v>0</v>
      </c>
      <c r="M82" s="539">
        <f>PROFORMA!N112</f>
        <v>0</v>
      </c>
      <c r="N82" s="539">
        <f>PROFORMA!O112</f>
        <v>0</v>
      </c>
      <c r="O82" s="539">
        <f>PROFORMA!P112</f>
        <v>0</v>
      </c>
      <c r="P82" s="539">
        <f>PROFORMA!Q112</f>
        <v>0</v>
      </c>
      <c r="Q82" s="539">
        <f>PROFORMA!R112</f>
        <v>0</v>
      </c>
      <c r="R82" s="539">
        <f>PROFORMA!S112</f>
        <v>0</v>
      </c>
      <c r="S82" s="539">
        <f>PROFORMA!T112</f>
        <v>0</v>
      </c>
      <c r="T82" s="539">
        <f>PROFORMA!U112</f>
        <v>0</v>
      </c>
      <c r="U82" s="539">
        <f>PROFORMA!V112</f>
        <v>0</v>
      </c>
      <c r="V82" s="539">
        <f>PROFORMA!W112</f>
        <v>0</v>
      </c>
      <c r="W82" s="539">
        <f>PROFORMA!X112</f>
        <v>0</v>
      </c>
      <c r="X82" s="579">
        <f t="shared" si="77"/>
        <v>0</v>
      </c>
      <c r="Y82" s="539">
        <f>PROFORMA!Y112</f>
        <v>0</v>
      </c>
      <c r="Z82" s="539">
        <f>PROFORMA!Z112</f>
        <v>0</v>
      </c>
      <c r="AA82" s="539">
        <f>PROFORMA!AA112</f>
        <v>0</v>
      </c>
      <c r="AB82" s="539">
        <f>PROFORMA!AB112</f>
        <v>0</v>
      </c>
      <c r="AC82" s="539">
        <f>PROFORMA!AC112</f>
        <v>0</v>
      </c>
      <c r="AD82" s="539">
        <f>PROFORMA!AD112</f>
        <v>0</v>
      </c>
      <c r="AE82" s="539">
        <f>PROFORMA!AE112</f>
        <v>0</v>
      </c>
      <c r="AF82" s="539">
        <f>PROFORMA!AG112</f>
        <v>0</v>
      </c>
      <c r="AG82" s="539">
        <f>PROFORMA!AH112</f>
        <v>0</v>
      </c>
      <c r="AH82" s="539">
        <f>PROFORMA!AI112</f>
        <v>0</v>
      </c>
      <c r="AI82" s="539">
        <f>PROFORMA!AJ112</f>
        <v>0</v>
      </c>
      <c r="AJ82" s="539">
        <f>PROFORMA!AK112</f>
        <v>0</v>
      </c>
      <c r="AK82" s="539">
        <f>PROFORMA!AL112</f>
        <v>0</v>
      </c>
      <c r="AL82" s="539">
        <f>PROFORMA!AM112</f>
        <v>0</v>
      </c>
      <c r="AM82" s="539">
        <f>PROFORMA!AN112</f>
        <v>0</v>
      </c>
      <c r="AN82" s="539">
        <f>PROFORMA!AO112</f>
        <v>0</v>
      </c>
      <c r="AO82" s="539">
        <f>PROFORMA!AP112</f>
        <v>0</v>
      </c>
      <c r="AP82" s="539">
        <f>PROFORMA!AQ112</f>
        <v>0</v>
      </c>
      <c r="AQ82" s="539">
        <f>PROFORMA!AR112</f>
        <v>0</v>
      </c>
      <c r="AR82" s="539">
        <f>PROFORMA!AS112</f>
        <v>0</v>
      </c>
      <c r="AS82" s="539">
        <f>PROFORMA!AT112</f>
        <v>0</v>
      </c>
      <c r="AT82" s="582">
        <f>SUM(Y82:AS82)</f>
        <v>0</v>
      </c>
      <c r="AU82" s="532">
        <f>X82+AT82</f>
        <v>0</v>
      </c>
      <c r="AV82" s="532">
        <f>E82+AU82</f>
        <v>0</v>
      </c>
      <c r="AW82" s="532"/>
      <c r="AX82" s="532">
        <f t="shared" si="90"/>
        <v>0</v>
      </c>
    </row>
    <row r="83" spans="1:50">
      <c r="A83" s="529">
        <v>81</v>
      </c>
      <c r="B83" s="794"/>
      <c r="C83" s="556" t="s">
        <v>33</v>
      </c>
      <c r="D83" s="502">
        <v>912</v>
      </c>
      <c r="E83" s="539">
        <f>PROFORMA!F113</f>
        <v>0</v>
      </c>
      <c r="F83" s="539">
        <f>PROFORMA!G113</f>
        <v>0</v>
      </c>
      <c r="G83" s="539">
        <f>PROFORMA!H113</f>
        <v>0</v>
      </c>
      <c r="H83" s="539">
        <f>PROFORMA!I113</f>
        <v>0</v>
      </c>
      <c r="I83" s="539">
        <f>PROFORMA!J113</f>
        <v>0</v>
      </c>
      <c r="J83" s="539">
        <f>PROFORMA!K113</f>
        <v>0</v>
      </c>
      <c r="K83" s="539">
        <f>PROFORMA!L113</f>
        <v>0</v>
      </c>
      <c r="L83" s="539">
        <f>PROFORMA!M113</f>
        <v>0</v>
      </c>
      <c r="M83" s="539">
        <f>PROFORMA!N113</f>
        <v>0</v>
      </c>
      <c r="N83" s="539">
        <f>PROFORMA!O113</f>
        <v>0</v>
      </c>
      <c r="O83" s="539">
        <f>PROFORMA!P113</f>
        <v>0</v>
      </c>
      <c r="P83" s="539">
        <f>PROFORMA!Q113</f>
        <v>0</v>
      </c>
      <c r="Q83" s="539">
        <f>PROFORMA!R113</f>
        <v>0</v>
      </c>
      <c r="R83" s="539">
        <f>PROFORMA!S113</f>
        <v>0</v>
      </c>
      <c r="S83" s="539">
        <f>PROFORMA!T113</f>
        <v>0</v>
      </c>
      <c r="T83" s="539">
        <f>PROFORMA!U113</f>
        <v>0</v>
      </c>
      <c r="U83" s="539">
        <f>PROFORMA!V113</f>
        <v>0</v>
      </c>
      <c r="V83" s="539">
        <f>PROFORMA!W113</f>
        <v>0</v>
      </c>
      <c r="W83" s="539">
        <f>PROFORMA!X113</f>
        <v>0</v>
      </c>
      <c r="X83" s="579">
        <f t="shared" si="77"/>
        <v>0</v>
      </c>
      <c r="Y83" s="539">
        <f>PROFORMA!Y113</f>
        <v>0</v>
      </c>
      <c r="Z83" s="539">
        <f>PROFORMA!Z113</f>
        <v>0</v>
      </c>
      <c r="AA83" s="539">
        <f>PROFORMA!AA113</f>
        <v>0</v>
      </c>
      <c r="AB83" s="539">
        <f>PROFORMA!AB113</f>
        <v>0</v>
      </c>
      <c r="AC83" s="539">
        <f>PROFORMA!AC113</f>
        <v>0</v>
      </c>
      <c r="AD83" s="539">
        <f>PROFORMA!AD113</f>
        <v>0</v>
      </c>
      <c r="AE83" s="539">
        <f>PROFORMA!AE113</f>
        <v>0</v>
      </c>
      <c r="AF83" s="539">
        <f>PROFORMA!AG113</f>
        <v>0</v>
      </c>
      <c r="AG83" s="539">
        <f>PROFORMA!AH113</f>
        <v>0</v>
      </c>
      <c r="AH83" s="539">
        <f>PROFORMA!AI113</f>
        <v>0</v>
      </c>
      <c r="AI83" s="539">
        <f>PROFORMA!AJ113</f>
        <v>0</v>
      </c>
      <c r="AJ83" s="539">
        <f>PROFORMA!AK113</f>
        <v>0</v>
      </c>
      <c r="AK83" s="539">
        <f>PROFORMA!AL113</f>
        <v>0</v>
      </c>
      <c r="AL83" s="539">
        <f>PROFORMA!AM113</f>
        <v>0</v>
      </c>
      <c r="AM83" s="539">
        <f>PROFORMA!AN113</f>
        <v>0</v>
      </c>
      <c r="AN83" s="539">
        <f>PROFORMA!AO113</f>
        <v>0</v>
      </c>
      <c r="AO83" s="539">
        <f>PROFORMA!AP113</f>
        <v>0</v>
      </c>
      <c r="AP83" s="539">
        <f>PROFORMA!AQ113</f>
        <v>0</v>
      </c>
      <c r="AQ83" s="539">
        <f>PROFORMA!AR113</f>
        <v>0</v>
      </c>
      <c r="AR83" s="539">
        <f>PROFORMA!AS113</f>
        <v>0</v>
      </c>
      <c r="AS83" s="539">
        <f>PROFORMA!AT113</f>
        <v>0</v>
      </c>
      <c r="AT83" s="582">
        <f>SUM(Y83:AS83)</f>
        <v>0</v>
      </c>
      <c r="AU83" s="532">
        <f>X83+AT83</f>
        <v>0</v>
      </c>
      <c r="AV83" s="532">
        <f>E83+AU83</f>
        <v>0</v>
      </c>
      <c r="AW83" s="532"/>
      <c r="AX83" s="532">
        <f t="shared" si="90"/>
        <v>0</v>
      </c>
    </row>
    <row r="84" spans="1:50">
      <c r="A84" s="529">
        <v>82</v>
      </c>
      <c r="B84" s="794"/>
      <c r="C84" s="556" t="s">
        <v>35</v>
      </c>
      <c r="D84" s="502">
        <v>913</v>
      </c>
      <c r="E84" s="539">
        <f>PROFORMA!F114</f>
        <v>0</v>
      </c>
      <c r="F84" s="539">
        <f>PROFORMA!G114</f>
        <v>0</v>
      </c>
      <c r="G84" s="539">
        <f>PROFORMA!H114</f>
        <v>0</v>
      </c>
      <c r="H84" s="539">
        <f>PROFORMA!I114</f>
        <v>0</v>
      </c>
      <c r="I84" s="539">
        <f>PROFORMA!J114</f>
        <v>0</v>
      </c>
      <c r="J84" s="539">
        <f>PROFORMA!K114</f>
        <v>0</v>
      </c>
      <c r="K84" s="539">
        <f>PROFORMA!L114</f>
        <v>0</v>
      </c>
      <c r="L84" s="539">
        <f>PROFORMA!M114</f>
        <v>0</v>
      </c>
      <c r="M84" s="539">
        <f>PROFORMA!N114</f>
        <v>0</v>
      </c>
      <c r="N84" s="539">
        <f>PROFORMA!O114</f>
        <v>0</v>
      </c>
      <c r="O84" s="539">
        <f>PROFORMA!P114</f>
        <v>0</v>
      </c>
      <c r="P84" s="539">
        <f>PROFORMA!Q114</f>
        <v>0</v>
      </c>
      <c r="Q84" s="539">
        <f>PROFORMA!R114</f>
        <v>0</v>
      </c>
      <c r="R84" s="539">
        <f>PROFORMA!S114</f>
        <v>0</v>
      </c>
      <c r="S84" s="539">
        <f>PROFORMA!T114</f>
        <v>0</v>
      </c>
      <c r="T84" s="539">
        <f>PROFORMA!U114</f>
        <v>0</v>
      </c>
      <c r="U84" s="539">
        <f>PROFORMA!V114</f>
        <v>0</v>
      </c>
      <c r="V84" s="539">
        <f>PROFORMA!W114</f>
        <v>0</v>
      </c>
      <c r="W84" s="539">
        <f>PROFORMA!X114</f>
        <v>0</v>
      </c>
      <c r="X84" s="579">
        <f t="shared" si="77"/>
        <v>0</v>
      </c>
      <c r="Y84" s="539">
        <f>PROFORMA!Y114</f>
        <v>0</v>
      </c>
      <c r="Z84" s="539">
        <f>PROFORMA!Z114</f>
        <v>0</v>
      </c>
      <c r="AA84" s="539">
        <f>PROFORMA!AA114</f>
        <v>0</v>
      </c>
      <c r="AB84" s="539">
        <f>PROFORMA!AB114</f>
        <v>0</v>
      </c>
      <c r="AC84" s="539">
        <f>PROFORMA!AC114</f>
        <v>0</v>
      </c>
      <c r="AD84" s="539">
        <f>PROFORMA!AD114</f>
        <v>0</v>
      </c>
      <c r="AE84" s="539">
        <f>PROFORMA!AE114</f>
        <v>0</v>
      </c>
      <c r="AF84" s="539">
        <f>PROFORMA!AG114</f>
        <v>0</v>
      </c>
      <c r="AG84" s="539">
        <f>PROFORMA!AH114</f>
        <v>0</v>
      </c>
      <c r="AH84" s="539">
        <f>PROFORMA!AI114</f>
        <v>0</v>
      </c>
      <c r="AI84" s="539">
        <f>PROFORMA!AJ114</f>
        <v>0</v>
      </c>
      <c r="AJ84" s="539">
        <f>PROFORMA!AK114</f>
        <v>0</v>
      </c>
      <c r="AK84" s="539">
        <f>PROFORMA!AL114</f>
        <v>0</v>
      </c>
      <c r="AL84" s="539">
        <f>PROFORMA!AM114</f>
        <v>0</v>
      </c>
      <c r="AM84" s="539">
        <f>PROFORMA!AN114</f>
        <v>0</v>
      </c>
      <c r="AN84" s="539">
        <f>PROFORMA!AO114</f>
        <v>0</v>
      </c>
      <c r="AO84" s="539">
        <f>PROFORMA!AP114</f>
        <v>0</v>
      </c>
      <c r="AP84" s="539">
        <f>PROFORMA!AQ114</f>
        <v>0</v>
      </c>
      <c r="AQ84" s="539">
        <f>PROFORMA!AR114</f>
        <v>0</v>
      </c>
      <c r="AR84" s="539">
        <f>PROFORMA!AS114</f>
        <v>0</v>
      </c>
      <c r="AS84" s="539">
        <f>PROFORMA!AT114</f>
        <v>0</v>
      </c>
      <c r="AT84" s="582">
        <f>SUM(Y84:AS84)</f>
        <v>0</v>
      </c>
      <c r="AU84" s="532">
        <f>X84+AT84</f>
        <v>0</v>
      </c>
      <c r="AV84" s="532">
        <f>E84+AU84</f>
        <v>0</v>
      </c>
      <c r="AW84" s="532"/>
      <c r="AX84" s="532">
        <f t="shared" si="90"/>
        <v>0</v>
      </c>
    </row>
    <row r="85" spans="1:50">
      <c r="A85" s="529">
        <v>83</v>
      </c>
      <c r="B85" s="794"/>
      <c r="C85" s="556" t="s">
        <v>37</v>
      </c>
      <c r="D85" s="502">
        <v>916</v>
      </c>
      <c r="E85" s="578">
        <f>PROFORMA!F115</f>
        <v>0</v>
      </c>
      <c r="F85" s="578">
        <f>PROFORMA!G115</f>
        <v>0</v>
      </c>
      <c r="G85" s="578">
        <f>PROFORMA!H115</f>
        <v>0</v>
      </c>
      <c r="H85" s="578">
        <f>PROFORMA!I115</f>
        <v>0</v>
      </c>
      <c r="I85" s="578">
        <f>PROFORMA!J115</f>
        <v>0</v>
      </c>
      <c r="J85" s="578">
        <f>PROFORMA!K115</f>
        <v>0</v>
      </c>
      <c r="K85" s="578">
        <f>PROFORMA!L115</f>
        <v>0</v>
      </c>
      <c r="L85" s="578">
        <f>PROFORMA!M115</f>
        <v>0</v>
      </c>
      <c r="M85" s="578">
        <f>PROFORMA!N115</f>
        <v>0</v>
      </c>
      <c r="N85" s="578">
        <f>PROFORMA!O115</f>
        <v>0</v>
      </c>
      <c r="O85" s="578">
        <f>PROFORMA!P115</f>
        <v>0</v>
      </c>
      <c r="P85" s="578">
        <f>PROFORMA!Q115</f>
        <v>0</v>
      </c>
      <c r="Q85" s="578">
        <f>PROFORMA!R115</f>
        <v>0</v>
      </c>
      <c r="R85" s="578">
        <f>PROFORMA!S115</f>
        <v>0</v>
      </c>
      <c r="S85" s="578">
        <f>PROFORMA!T115</f>
        <v>0</v>
      </c>
      <c r="T85" s="578">
        <f>PROFORMA!U115</f>
        <v>0</v>
      </c>
      <c r="U85" s="578">
        <f>PROFORMA!V115</f>
        <v>0</v>
      </c>
      <c r="V85" s="578">
        <f>PROFORMA!W115</f>
        <v>0</v>
      </c>
      <c r="W85" s="578">
        <f>PROFORMA!X115</f>
        <v>0</v>
      </c>
      <c r="X85" s="580">
        <f t="shared" si="77"/>
        <v>0</v>
      </c>
      <c r="Y85" s="578">
        <f>PROFORMA!Y115</f>
        <v>0</v>
      </c>
      <c r="Z85" s="578">
        <f>PROFORMA!Z115</f>
        <v>0</v>
      </c>
      <c r="AA85" s="578">
        <f>PROFORMA!AA115</f>
        <v>0</v>
      </c>
      <c r="AB85" s="578">
        <f>PROFORMA!AB115</f>
        <v>0</v>
      </c>
      <c r="AC85" s="578">
        <f>PROFORMA!AC115</f>
        <v>0</v>
      </c>
      <c r="AD85" s="578">
        <f>PROFORMA!AD115</f>
        <v>0</v>
      </c>
      <c r="AE85" s="578">
        <f>PROFORMA!AE115</f>
        <v>0</v>
      </c>
      <c r="AF85" s="578">
        <f>PROFORMA!AG115</f>
        <v>0</v>
      </c>
      <c r="AG85" s="578">
        <f>PROFORMA!AH115</f>
        <v>0</v>
      </c>
      <c r="AH85" s="578">
        <f>PROFORMA!AI115</f>
        <v>0</v>
      </c>
      <c r="AI85" s="578">
        <f>PROFORMA!AJ115</f>
        <v>0</v>
      </c>
      <c r="AJ85" s="578">
        <f>PROFORMA!AK115</f>
        <v>0</v>
      </c>
      <c r="AK85" s="578">
        <f>PROFORMA!AL115</f>
        <v>0</v>
      </c>
      <c r="AL85" s="578">
        <f>PROFORMA!AM115</f>
        <v>0</v>
      </c>
      <c r="AM85" s="578">
        <f>PROFORMA!AN115</f>
        <v>0</v>
      </c>
      <c r="AN85" s="578">
        <f>PROFORMA!AO115</f>
        <v>0</v>
      </c>
      <c r="AO85" s="578">
        <f>PROFORMA!AP115</f>
        <v>0</v>
      </c>
      <c r="AP85" s="578">
        <f>PROFORMA!AQ115</f>
        <v>0</v>
      </c>
      <c r="AQ85" s="578">
        <f>PROFORMA!AR115</f>
        <v>0</v>
      </c>
      <c r="AR85" s="578">
        <f>PROFORMA!AS115</f>
        <v>0</v>
      </c>
      <c r="AS85" s="578">
        <f>PROFORMA!AT115</f>
        <v>0</v>
      </c>
      <c r="AT85" s="583">
        <f>SUM(Y85:AS85)</f>
        <v>0</v>
      </c>
      <c r="AU85" s="581">
        <f>X85+AT85</f>
        <v>0</v>
      </c>
      <c r="AV85" s="581">
        <f>E85+AU85</f>
        <v>0</v>
      </c>
      <c r="AW85" s="581"/>
      <c r="AX85" s="581">
        <f t="shared" si="90"/>
        <v>0</v>
      </c>
    </row>
    <row r="86" spans="1:50">
      <c r="A86" s="529">
        <v>84</v>
      </c>
      <c r="B86" s="500"/>
      <c r="C86" s="525" t="s">
        <v>38</v>
      </c>
      <c r="D86" s="553"/>
      <c r="E86" s="578">
        <f>SUM(E82:E85)</f>
        <v>0</v>
      </c>
      <c r="F86" s="578">
        <f t="shared" ref="F86" si="103">SUM(F82:F85)</f>
        <v>0</v>
      </c>
      <c r="G86" s="578">
        <f t="shared" ref="G86:W86" si="104">SUM(G82:G85)</f>
        <v>0</v>
      </c>
      <c r="H86" s="578">
        <f t="shared" si="104"/>
        <v>0</v>
      </c>
      <c r="I86" s="578">
        <f t="shared" si="104"/>
        <v>0</v>
      </c>
      <c r="J86" s="578">
        <f t="shared" si="104"/>
        <v>0</v>
      </c>
      <c r="K86" s="578">
        <f t="shared" si="104"/>
        <v>0</v>
      </c>
      <c r="L86" s="578">
        <f t="shared" si="104"/>
        <v>0</v>
      </c>
      <c r="M86" s="578">
        <f t="shared" si="104"/>
        <v>0</v>
      </c>
      <c r="N86" s="578">
        <f t="shared" si="104"/>
        <v>0</v>
      </c>
      <c r="O86" s="578">
        <f t="shared" si="104"/>
        <v>0</v>
      </c>
      <c r="P86" s="578">
        <f t="shared" si="104"/>
        <v>0</v>
      </c>
      <c r="Q86" s="578">
        <f t="shared" si="104"/>
        <v>0</v>
      </c>
      <c r="R86" s="578">
        <f t="shared" si="104"/>
        <v>0</v>
      </c>
      <c r="S86" s="578">
        <f t="shared" si="104"/>
        <v>0</v>
      </c>
      <c r="T86" s="578">
        <f t="shared" si="104"/>
        <v>0</v>
      </c>
      <c r="U86" s="578">
        <f t="shared" si="104"/>
        <v>0</v>
      </c>
      <c r="V86" s="578">
        <f t="shared" si="104"/>
        <v>0</v>
      </c>
      <c r="W86" s="578">
        <f t="shared" si="104"/>
        <v>0</v>
      </c>
      <c r="X86" s="580">
        <f t="shared" si="77"/>
        <v>0</v>
      </c>
      <c r="Y86" s="578">
        <f t="shared" ref="Y86:AX86" si="105">SUM(Y82:Y85)</f>
        <v>0</v>
      </c>
      <c r="Z86" s="578">
        <f t="shared" ref="Z86:AF86" si="106">SUM(Z82:Z85)</f>
        <v>0</v>
      </c>
      <c r="AA86" s="578">
        <f t="shared" si="106"/>
        <v>0</v>
      </c>
      <c r="AB86" s="578">
        <f t="shared" si="106"/>
        <v>0</v>
      </c>
      <c r="AC86" s="578">
        <f t="shared" si="106"/>
        <v>0</v>
      </c>
      <c r="AD86" s="578">
        <f t="shared" si="106"/>
        <v>0</v>
      </c>
      <c r="AE86" s="578">
        <f t="shared" si="106"/>
        <v>0</v>
      </c>
      <c r="AF86" s="578">
        <f t="shared" si="106"/>
        <v>0</v>
      </c>
      <c r="AG86" s="578">
        <f t="shared" ref="AG86:AQ86" si="107">SUM(AG82:AG85)</f>
        <v>0</v>
      </c>
      <c r="AH86" s="578">
        <f t="shared" si="107"/>
        <v>0</v>
      </c>
      <c r="AI86" s="578">
        <f t="shared" si="107"/>
        <v>0</v>
      </c>
      <c r="AJ86" s="578">
        <f t="shared" si="107"/>
        <v>0</v>
      </c>
      <c r="AK86" s="578">
        <f t="shared" si="107"/>
        <v>0</v>
      </c>
      <c r="AL86" s="578">
        <f t="shared" si="107"/>
        <v>0</v>
      </c>
      <c r="AM86" s="578">
        <f t="shared" si="107"/>
        <v>0</v>
      </c>
      <c r="AN86" s="578">
        <f t="shared" si="107"/>
        <v>0</v>
      </c>
      <c r="AO86" s="578">
        <f t="shared" si="107"/>
        <v>0</v>
      </c>
      <c r="AP86" s="578">
        <f t="shared" si="107"/>
        <v>0</v>
      </c>
      <c r="AQ86" s="578">
        <f t="shared" si="107"/>
        <v>0</v>
      </c>
      <c r="AR86" s="578">
        <f t="shared" ref="AR86:AS86" si="108">SUM(AR82:AR85)</f>
        <v>0</v>
      </c>
      <c r="AS86" s="578">
        <f t="shared" si="108"/>
        <v>0</v>
      </c>
      <c r="AT86" s="578">
        <f t="shared" si="105"/>
        <v>0</v>
      </c>
      <c r="AU86" s="578">
        <f t="shared" si="105"/>
        <v>0</v>
      </c>
      <c r="AV86" s="578">
        <f t="shared" si="105"/>
        <v>0</v>
      </c>
      <c r="AW86" s="578">
        <f t="shared" si="105"/>
        <v>0</v>
      </c>
      <c r="AX86" s="578">
        <f t="shared" si="105"/>
        <v>0</v>
      </c>
    </row>
    <row r="87" spans="1:50">
      <c r="A87" s="529">
        <v>85</v>
      </c>
      <c r="B87" s="500"/>
      <c r="C87" s="558" t="s">
        <v>39</v>
      </c>
      <c r="D87" s="558"/>
      <c r="E87" s="539">
        <f>E25+E47+E70+E76+E81+E86</f>
        <v>182519000</v>
      </c>
      <c r="F87" s="539">
        <f t="shared" ref="F87" si="109">F25+F47+F70+F76+F81+F86</f>
        <v>0</v>
      </c>
      <c r="G87" s="539">
        <f t="shared" ref="G87:W87" si="110">G25+G47+G70+G76+G81+G86</f>
        <v>0</v>
      </c>
      <c r="H87" s="539">
        <f t="shared" si="110"/>
        <v>0</v>
      </c>
      <c r="I87" s="539">
        <f t="shared" si="110"/>
        <v>0</v>
      </c>
      <c r="J87" s="539">
        <f t="shared" si="110"/>
        <v>0</v>
      </c>
      <c r="K87" s="539">
        <f t="shared" si="110"/>
        <v>927000</v>
      </c>
      <c r="L87" s="539">
        <f t="shared" si="110"/>
        <v>0</v>
      </c>
      <c r="M87" s="539">
        <f t="shared" si="110"/>
        <v>0</v>
      </c>
      <c r="N87" s="539">
        <f t="shared" si="110"/>
        <v>0</v>
      </c>
      <c r="O87" s="539">
        <f t="shared" si="110"/>
        <v>0</v>
      </c>
      <c r="P87" s="539">
        <f t="shared" si="110"/>
        <v>0</v>
      </c>
      <c r="Q87" s="539">
        <f t="shared" si="110"/>
        <v>0</v>
      </c>
      <c r="R87" s="539">
        <f t="shared" si="110"/>
        <v>-57000</v>
      </c>
      <c r="S87" s="539">
        <f t="shared" si="110"/>
        <v>-71645000</v>
      </c>
      <c r="T87" s="539">
        <f t="shared" si="110"/>
        <v>-6000</v>
      </c>
      <c r="U87" s="539">
        <f t="shared" si="110"/>
        <v>0</v>
      </c>
      <c r="V87" s="539">
        <f t="shared" si="110"/>
        <v>0</v>
      </c>
      <c r="W87" s="539">
        <f t="shared" si="110"/>
        <v>0</v>
      </c>
      <c r="X87" s="579">
        <f t="shared" si="77"/>
        <v>-70781000</v>
      </c>
      <c r="Y87" s="539">
        <f t="shared" ref="Y87:AX87" si="111">Y25+Y47+Y70+Y76+Y81+Y86</f>
        <v>-90813000</v>
      </c>
      <c r="Z87" s="539">
        <f t="shared" ref="Z87:AF87" si="112">Z25+Z47+Z70+Z76+Z81+Z86</f>
        <v>0</v>
      </c>
      <c r="AA87" s="539">
        <f t="shared" si="112"/>
        <v>0</v>
      </c>
      <c r="AB87" s="539">
        <f t="shared" si="112"/>
        <v>-691000</v>
      </c>
      <c r="AC87" s="539">
        <f t="shared" si="112"/>
        <v>1178000</v>
      </c>
      <c r="AD87" s="539">
        <f t="shared" si="112"/>
        <v>0</v>
      </c>
      <c r="AE87" s="539">
        <f t="shared" si="112"/>
        <v>26000</v>
      </c>
      <c r="AF87" s="539">
        <f t="shared" si="112"/>
        <v>78000</v>
      </c>
      <c r="AG87" s="539">
        <f t="shared" ref="AG87:AQ87" si="113">AG25+AG47+AG70+AG76+AG81+AG86</f>
        <v>0</v>
      </c>
      <c r="AH87" s="539">
        <f t="shared" si="113"/>
        <v>0</v>
      </c>
      <c r="AI87" s="539">
        <f t="shared" si="113"/>
        <v>0</v>
      </c>
      <c r="AJ87" s="539">
        <f t="shared" si="113"/>
        <v>0</v>
      </c>
      <c r="AK87" s="539">
        <f t="shared" si="113"/>
        <v>1078000</v>
      </c>
      <c r="AL87" s="539">
        <f t="shared" si="113"/>
        <v>0</v>
      </c>
      <c r="AM87" s="539">
        <f t="shared" si="113"/>
        <v>0</v>
      </c>
      <c r="AN87" s="539">
        <f t="shared" si="113"/>
        <v>0</v>
      </c>
      <c r="AO87" s="539">
        <f t="shared" si="113"/>
        <v>0</v>
      </c>
      <c r="AP87" s="539">
        <f t="shared" si="113"/>
        <v>0</v>
      </c>
      <c r="AQ87" s="539">
        <f t="shared" si="113"/>
        <v>0</v>
      </c>
      <c r="AR87" s="539">
        <f t="shared" ref="AR87:AS87" si="114">AR25+AR47+AR70+AR76+AR81+AR86</f>
        <v>0</v>
      </c>
      <c r="AS87" s="539">
        <f t="shared" si="114"/>
        <v>-190000</v>
      </c>
      <c r="AT87" s="539">
        <f t="shared" si="111"/>
        <v>-89334000</v>
      </c>
      <c r="AU87" s="539">
        <f t="shared" si="111"/>
        <v>-160115000</v>
      </c>
      <c r="AV87" s="539">
        <f t="shared" si="111"/>
        <v>22404000</v>
      </c>
      <c r="AW87" s="539">
        <f t="shared" si="111"/>
        <v>0</v>
      </c>
      <c r="AX87" s="539">
        <f t="shared" si="111"/>
        <v>22404000</v>
      </c>
    </row>
    <row r="88" spans="1:50">
      <c r="A88" s="529">
        <v>86</v>
      </c>
      <c r="B88" s="500"/>
      <c r="C88" s="500"/>
      <c r="D88" s="500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79">
        <f t="shared" si="77"/>
        <v>0</v>
      </c>
      <c r="Y88" s="539"/>
      <c r="Z88" s="539"/>
      <c r="AA88" s="539"/>
      <c r="AB88" s="539"/>
      <c r="AC88" s="539"/>
      <c r="AD88" s="539"/>
      <c r="AE88" s="539"/>
      <c r="AF88" s="539"/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82">
        <f t="shared" ref="AT88:AT100" si="115">SUM(Y88:AS88)</f>
        <v>0</v>
      </c>
      <c r="AU88" s="532">
        <f t="shared" ref="AU88:AU100" si="116">X88+AT88</f>
        <v>0</v>
      </c>
      <c r="AV88" s="532">
        <f t="shared" ref="AV88:AV100" si="117">E88+AU88</f>
        <v>0</v>
      </c>
      <c r="AW88" s="532"/>
      <c r="AX88" s="532">
        <f t="shared" si="90"/>
        <v>0</v>
      </c>
    </row>
    <row r="89" spans="1:50">
      <c r="A89" s="529">
        <v>87</v>
      </c>
      <c r="B89" s="794" t="s">
        <v>40</v>
      </c>
      <c r="C89" s="521" t="s">
        <v>656</v>
      </c>
      <c r="D89" s="545">
        <v>920</v>
      </c>
      <c r="E89" s="538">
        <f>PROFORMA!F128</f>
        <v>6401000</v>
      </c>
      <c r="F89" s="538">
        <f>PROFORMA!G128</f>
        <v>0</v>
      </c>
      <c r="G89" s="538">
        <f>PROFORMA!H128</f>
        <v>0</v>
      </c>
      <c r="H89" s="538">
        <f>PROFORMA!I128</f>
        <v>0</v>
      </c>
      <c r="I89" s="538">
        <f>PROFORMA!J128</f>
        <v>0</v>
      </c>
      <c r="J89" s="538">
        <f>PROFORMA!K128</f>
        <v>0</v>
      </c>
      <c r="K89" s="538">
        <f>PROFORMA!L128</f>
        <v>0</v>
      </c>
      <c r="L89" s="538">
        <f>PROFORMA!M128</f>
        <v>0</v>
      </c>
      <c r="M89" s="538">
        <f>PROFORMA!N128</f>
        <v>0</v>
      </c>
      <c r="N89" s="538">
        <f>PROFORMA!O128</f>
        <v>0</v>
      </c>
      <c r="O89" s="538">
        <f>PROFORMA!P128</f>
        <v>0</v>
      </c>
      <c r="P89" s="538">
        <f>PROFORMA!Q128</f>
        <v>0</v>
      </c>
      <c r="Q89" s="538">
        <f>PROFORMA!R128</f>
        <v>0</v>
      </c>
      <c r="R89" s="538">
        <f>PROFORMA!S128</f>
        <v>0</v>
      </c>
      <c r="S89" s="538">
        <f>PROFORMA!T128</f>
        <v>-107000</v>
      </c>
      <c r="T89" s="538">
        <f>PROFORMA!U128</f>
        <v>-211000</v>
      </c>
      <c r="U89" s="538">
        <f>PROFORMA!V128</f>
        <v>250000</v>
      </c>
      <c r="V89" s="538">
        <f>PROFORMA!W128</f>
        <v>0</v>
      </c>
      <c r="W89" s="538">
        <f>PROFORMA!X128</f>
        <v>0</v>
      </c>
      <c r="X89" s="579">
        <f t="shared" si="77"/>
        <v>-68000</v>
      </c>
      <c r="Y89" s="538">
        <f>PROFORMA!Y128</f>
        <v>0</v>
      </c>
      <c r="Z89" s="538">
        <f>PROFORMA!Z128</f>
        <v>0</v>
      </c>
      <c r="AA89" s="538">
        <f>PROFORMA!AA128</f>
        <v>0</v>
      </c>
      <c r="AB89" s="538">
        <f>PROFORMA!AB128</f>
        <v>0</v>
      </c>
      <c r="AC89" s="538">
        <f>PROFORMA!AC128</f>
        <v>648000</v>
      </c>
      <c r="AD89" s="538">
        <f>PROFORMA!AD128</f>
        <v>19000</v>
      </c>
      <c r="AE89" s="538">
        <f>PROFORMA!AE128</f>
        <v>0</v>
      </c>
      <c r="AF89" s="538">
        <f>PROFORMA!AG128</f>
        <v>0</v>
      </c>
      <c r="AG89" s="538">
        <f>PROFORMA!AH128</f>
        <v>113000</v>
      </c>
      <c r="AH89" s="538">
        <f>PROFORMA!AI128</f>
        <v>0</v>
      </c>
      <c r="AI89" s="538">
        <f>PROFORMA!AJ128</f>
        <v>0</v>
      </c>
      <c r="AJ89" s="538">
        <f>PROFORMA!AK128</f>
        <v>0</v>
      </c>
      <c r="AK89" s="538">
        <f>PROFORMA!AL128</f>
        <v>0</v>
      </c>
      <c r="AL89" s="538">
        <f>PROFORMA!AM128</f>
        <v>0</v>
      </c>
      <c r="AM89" s="538">
        <f>PROFORMA!AN128</f>
        <v>0</v>
      </c>
      <c r="AN89" s="538">
        <f>PROFORMA!AO128</f>
        <v>0</v>
      </c>
      <c r="AO89" s="538">
        <f>PROFORMA!AP128</f>
        <v>0</v>
      </c>
      <c r="AP89" s="538">
        <f>PROFORMA!AQ128</f>
        <v>0</v>
      </c>
      <c r="AQ89" s="538">
        <f>PROFORMA!AR128</f>
        <v>150000</v>
      </c>
      <c r="AR89" s="538">
        <f>PROFORMA!AS128</f>
        <v>0</v>
      </c>
      <c r="AS89" s="538">
        <f>PROFORMA!AT128</f>
        <v>0</v>
      </c>
      <c r="AT89" s="582">
        <f t="shared" si="115"/>
        <v>930000</v>
      </c>
      <c r="AU89" s="532">
        <f t="shared" si="116"/>
        <v>862000</v>
      </c>
      <c r="AV89" s="532">
        <f t="shared" si="117"/>
        <v>7263000</v>
      </c>
      <c r="AW89" s="532"/>
      <c r="AX89" s="532">
        <f t="shared" si="90"/>
        <v>7263000</v>
      </c>
    </row>
    <row r="90" spans="1:50">
      <c r="A90" s="529">
        <v>88</v>
      </c>
      <c r="B90" s="794"/>
      <c r="C90" s="521" t="s">
        <v>44</v>
      </c>
      <c r="D90" s="545">
        <v>921</v>
      </c>
      <c r="E90" s="538">
        <f>PROFORMA!F129</f>
        <v>856000</v>
      </c>
      <c r="F90" s="538">
        <f>PROFORMA!G129</f>
        <v>0</v>
      </c>
      <c r="G90" s="538">
        <f>PROFORMA!H129</f>
        <v>0</v>
      </c>
      <c r="H90" s="538">
        <f>PROFORMA!I129</f>
        <v>0</v>
      </c>
      <c r="I90" s="538">
        <f>PROFORMA!J129</f>
        <v>0</v>
      </c>
      <c r="J90" s="538">
        <f>PROFORMA!K129</f>
        <v>0</v>
      </c>
      <c r="K90" s="538">
        <f>PROFORMA!L129</f>
        <v>0</v>
      </c>
      <c r="L90" s="538">
        <f>PROFORMA!M129</f>
        <v>0</v>
      </c>
      <c r="M90" s="538">
        <f>PROFORMA!N129</f>
        <v>0</v>
      </c>
      <c r="N90" s="538">
        <f>PROFORMA!O129</f>
        <v>0</v>
      </c>
      <c r="O90" s="538">
        <f>PROFORMA!P129</f>
        <v>-10000</v>
      </c>
      <c r="P90" s="538">
        <f>PROFORMA!Q129</f>
        <v>0</v>
      </c>
      <c r="Q90" s="538">
        <f>PROFORMA!R129</f>
        <v>0</v>
      </c>
      <c r="R90" s="538">
        <f>PROFORMA!S129</f>
        <v>0</v>
      </c>
      <c r="S90" s="538">
        <f>PROFORMA!T129</f>
        <v>0</v>
      </c>
      <c r="T90" s="538">
        <f>PROFORMA!U129</f>
        <v>0</v>
      </c>
      <c r="U90" s="538">
        <f>PROFORMA!V129</f>
        <v>0</v>
      </c>
      <c r="V90" s="538">
        <f>PROFORMA!W129</f>
        <v>0</v>
      </c>
      <c r="W90" s="538">
        <f>PROFORMA!X129</f>
        <v>0</v>
      </c>
      <c r="X90" s="579">
        <f t="shared" si="77"/>
        <v>-10000</v>
      </c>
      <c r="Y90" s="538">
        <f>PROFORMA!Y129</f>
        <v>0</v>
      </c>
      <c r="Z90" s="538">
        <f>PROFORMA!Z129</f>
        <v>0</v>
      </c>
      <c r="AA90" s="538">
        <f>PROFORMA!AA129</f>
        <v>0</v>
      </c>
      <c r="AB90" s="538">
        <f>PROFORMA!AB129</f>
        <v>0</v>
      </c>
      <c r="AC90" s="538">
        <f>PROFORMA!AC129</f>
        <v>0</v>
      </c>
      <c r="AD90" s="538">
        <f>PROFORMA!AD129</f>
        <v>0</v>
      </c>
      <c r="AE90" s="538">
        <f>PROFORMA!AE129</f>
        <v>0</v>
      </c>
      <c r="AF90" s="538">
        <f>PROFORMA!AG129</f>
        <v>0</v>
      </c>
      <c r="AG90" s="538">
        <f>PROFORMA!AH129</f>
        <v>0</v>
      </c>
      <c r="AH90" s="538">
        <f>PROFORMA!AI129</f>
        <v>0</v>
      </c>
      <c r="AI90" s="538">
        <f>PROFORMA!AJ129</f>
        <v>0</v>
      </c>
      <c r="AJ90" s="538">
        <f>PROFORMA!AK129</f>
        <v>0</v>
      </c>
      <c r="AK90" s="538">
        <f>PROFORMA!AL129</f>
        <v>0</v>
      </c>
      <c r="AL90" s="538">
        <f>PROFORMA!AM129</f>
        <v>0</v>
      </c>
      <c r="AM90" s="538">
        <f>PROFORMA!AN129</f>
        <v>0</v>
      </c>
      <c r="AN90" s="538">
        <f>PROFORMA!AO129</f>
        <v>0</v>
      </c>
      <c r="AO90" s="538">
        <f>PROFORMA!AP129</f>
        <v>0</v>
      </c>
      <c r="AP90" s="538">
        <f>PROFORMA!AQ129</f>
        <v>0</v>
      </c>
      <c r="AQ90" s="538">
        <f>PROFORMA!AR129</f>
        <v>0</v>
      </c>
      <c r="AR90" s="538">
        <f>PROFORMA!AS129</f>
        <v>0</v>
      </c>
      <c r="AS90" s="538">
        <f>PROFORMA!AT129</f>
        <v>0</v>
      </c>
      <c r="AT90" s="582">
        <f t="shared" si="115"/>
        <v>0</v>
      </c>
      <c r="AU90" s="532">
        <f t="shared" si="116"/>
        <v>-10000</v>
      </c>
      <c r="AV90" s="532">
        <f t="shared" si="117"/>
        <v>846000</v>
      </c>
      <c r="AW90" s="532"/>
      <c r="AX90" s="532">
        <f t="shared" si="90"/>
        <v>846000</v>
      </c>
    </row>
    <row r="91" spans="1:50" ht="31.5">
      <c r="A91" s="529">
        <v>89</v>
      </c>
      <c r="B91" s="794"/>
      <c r="C91" s="521" t="s">
        <v>655</v>
      </c>
      <c r="D91" s="545">
        <v>922</v>
      </c>
      <c r="E91" s="538">
        <f>PROFORMA!F130</f>
        <v>-14000</v>
      </c>
      <c r="F91" s="538">
        <f>PROFORMA!G130</f>
        <v>0</v>
      </c>
      <c r="G91" s="538">
        <f>PROFORMA!H130</f>
        <v>0</v>
      </c>
      <c r="H91" s="538">
        <f>PROFORMA!I130</f>
        <v>0</v>
      </c>
      <c r="I91" s="538">
        <f>PROFORMA!J130</f>
        <v>0</v>
      </c>
      <c r="J91" s="538">
        <f>PROFORMA!K130</f>
        <v>0</v>
      </c>
      <c r="K91" s="538">
        <f>PROFORMA!L130</f>
        <v>0</v>
      </c>
      <c r="L91" s="538">
        <f>PROFORMA!M130</f>
        <v>0</v>
      </c>
      <c r="M91" s="538">
        <f>PROFORMA!N130</f>
        <v>0</v>
      </c>
      <c r="N91" s="538">
        <f>PROFORMA!O130</f>
        <v>0</v>
      </c>
      <c r="O91" s="538">
        <f>PROFORMA!P130</f>
        <v>0</v>
      </c>
      <c r="P91" s="538">
        <f>PROFORMA!Q130</f>
        <v>0</v>
      </c>
      <c r="Q91" s="538">
        <f>PROFORMA!R130</f>
        <v>0</v>
      </c>
      <c r="R91" s="538">
        <f>PROFORMA!S130</f>
        <v>0</v>
      </c>
      <c r="S91" s="538">
        <f>PROFORMA!T130</f>
        <v>0</v>
      </c>
      <c r="T91" s="538">
        <f>PROFORMA!U130</f>
        <v>0</v>
      </c>
      <c r="U91" s="538">
        <f>PROFORMA!V130</f>
        <v>0</v>
      </c>
      <c r="V91" s="538">
        <f>PROFORMA!W130</f>
        <v>0</v>
      </c>
      <c r="W91" s="538">
        <f>PROFORMA!X130</f>
        <v>0</v>
      </c>
      <c r="X91" s="579">
        <f t="shared" si="77"/>
        <v>0</v>
      </c>
      <c r="Y91" s="538">
        <f>PROFORMA!Y130</f>
        <v>0</v>
      </c>
      <c r="Z91" s="538">
        <f>PROFORMA!Z130</f>
        <v>0</v>
      </c>
      <c r="AA91" s="538">
        <f>PROFORMA!AA130</f>
        <v>0</v>
      </c>
      <c r="AB91" s="538">
        <f>PROFORMA!AB130</f>
        <v>0</v>
      </c>
      <c r="AC91" s="538">
        <f>PROFORMA!AC130</f>
        <v>0</v>
      </c>
      <c r="AD91" s="538">
        <f>PROFORMA!AD130</f>
        <v>0</v>
      </c>
      <c r="AE91" s="538">
        <f>PROFORMA!AE130</f>
        <v>0</v>
      </c>
      <c r="AF91" s="538">
        <f>PROFORMA!AG130</f>
        <v>0</v>
      </c>
      <c r="AG91" s="538">
        <f>PROFORMA!AH130</f>
        <v>0</v>
      </c>
      <c r="AH91" s="538">
        <f>PROFORMA!AI130</f>
        <v>0</v>
      </c>
      <c r="AI91" s="538">
        <f>PROFORMA!AJ130</f>
        <v>0</v>
      </c>
      <c r="AJ91" s="538">
        <f>PROFORMA!AK130</f>
        <v>0</v>
      </c>
      <c r="AK91" s="538">
        <f>PROFORMA!AL130</f>
        <v>0</v>
      </c>
      <c r="AL91" s="538">
        <f>PROFORMA!AM130</f>
        <v>0</v>
      </c>
      <c r="AM91" s="538">
        <f>PROFORMA!AN130</f>
        <v>0</v>
      </c>
      <c r="AN91" s="538">
        <f>PROFORMA!AO130</f>
        <v>0</v>
      </c>
      <c r="AO91" s="538">
        <f>PROFORMA!AP130</f>
        <v>0</v>
      </c>
      <c r="AP91" s="538">
        <f>PROFORMA!AQ130</f>
        <v>0</v>
      </c>
      <c r="AQ91" s="538">
        <f>PROFORMA!AR130</f>
        <v>0</v>
      </c>
      <c r="AR91" s="538">
        <f>PROFORMA!AS130</f>
        <v>0</v>
      </c>
      <c r="AS91" s="538">
        <f>PROFORMA!AT130</f>
        <v>0</v>
      </c>
      <c r="AT91" s="582">
        <f t="shared" si="115"/>
        <v>0</v>
      </c>
      <c r="AU91" s="532">
        <f t="shared" si="116"/>
        <v>0</v>
      </c>
      <c r="AV91" s="532">
        <f t="shared" si="117"/>
        <v>-14000</v>
      </c>
      <c r="AW91" s="532"/>
      <c r="AX91" s="532">
        <f t="shared" si="90"/>
        <v>-14000</v>
      </c>
    </row>
    <row r="92" spans="1:50">
      <c r="A92" s="529">
        <v>90</v>
      </c>
      <c r="B92" s="794"/>
      <c r="C92" s="521" t="s">
        <v>48</v>
      </c>
      <c r="D92" s="545">
        <v>923</v>
      </c>
      <c r="E92" s="538">
        <f>PROFORMA!F131</f>
        <v>3098000</v>
      </c>
      <c r="F92" s="538">
        <f>PROFORMA!G131</f>
        <v>0</v>
      </c>
      <c r="G92" s="538">
        <f>PROFORMA!H131</f>
        <v>0</v>
      </c>
      <c r="H92" s="538">
        <f>PROFORMA!I131</f>
        <v>0</v>
      </c>
      <c r="I92" s="538">
        <f>PROFORMA!J131</f>
        <v>0</v>
      </c>
      <c r="J92" s="538">
        <f>PROFORMA!K131</f>
        <v>0</v>
      </c>
      <c r="K92" s="538">
        <f>PROFORMA!L131</f>
        <v>0</v>
      </c>
      <c r="L92" s="538">
        <f>PROFORMA!M131</f>
        <v>0</v>
      </c>
      <c r="M92" s="538">
        <f>PROFORMA!N131</f>
        <v>0</v>
      </c>
      <c r="N92" s="538">
        <f>PROFORMA!O131</f>
        <v>0</v>
      </c>
      <c r="O92" s="538">
        <f>PROFORMA!P131</f>
        <v>0</v>
      </c>
      <c r="P92" s="538">
        <f>PROFORMA!Q131</f>
        <v>0</v>
      </c>
      <c r="Q92" s="538">
        <f>PROFORMA!R131</f>
        <v>0</v>
      </c>
      <c r="R92" s="538">
        <f>PROFORMA!S131</f>
        <v>0</v>
      </c>
      <c r="S92" s="538">
        <f>PROFORMA!T131</f>
        <v>0</v>
      </c>
      <c r="T92" s="538">
        <f>PROFORMA!U131</f>
        <v>0</v>
      </c>
      <c r="U92" s="538">
        <f>PROFORMA!V131</f>
        <v>0</v>
      </c>
      <c r="V92" s="538">
        <f>PROFORMA!W131</f>
        <v>0</v>
      </c>
      <c r="W92" s="538">
        <f>PROFORMA!X131</f>
        <v>0</v>
      </c>
      <c r="X92" s="579">
        <f t="shared" si="77"/>
        <v>0</v>
      </c>
      <c r="Y92" s="538">
        <f>PROFORMA!Y131</f>
        <v>0</v>
      </c>
      <c r="Z92" s="538">
        <f>PROFORMA!Z131</f>
        <v>0</v>
      </c>
      <c r="AA92" s="538">
        <f>PROFORMA!AA131</f>
        <v>0</v>
      </c>
      <c r="AB92" s="538">
        <f>PROFORMA!AB131</f>
        <v>0</v>
      </c>
      <c r="AC92" s="538">
        <f>PROFORMA!AC131</f>
        <v>0</v>
      </c>
      <c r="AD92" s="538">
        <f>PROFORMA!AD131</f>
        <v>0</v>
      </c>
      <c r="AE92" s="538">
        <f>PROFORMA!AE131</f>
        <v>0</v>
      </c>
      <c r="AF92" s="538">
        <f>PROFORMA!AG131</f>
        <v>0</v>
      </c>
      <c r="AG92" s="538">
        <f>PROFORMA!AH131</f>
        <v>0</v>
      </c>
      <c r="AH92" s="538">
        <f>PROFORMA!AI131</f>
        <v>0</v>
      </c>
      <c r="AI92" s="538">
        <f>PROFORMA!AJ131</f>
        <v>0</v>
      </c>
      <c r="AJ92" s="538">
        <f>PROFORMA!AK131</f>
        <v>0</v>
      </c>
      <c r="AK92" s="538">
        <f>PROFORMA!AL131</f>
        <v>0</v>
      </c>
      <c r="AL92" s="538">
        <f>PROFORMA!AM131</f>
        <v>0</v>
      </c>
      <c r="AM92" s="538">
        <f>PROFORMA!AN131</f>
        <v>0</v>
      </c>
      <c r="AN92" s="538">
        <f>PROFORMA!AO131</f>
        <v>0</v>
      </c>
      <c r="AO92" s="538">
        <f>PROFORMA!AP131</f>
        <v>0</v>
      </c>
      <c r="AP92" s="538">
        <f>PROFORMA!AQ131</f>
        <v>0</v>
      </c>
      <c r="AQ92" s="538">
        <f>PROFORMA!AR131</f>
        <v>0</v>
      </c>
      <c r="AR92" s="538">
        <f>PROFORMA!AS131</f>
        <v>0</v>
      </c>
      <c r="AS92" s="538">
        <f>PROFORMA!AT131</f>
        <v>0</v>
      </c>
      <c r="AT92" s="582">
        <f t="shared" si="115"/>
        <v>0</v>
      </c>
      <c r="AU92" s="532">
        <f t="shared" si="116"/>
        <v>0</v>
      </c>
      <c r="AV92" s="532">
        <f t="shared" si="117"/>
        <v>3098000</v>
      </c>
      <c r="AW92" s="532"/>
      <c r="AX92" s="532">
        <f t="shared" si="90"/>
        <v>3098000</v>
      </c>
    </row>
    <row r="93" spans="1:50">
      <c r="A93" s="529">
        <v>91</v>
      </c>
      <c r="B93" s="794"/>
      <c r="C93" s="521" t="s">
        <v>50</v>
      </c>
      <c r="D93" s="545">
        <v>924</v>
      </c>
      <c r="E93" s="538">
        <f>PROFORMA!F132</f>
        <v>445000</v>
      </c>
      <c r="F93" s="538">
        <f>PROFORMA!G132</f>
        <v>0</v>
      </c>
      <c r="G93" s="538">
        <f>PROFORMA!H132</f>
        <v>0</v>
      </c>
      <c r="H93" s="538">
        <f>PROFORMA!I132</f>
        <v>0</v>
      </c>
      <c r="I93" s="538">
        <f>PROFORMA!J132</f>
        <v>0</v>
      </c>
      <c r="J93" s="538">
        <f>PROFORMA!K132</f>
        <v>0</v>
      </c>
      <c r="K93" s="538">
        <f>PROFORMA!L132</f>
        <v>0</v>
      </c>
      <c r="L93" s="538">
        <f>PROFORMA!M132</f>
        <v>0</v>
      </c>
      <c r="M93" s="538">
        <f>PROFORMA!N132</f>
        <v>0</v>
      </c>
      <c r="N93" s="538">
        <f>PROFORMA!O132</f>
        <v>0</v>
      </c>
      <c r="O93" s="538">
        <f>PROFORMA!P132</f>
        <v>0</v>
      </c>
      <c r="P93" s="538">
        <f>PROFORMA!Q132</f>
        <v>0</v>
      </c>
      <c r="Q93" s="538">
        <f>PROFORMA!R132</f>
        <v>0</v>
      </c>
      <c r="R93" s="538">
        <f>PROFORMA!S132</f>
        <v>0</v>
      </c>
      <c r="S93" s="538">
        <f>PROFORMA!T132</f>
        <v>0</v>
      </c>
      <c r="T93" s="538">
        <f>PROFORMA!U132</f>
        <v>0</v>
      </c>
      <c r="U93" s="538">
        <f>PROFORMA!V132</f>
        <v>0</v>
      </c>
      <c r="V93" s="538">
        <f>PROFORMA!W132</f>
        <v>0</v>
      </c>
      <c r="W93" s="538">
        <f>PROFORMA!X132</f>
        <v>0</v>
      </c>
      <c r="X93" s="579">
        <f t="shared" si="77"/>
        <v>0</v>
      </c>
      <c r="Y93" s="538">
        <f>PROFORMA!Y132</f>
        <v>0</v>
      </c>
      <c r="Z93" s="538">
        <f>PROFORMA!Z132</f>
        <v>0</v>
      </c>
      <c r="AA93" s="538">
        <f>PROFORMA!AA132</f>
        <v>0</v>
      </c>
      <c r="AB93" s="538">
        <f>PROFORMA!AB132</f>
        <v>0</v>
      </c>
      <c r="AC93" s="538">
        <f>PROFORMA!AC132</f>
        <v>0</v>
      </c>
      <c r="AD93" s="538">
        <f>PROFORMA!AD132</f>
        <v>0</v>
      </c>
      <c r="AE93" s="538">
        <f>PROFORMA!AE132</f>
        <v>0</v>
      </c>
      <c r="AF93" s="538">
        <f>PROFORMA!AG132</f>
        <v>0</v>
      </c>
      <c r="AG93" s="538">
        <f>PROFORMA!AH132</f>
        <v>0</v>
      </c>
      <c r="AH93" s="538">
        <f>PROFORMA!AI132</f>
        <v>0</v>
      </c>
      <c r="AI93" s="538">
        <f>PROFORMA!AJ132</f>
        <v>598000</v>
      </c>
      <c r="AJ93" s="538">
        <f>PROFORMA!AK132</f>
        <v>0</v>
      </c>
      <c r="AK93" s="538">
        <f>PROFORMA!AL132</f>
        <v>0</v>
      </c>
      <c r="AL93" s="538">
        <f>PROFORMA!AM132</f>
        <v>0</v>
      </c>
      <c r="AM93" s="538">
        <f>PROFORMA!AN132</f>
        <v>0</v>
      </c>
      <c r="AN93" s="538">
        <f>PROFORMA!AO132</f>
        <v>0</v>
      </c>
      <c r="AO93" s="538">
        <f>PROFORMA!AP132</f>
        <v>0</v>
      </c>
      <c r="AP93" s="538">
        <f>PROFORMA!AQ132</f>
        <v>0</v>
      </c>
      <c r="AQ93" s="538">
        <f>PROFORMA!AR132</f>
        <v>0</v>
      </c>
      <c r="AR93" s="538">
        <f>PROFORMA!AS132</f>
        <v>0</v>
      </c>
      <c r="AS93" s="538">
        <f>PROFORMA!AT132</f>
        <v>0</v>
      </c>
      <c r="AT93" s="582">
        <f t="shared" si="115"/>
        <v>598000</v>
      </c>
      <c r="AU93" s="532">
        <f t="shared" si="116"/>
        <v>598000</v>
      </c>
      <c r="AV93" s="532">
        <f t="shared" si="117"/>
        <v>1043000</v>
      </c>
      <c r="AW93" s="532"/>
      <c r="AX93" s="532">
        <f t="shared" si="90"/>
        <v>1043000</v>
      </c>
    </row>
    <row r="94" spans="1:50">
      <c r="A94" s="529">
        <v>92</v>
      </c>
      <c r="B94" s="794"/>
      <c r="C94" s="521" t="s">
        <v>52</v>
      </c>
      <c r="D94" s="545">
        <v>925</v>
      </c>
      <c r="E94" s="538">
        <f>PROFORMA!F133</f>
        <v>1297000</v>
      </c>
      <c r="F94" s="538">
        <f>PROFORMA!G133</f>
        <v>0</v>
      </c>
      <c r="G94" s="538">
        <f>PROFORMA!H133</f>
        <v>0</v>
      </c>
      <c r="H94" s="538">
        <f>PROFORMA!I133</f>
        <v>0</v>
      </c>
      <c r="I94" s="538">
        <f>PROFORMA!J133</f>
        <v>0</v>
      </c>
      <c r="J94" s="538">
        <f>PROFORMA!K133</f>
        <v>0</v>
      </c>
      <c r="K94" s="538">
        <f>PROFORMA!L133</f>
        <v>0</v>
      </c>
      <c r="L94" s="538">
        <f>PROFORMA!M133</f>
        <v>0</v>
      </c>
      <c r="M94" s="538">
        <f>PROFORMA!N133</f>
        <v>-18000</v>
      </c>
      <c r="N94" s="538">
        <f>PROFORMA!O133</f>
        <v>0</v>
      </c>
      <c r="O94" s="538">
        <f>PROFORMA!P133</f>
        <v>0</v>
      </c>
      <c r="P94" s="538">
        <f>PROFORMA!Q133</f>
        <v>0</v>
      </c>
      <c r="Q94" s="538">
        <f>PROFORMA!R133</f>
        <v>0</v>
      </c>
      <c r="R94" s="538">
        <f>PROFORMA!S133</f>
        <v>0</v>
      </c>
      <c r="S94" s="538">
        <f>PROFORMA!T133</f>
        <v>0</v>
      </c>
      <c r="T94" s="538">
        <f>PROFORMA!U133</f>
        <v>-13000</v>
      </c>
      <c r="U94" s="538">
        <f>PROFORMA!V133</f>
        <v>0</v>
      </c>
      <c r="V94" s="538">
        <f>PROFORMA!W133</f>
        <v>0</v>
      </c>
      <c r="W94" s="538">
        <f>PROFORMA!X133</f>
        <v>0</v>
      </c>
      <c r="X94" s="579">
        <f t="shared" si="77"/>
        <v>-31000</v>
      </c>
      <c r="Y94" s="538">
        <f>PROFORMA!Y133</f>
        <v>0</v>
      </c>
      <c r="Z94" s="538">
        <f>PROFORMA!Z133</f>
        <v>0</v>
      </c>
      <c r="AA94" s="538">
        <f>PROFORMA!AA133</f>
        <v>0</v>
      </c>
      <c r="AB94" s="538">
        <f>PROFORMA!AB133</f>
        <v>0</v>
      </c>
      <c r="AC94" s="538">
        <f>PROFORMA!AC133</f>
        <v>0</v>
      </c>
      <c r="AD94" s="538">
        <f>PROFORMA!AD133</f>
        <v>0</v>
      </c>
      <c r="AE94" s="538">
        <f>PROFORMA!AE133</f>
        <v>0</v>
      </c>
      <c r="AF94" s="538">
        <f>PROFORMA!AG133</f>
        <v>0</v>
      </c>
      <c r="AG94" s="538">
        <f>PROFORMA!AH133</f>
        <v>0</v>
      </c>
      <c r="AH94" s="538">
        <f>PROFORMA!AI133</f>
        <v>0</v>
      </c>
      <c r="AI94" s="538">
        <f>PROFORMA!AJ133</f>
        <v>0</v>
      </c>
      <c r="AJ94" s="538">
        <f>PROFORMA!AK133</f>
        <v>0</v>
      </c>
      <c r="AK94" s="538">
        <f>PROFORMA!AL133</f>
        <v>0</v>
      </c>
      <c r="AL94" s="538">
        <f>PROFORMA!AM133</f>
        <v>0</v>
      </c>
      <c r="AM94" s="538">
        <f>PROFORMA!AN133</f>
        <v>0</v>
      </c>
      <c r="AN94" s="538">
        <f>PROFORMA!AO133</f>
        <v>0</v>
      </c>
      <c r="AO94" s="538">
        <f>PROFORMA!AP133</f>
        <v>0</v>
      </c>
      <c r="AP94" s="538">
        <f>PROFORMA!AQ133</f>
        <v>0</v>
      </c>
      <c r="AQ94" s="538">
        <f>PROFORMA!AR133</f>
        <v>0</v>
      </c>
      <c r="AR94" s="538">
        <f>PROFORMA!AS133</f>
        <v>0</v>
      </c>
      <c r="AS94" s="538">
        <f>PROFORMA!AT133</f>
        <v>0</v>
      </c>
      <c r="AT94" s="582">
        <f t="shared" si="115"/>
        <v>0</v>
      </c>
      <c r="AU94" s="532">
        <f t="shared" si="116"/>
        <v>-31000</v>
      </c>
      <c r="AV94" s="532">
        <f t="shared" si="117"/>
        <v>1266000</v>
      </c>
      <c r="AW94" s="532"/>
      <c r="AX94" s="532">
        <f t="shared" si="90"/>
        <v>1266000</v>
      </c>
    </row>
    <row r="95" spans="1:50">
      <c r="A95" s="529">
        <v>93</v>
      </c>
      <c r="B95" s="794"/>
      <c r="C95" s="521" t="s">
        <v>54</v>
      </c>
      <c r="D95" s="545">
        <v>926</v>
      </c>
      <c r="E95" s="538">
        <f>PROFORMA!F134</f>
        <v>6987000</v>
      </c>
      <c r="F95" s="538">
        <f>PROFORMA!G134</f>
        <v>0</v>
      </c>
      <c r="G95" s="538">
        <f>PROFORMA!H134</f>
        <v>0</v>
      </c>
      <c r="H95" s="538">
        <f>PROFORMA!I134</f>
        <v>0</v>
      </c>
      <c r="I95" s="538">
        <f>PROFORMA!J134</f>
        <v>0</v>
      </c>
      <c r="J95" s="538">
        <f>PROFORMA!K134</f>
        <v>0</v>
      </c>
      <c r="K95" s="538">
        <f>PROFORMA!L134</f>
        <v>0</v>
      </c>
      <c r="L95" s="538">
        <f>PROFORMA!M134</f>
        <v>0</v>
      </c>
      <c r="M95" s="538">
        <f>PROFORMA!N134</f>
        <v>0</v>
      </c>
      <c r="N95" s="538">
        <f>PROFORMA!O134</f>
        <v>0</v>
      </c>
      <c r="O95" s="538">
        <f>PROFORMA!P134</f>
        <v>0</v>
      </c>
      <c r="P95" s="538">
        <f>PROFORMA!Q134</f>
        <v>0</v>
      </c>
      <c r="Q95" s="538">
        <f>PROFORMA!R134</f>
        <v>0</v>
      </c>
      <c r="R95" s="538">
        <f>PROFORMA!S134</f>
        <v>0</v>
      </c>
      <c r="S95" s="538">
        <f>PROFORMA!T134</f>
        <v>0</v>
      </c>
      <c r="T95" s="538">
        <f>PROFORMA!U134</f>
        <v>0</v>
      </c>
      <c r="U95" s="538">
        <f>PROFORMA!V134</f>
        <v>0</v>
      </c>
      <c r="V95" s="538">
        <f>PROFORMA!W134</f>
        <v>0</v>
      </c>
      <c r="W95" s="538">
        <f>PROFORMA!X134</f>
        <v>0</v>
      </c>
      <c r="X95" s="579">
        <f t="shared" si="77"/>
        <v>0</v>
      </c>
      <c r="Y95" s="538">
        <f>PROFORMA!Y134</f>
        <v>0</v>
      </c>
      <c r="Z95" s="538">
        <f>PROFORMA!Z134</f>
        <v>0</v>
      </c>
      <c r="AA95" s="538">
        <f>PROFORMA!AA134</f>
        <v>0</v>
      </c>
      <c r="AB95" s="538">
        <f>PROFORMA!AB134</f>
        <v>0</v>
      </c>
      <c r="AC95" s="538">
        <f>PROFORMA!AC134</f>
        <v>0</v>
      </c>
      <c r="AD95" s="538">
        <f>PROFORMA!AD134</f>
        <v>0</v>
      </c>
      <c r="AE95" s="538">
        <f>PROFORMA!AE134</f>
        <v>15000</v>
      </c>
      <c r="AF95" s="538">
        <f>PROFORMA!AG134</f>
        <v>0</v>
      </c>
      <c r="AG95" s="538">
        <f>PROFORMA!AH134</f>
        <v>0</v>
      </c>
      <c r="AH95" s="538">
        <f>PROFORMA!AI134</f>
        <v>0</v>
      </c>
      <c r="AI95" s="538">
        <f>PROFORMA!AJ134</f>
        <v>0</v>
      </c>
      <c r="AJ95" s="538">
        <f>PROFORMA!AK134</f>
        <v>0</v>
      </c>
      <c r="AK95" s="538">
        <f>PROFORMA!AL134</f>
        <v>0</v>
      </c>
      <c r="AL95" s="538">
        <f>PROFORMA!AM134</f>
        <v>0</v>
      </c>
      <c r="AM95" s="538">
        <f>PROFORMA!AN134</f>
        <v>0</v>
      </c>
      <c r="AN95" s="538">
        <f>PROFORMA!AO134</f>
        <v>0</v>
      </c>
      <c r="AO95" s="538">
        <f>PROFORMA!AP134</f>
        <v>0</v>
      </c>
      <c r="AP95" s="538">
        <f>PROFORMA!AQ134</f>
        <v>0</v>
      </c>
      <c r="AQ95" s="538">
        <f>PROFORMA!AR134</f>
        <v>0</v>
      </c>
      <c r="AR95" s="538">
        <f>PROFORMA!AS134</f>
        <v>0</v>
      </c>
      <c r="AS95" s="538">
        <f>PROFORMA!AT134</f>
        <v>0</v>
      </c>
      <c r="AT95" s="582">
        <f t="shared" si="115"/>
        <v>15000</v>
      </c>
      <c r="AU95" s="532">
        <f t="shared" si="116"/>
        <v>15000</v>
      </c>
      <c r="AV95" s="532">
        <f t="shared" si="117"/>
        <v>7002000</v>
      </c>
      <c r="AW95" s="532"/>
      <c r="AX95" s="532">
        <f t="shared" si="90"/>
        <v>7002000</v>
      </c>
    </row>
    <row r="96" spans="1:50">
      <c r="A96" s="529">
        <v>94</v>
      </c>
      <c r="B96" s="794"/>
      <c r="C96" s="521" t="s">
        <v>56</v>
      </c>
      <c r="D96" s="545">
        <v>927</v>
      </c>
      <c r="E96" s="538">
        <f>PROFORMA!F135</f>
        <v>0</v>
      </c>
      <c r="F96" s="538">
        <f>PROFORMA!G135</f>
        <v>0</v>
      </c>
      <c r="G96" s="538">
        <f>PROFORMA!H135</f>
        <v>0</v>
      </c>
      <c r="H96" s="538">
        <f>PROFORMA!I135</f>
        <v>0</v>
      </c>
      <c r="I96" s="538">
        <f>PROFORMA!J135</f>
        <v>0</v>
      </c>
      <c r="J96" s="538">
        <f>PROFORMA!K135</f>
        <v>0</v>
      </c>
      <c r="K96" s="538">
        <f>PROFORMA!L135</f>
        <v>0</v>
      </c>
      <c r="L96" s="538">
        <f>PROFORMA!M135</f>
        <v>0</v>
      </c>
      <c r="M96" s="538">
        <f>PROFORMA!N135</f>
        <v>0</v>
      </c>
      <c r="N96" s="538">
        <f>PROFORMA!O135</f>
        <v>0</v>
      </c>
      <c r="O96" s="538">
        <f>PROFORMA!P135</f>
        <v>0</v>
      </c>
      <c r="P96" s="538">
        <f>PROFORMA!Q135</f>
        <v>0</v>
      </c>
      <c r="Q96" s="538">
        <f>PROFORMA!R135</f>
        <v>0</v>
      </c>
      <c r="R96" s="538">
        <f>PROFORMA!S135</f>
        <v>0</v>
      </c>
      <c r="S96" s="538">
        <f>PROFORMA!T135</f>
        <v>0</v>
      </c>
      <c r="T96" s="538">
        <f>PROFORMA!U135</f>
        <v>0</v>
      </c>
      <c r="U96" s="538">
        <f>PROFORMA!V135</f>
        <v>0</v>
      </c>
      <c r="V96" s="538">
        <f>PROFORMA!W135</f>
        <v>0</v>
      </c>
      <c r="W96" s="538">
        <f>PROFORMA!X135</f>
        <v>0</v>
      </c>
      <c r="X96" s="579">
        <f t="shared" si="77"/>
        <v>0</v>
      </c>
      <c r="Y96" s="538">
        <f>PROFORMA!Y135</f>
        <v>0</v>
      </c>
      <c r="Z96" s="538">
        <f>PROFORMA!Z135</f>
        <v>0</v>
      </c>
      <c r="AA96" s="538">
        <f>PROFORMA!AA135</f>
        <v>0</v>
      </c>
      <c r="AB96" s="538">
        <f>PROFORMA!AB135</f>
        <v>0</v>
      </c>
      <c r="AC96" s="538">
        <f>PROFORMA!AC135</f>
        <v>0</v>
      </c>
      <c r="AD96" s="538">
        <f>PROFORMA!AD135</f>
        <v>0</v>
      </c>
      <c r="AE96" s="538">
        <f>PROFORMA!AE135</f>
        <v>0</v>
      </c>
      <c r="AF96" s="538">
        <f>PROFORMA!AG135</f>
        <v>0</v>
      </c>
      <c r="AG96" s="538">
        <f>PROFORMA!AH135</f>
        <v>0</v>
      </c>
      <c r="AH96" s="538">
        <f>PROFORMA!AI135</f>
        <v>0</v>
      </c>
      <c r="AI96" s="538">
        <f>PROFORMA!AJ135</f>
        <v>0</v>
      </c>
      <c r="AJ96" s="538">
        <f>PROFORMA!AK135</f>
        <v>0</v>
      </c>
      <c r="AK96" s="538">
        <f>PROFORMA!AL135</f>
        <v>0</v>
      </c>
      <c r="AL96" s="538">
        <f>PROFORMA!AM135</f>
        <v>0</v>
      </c>
      <c r="AM96" s="538">
        <f>PROFORMA!AN135</f>
        <v>0</v>
      </c>
      <c r="AN96" s="538">
        <f>PROFORMA!AO135</f>
        <v>0</v>
      </c>
      <c r="AO96" s="538">
        <f>PROFORMA!AP135</f>
        <v>0</v>
      </c>
      <c r="AP96" s="538">
        <f>PROFORMA!AQ135</f>
        <v>0</v>
      </c>
      <c r="AQ96" s="538">
        <f>PROFORMA!AR135</f>
        <v>0</v>
      </c>
      <c r="AR96" s="538">
        <f>PROFORMA!AS135</f>
        <v>0</v>
      </c>
      <c r="AS96" s="538">
        <f>PROFORMA!AT135</f>
        <v>0</v>
      </c>
      <c r="AT96" s="582">
        <f t="shared" si="115"/>
        <v>0</v>
      </c>
      <c r="AU96" s="532">
        <f t="shared" si="116"/>
        <v>0</v>
      </c>
      <c r="AV96" s="532">
        <f t="shared" si="117"/>
        <v>0</v>
      </c>
      <c r="AW96" s="532"/>
      <c r="AX96" s="532">
        <f t="shared" si="90"/>
        <v>0</v>
      </c>
    </row>
    <row r="97" spans="1:50">
      <c r="A97" s="529">
        <v>95</v>
      </c>
      <c r="B97" s="794"/>
      <c r="C97" s="521" t="s">
        <v>58</v>
      </c>
      <c r="D97" s="545">
        <v>928</v>
      </c>
      <c r="E97" s="538">
        <f>PROFORMA!F136</f>
        <v>901000</v>
      </c>
      <c r="F97" s="538">
        <f>PROFORMA!G136</f>
        <v>0</v>
      </c>
      <c r="G97" s="538">
        <f>PROFORMA!H136</f>
        <v>0</v>
      </c>
      <c r="H97" s="538">
        <f>PROFORMA!I136</f>
        <v>0</v>
      </c>
      <c r="I97" s="538">
        <f>PROFORMA!J136</f>
        <v>0</v>
      </c>
      <c r="J97" s="538">
        <f>PROFORMA!K136</f>
        <v>0</v>
      </c>
      <c r="K97" s="538">
        <f>PROFORMA!L136</f>
        <v>0</v>
      </c>
      <c r="L97" s="538">
        <f>PROFORMA!M136</f>
        <v>398000</v>
      </c>
      <c r="M97" s="538">
        <f>PROFORMA!N136</f>
        <v>0</v>
      </c>
      <c r="N97" s="538">
        <f>PROFORMA!O136</f>
        <v>0</v>
      </c>
      <c r="O97" s="538">
        <f>PROFORMA!P136</f>
        <v>0</v>
      </c>
      <c r="P97" s="538">
        <f>PROFORMA!Q136</f>
        <v>0</v>
      </c>
      <c r="Q97" s="538">
        <f>PROFORMA!R136</f>
        <v>0</v>
      </c>
      <c r="R97" s="538">
        <f>PROFORMA!S136</f>
        <v>0</v>
      </c>
      <c r="S97" s="538">
        <f>PROFORMA!T136</f>
        <v>1000</v>
      </c>
      <c r="T97" s="538">
        <f>PROFORMA!U136</f>
        <v>0</v>
      </c>
      <c r="U97" s="538">
        <f>PROFORMA!V136</f>
        <v>0</v>
      </c>
      <c r="V97" s="538">
        <f>PROFORMA!W136</f>
        <v>0</v>
      </c>
      <c r="W97" s="538">
        <f>PROFORMA!X136</f>
        <v>0</v>
      </c>
      <c r="X97" s="579">
        <f t="shared" si="77"/>
        <v>399000</v>
      </c>
      <c r="Y97" s="538">
        <f>PROFORMA!Y136</f>
        <v>-358000</v>
      </c>
      <c r="Z97" s="538">
        <f>PROFORMA!Z136</f>
        <v>0</v>
      </c>
      <c r="AA97" s="538">
        <f>PROFORMA!AA136</f>
        <v>0</v>
      </c>
      <c r="AB97" s="538">
        <f>PROFORMA!AB136</f>
        <v>0</v>
      </c>
      <c r="AC97" s="538">
        <f>PROFORMA!AC136</f>
        <v>0</v>
      </c>
      <c r="AD97" s="538">
        <f>PROFORMA!AD136</f>
        <v>0</v>
      </c>
      <c r="AE97" s="538">
        <f>PROFORMA!AE136</f>
        <v>0</v>
      </c>
      <c r="AF97" s="538">
        <f>PROFORMA!AG136</f>
        <v>0</v>
      </c>
      <c r="AG97" s="538">
        <f>PROFORMA!AH136</f>
        <v>0</v>
      </c>
      <c r="AH97" s="538">
        <f>PROFORMA!AI136</f>
        <v>0</v>
      </c>
      <c r="AI97" s="538">
        <f>PROFORMA!AJ136</f>
        <v>0</v>
      </c>
      <c r="AJ97" s="538">
        <f>PROFORMA!AK136</f>
        <v>0</v>
      </c>
      <c r="AK97" s="538">
        <f>PROFORMA!AL136</f>
        <v>0</v>
      </c>
      <c r="AL97" s="538">
        <f>PROFORMA!AM136</f>
        <v>0</v>
      </c>
      <c r="AM97" s="538">
        <f>PROFORMA!AN136</f>
        <v>0</v>
      </c>
      <c r="AN97" s="538">
        <f>PROFORMA!AO136</f>
        <v>0</v>
      </c>
      <c r="AO97" s="538">
        <f>PROFORMA!AP136</f>
        <v>0</v>
      </c>
      <c r="AP97" s="538">
        <f>PROFORMA!AQ136</f>
        <v>0</v>
      </c>
      <c r="AQ97" s="538">
        <f>PROFORMA!AR136</f>
        <v>0</v>
      </c>
      <c r="AR97" s="538">
        <f>PROFORMA!AS136</f>
        <v>0</v>
      </c>
      <c r="AS97" s="538">
        <f>PROFORMA!AT136</f>
        <v>0</v>
      </c>
      <c r="AT97" s="582">
        <f t="shared" si="115"/>
        <v>-358000</v>
      </c>
      <c r="AU97" s="532">
        <f t="shared" si="116"/>
        <v>41000</v>
      </c>
      <c r="AV97" s="532">
        <f t="shared" si="117"/>
        <v>942000</v>
      </c>
      <c r="AW97" s="532"/>
      <c r="AX97" s="532">
        <f t="shared" si="90"/>
        <v>942000</v>
      </c>
    </row>
    <row r="98" spans="1:50">
      <c r="A98" s="529">
        <v>96</v>
      </c>
      <c r="B98" s="794"/>
      <c r="C98" s="521" t="s">
        <v>60</v>
      </c>
      <c r="D98" s="545">
        <v>930</v>
      </c>
      <c r="E98" s="538">
        <f>PROFORMA!F137</f>
        <v>1217000</v>
      </c>
      <c r="F98" s="538">
        <f>PROFORMA!G137</f>
        <v>0</v>
      </c>
      <c r="G98" s="538">
        <f>PROFORMA!H137</f>
        <v>0</v>
      </c>
      <c r="H98" s="538">
        <f>PROFORMA!I137</f>
        <v>0</v>
      </c>
      <c r="I98" s="538">
        <f>PROFORMA!J137</f>
        <v>0</v>
      </c>
      <c r="J98" s="538">
        <f>PROFORMA!K137</f>
        <v>0</v>
      </c>
      <c r="K98" s="538">
        <f>PROFORMA!L137</f>
        <v>0</v>
      </c>
      <c r="L98" s="538">
        <f>PROFORMA!M137</f>
        <v>0</v>
      </c>
      <c r="M98" s="538">
        <f>PROFORMA!N137</f>
        <v>0</v>
      </c>
      <c r="N98" s="538">
        <f>PROFORMA!O137</f>
        <v>0</v>
      </c>
      <c r="O98" s="538">
        <f>PROFORMA!P137</f>
        <v>0</v>
      </c>
      <c r="P98" s="538">
        <f>PROFORMA!Q137</f>
        <v>0</v>
      </c>
      <c r="Q98" s="538">
        <f>PROFORMA!R137</f>
        <v>0</v>
      </c>
      <c r="R98" s="538">
        <f>PROFORMA!S137</f>
        <v>0</v>
      </c>
      <c r="S98" s="538">
        <f>PROFORMA!T137</f>
        <v>0</v>
      </c>
      <c r="T98" s="538">
        <f>PROFORMA!U137</f>
        <v>-185000</v>
      </c>
      <c r="U98" s="538">
        <f>PROFORMA!V137</f>
        <v>0</v>
      </c>
      <c r="V98" s="538">
        <f>PROFORMA!W137</f>
        <v>0</v>
      </c>
      <c r="W98" s="538">
        <f>PROFORMA!X137</f>
        <v>0</v>
      </c>
      <c r="X98" s="579">
        <f t="shared" si="77"/>
        <v>-185000</v>
      </c>
      <c r="Y98" s="538">
        <f>PROFORMA!Y137</f>
        <v>0</v>
      </c>
      <c r="Z98" s="538">
        <f>PROFORMA!Z137</f>
        <v>0</v>
      </c>
      <c r="AA98" s="538">
        <f>PROFORMA!AA137</f>
        <v>0</v>
      </c>
      <c r="AB98" s="538">
        <f>PROFORMA!AB137</f>
        <v>0</v>
      </c>
      <c r="AC98" s="538">
        <f>PROFORMA!AC137</f>
        <v>0</v>
      </c>
      <c r="AD98" s="538">
        <f>PROFORMA!AD137</f>
        <v>0</v>
      </c>
      <c r="AE98" s="538">
        <f>PROFORMA!AE137</f>
        <v>0</v>
      </c>
      <c r="AF98" s="538">
        <f>PROFORMA!AG137</f>
        <v>0</v>
      </c>
      <c r="AG98" s="538">
        <f>PROFORMA!AH137</f>
        <v>0</v>
      </c>
      <c r="AH98" s="538">
        <f>PROFORMA!AI137</f>
        <v>0</v>
      </c>
      <c r="AI98" s="538">
        <f>PROFORMA!AJ137</f>
        <v>0</v>
      </c>
      <c r="AJ98" s="538">
        <f>PROFORMA!AK137</f>
        <v>21000</v>
      </c>
      <c r="AK98" s="538">
        <f>PROFORMA!AL137</f>
        <v>556000</v>
      </c>
      <c r="AL98" s="538">
        <f>PROFORMA!AM137</f>
        <v>0</v>
      </c>
      <c r="AM98" s="538">
        <f>PROFORMA!AN137</f>
        <v>0</v>
      </c>
      <c r="AN98" s="538">
        <f>PROFORMA!AO137</f>
        <v>0</v>
      </c>
      <c r="AO98" s="538">
        <f>PROFORMA!AP137</f>
        <v>0</v>
      </c>
      <c r="AP98" s="538">
        <f>PROFORMA!AQ137</f>
        <v>178000</v>
      </c>
      <c r="AQ98" s="538">
        <f>PROFORMA!AR137</f>
        <v>0</v>
      </c>
      <c r="AR98" s="538">
        <f>PROFORMA!AS137</f>
        <v>0</v>
      </c>
      <c r="AS98" s="538">
        <f>PROFORMA!AT137</f>
        <v>-88000</v>
      </c>
      <c r="AT98" s="582">
        <f t="shared" si="115"/>
        <v>667000</v>
      </c>
      <c r="AU98" s="532">
        <f t="shared" si="116"/>
        <v>482000</v>
      </c>
      <c r="AV98" s="532">
        <f t="shared" si="117"/>
        <v>1699000</v>
      </c>
      <c r="AW98" s="532"/>
      <c r="AX98" s="532">
        <f t="shared" si="90"/>
        <v>1699000</v>
      </c>
    </row>
    <row r="99" spans="1:50">
      <c r="A99" s="529">
        <v>97</v>
      </c>
      <c r="B99" s="794"/>
      <c r="C99" s="521" t="s">
        <v>2</v>
      </c>
      <c r="D99" s="545">
        <v>931</v>
      </c>
      <c r="E99" s="538">
        <f>PROFORMA!F138</f>
        <v>103000</v>
      </c>
      <c r="F99" s="538">
        <f>PROFORMA!G138</f>
        <v>0</v>
      </c>
      <c r="G99" s="538">
        <f>PROFORMA!H138</f>
        <v>0</v>
      </c>
      <c r="H99" s="538">
        <f>PROFORMA!I138</f>
        <v>0</v>
      </c>
      <c r="I99" s="538">
        <f>PROFORMA!J138</f>
        <v>0</v>
      </c>
      <c r="J99" s="538">
        <f>PROFORMA!K138</f>
        <v>0</v>
      </c>
      <c r="K99" s="538">
        <f>PROFORMA!L138</f>
        <v>0</v>
      </c>
      <c r="L99" s="538">
        <f>PROFORMA!M138</f>
        <v>0</v>
      </c>
      <c r="M99" s="538">
        <f>PROFORMA!N138</f>
        <v>0</v>
      </c>
      <c r="N99" s="538">
        <f>PROFORMA!O138</f>
        <v>0</v>
      </c>
      <c r="O99" s="538">
        <f>PROFORMA!P138</f>
        <v>0</v>
      </c>
      <c r="P99" s="538">
        <f>PROFORMA!Q138</f>
        <v>0</v>
      </c>
      <c r="Q99" s="538">
        <f>PROFORMA!R138</f>
        <v>0</v>
      </c>
      <c r="R99" s="538">
        <f>PROFORMA!S138</f>
        <v>0</v>
      </c>
      <c r="S99" s="538">
        <f>PROFORMA!T138</f>
        <v>0</v>
      </c>
      <c r="T99" s="538">
        <f>PROFORMA!U138</f>
        <v>0</v>
      </c>
      <c r="U99" s="538">
        <f>PROFORMA!V138</f>
        <v>0</v>
      </c>
      <c r="V99" s="538">
        <f>PROFORMA!W138</f>
        <v>0</v>
      </c>
      <c r="W99" s="538">
        <f>PROFORMA!X138</f>
        <v>0</v>
      </c>
      <c r="X99" s="579">
        <f t="shared" si="77"/>
        <v>0</v>
      </c>
      <c r="Y99" s="538">
        <f>PROFORMA!Y138</f>
        <v>0</v>
      </c>
      <c r="Z99" s="538">
        <f>PROFORMA!Z138</f>
        <v>0</v>
      </c>
      <c r="AA99" s="538">
        <f>PROFORMA!AA138</f>
        <v>0</v>
      </c>
      <c r="AB99" s="538">
        <f>PROFORMA!AB138</f>
        <v>0</v>
      </c>
      <c r="AC99" s="538">
        <f>PROFORMA!AC138</f>
        <v>0</v>
      </c>
      <c r="AD99" s="538">
        <f>PROFORMA!AD138</f>
        <v>0</v>
      </c>
      <c r="AE99" s="538">
        <f>PROFORMA!AE138</f>
        <v>0</v>
      </c>
      <c r="AF99" s="538">
        <f>PROFORMA!AG138</f>
        <v>0</v>
      </c>
      <c r="AG99" s="538">
        <f>PROFORMA!AH138</f>
        <v>0</v>
      </c>
      <c r="AH99" s="538">
        <f>PROFORMA!AI138</f>
        <v>0</v>
      </c>
      <c r="AI99" s="538">
        <f>PROFORMA!AJ138</f>
        <v>0</v>
      </c>
      <c r="AJ99" s="538">
        <f>PROFORMA!AK138</f>
        <v>0</v>
      </c>
      <c r="AK99" s="538">
        <f>PROFORMA!AL138</f>
        <v>0</v>
      </c>
      <c r="AL99" s="538">
        <f>PROFORMA!AM138</f>
        <v>0</v>
      </c>
      <c r="AM99" s="538">
        <f>PROFORMA!AN138</f>
        <v>0</v>
      </c>
      <c r="AN99" s="538">
        <f>PROFORMA!AO138</f>
        <v>0</v>
      </c>
      <c r="AO99" s="538">
        <f>PROFORMA!AP138</f>
        <v>0</v>
      </c>
      <c r="AP99" s="538">
        <f>PROFORMA!AQ138</f>
        <v>0</v>
      </c>
      <c r="AQ99" s="538">
        <f>PROFORMA!AR138</f>
        <v>0</v>
      </c>
      <c r="AR99" s="538">
        <f>PROFORMA!AS138</f>
        <v>0</v>
      </c>
      <c r="AS99" s="538">
        <f>PROFORMA!AT138</f>
        <v>0</v>
      </c>
      <c r="AT99" s="582">
        <f t="shared" si="115"/>
        <v>0</v>
      </c>
      <c r="AU99" s="532">
        <f t="shared" si="116"/>
        <v>0</v>
      </c>
      <c r="AV99" s="532">
        <f t="shared" si="117"/>
        <v>103000</v>
      </c>
      <c r="AW99" s="532"/>
      <c r="AX99" s="532">
        <f t="shared" si="90"/>
        <v>103000</v>
      </c>
    </row>
    <row r="100" spans="1:50">
      <c r="A100" s="529">
        <v>98</v>
      </c>
      <c r="B100" s="794"/>
      <c r="C100" s="521" t="s">
        <v>63</v>
      </c>
      <c r="D100" s="545">
        <v>935</v>
      </c>
      <c r="E100" s="574">
        <f>PROFORMA!F139</f>
        <v>3107000</v>
      </c>
      <c r="F100" s="574">
        <f>PROFORMA!G139</f>
        <v>0</v>
      </c>
      <c r="G100" s="574">
        <f>PROFORMA!H139</f>
        <v>0</v>
      </c>
      <c r="H100" s="574">
        <f>PROFORMA!I139</f>
        <v>0</v>
      </c>
      <c r="I100" s="574">
        <f>PROFORMA!J139</f>
        <v>0</v>
      </c>
      <c r="J100" s="574">
        <f>PROFORMA!K139</f>
        <v>0</v>
      </c>
      <c r="K100" s="574">
        <f>PROFORMA!L139</f>
        <v>0</v>
      </c>
      <c r="L100" s="574">
        <f>PROFORMA!M139</f>
        <v>0</v>
      </c>
      <c r="M100" s="574">
        <f>PROFORMA!N139</f>
        <v>0</v>
      </c>
      <c r="N100" s="574">
        <f>PROFORMA!O139</f>
        <v>0</v>
      </c>
      <c r="O100" s="574">
        <f>PROFORMA!P139</f>
        <v>0</v>
      </c>
      <c r="P100" s="574">
        <f>PROFORMA!Q139</f>
        <v>0</v>
      </c>
      <c r="Q100" s="574">
        <f>PROFORMA!R139</f>
        <v>0</v>
      </c>
      <c r="R100" s="574">
        <f>PROFORMA!S139</f>
        <v>0</v>
      </c>
      <c r="S100" s="574">
        <f>PROFORMA!T139</f>
        <v>0</v>
      </c>
      <c r="T100" s="574">
        <f>PROFORMA!U139</f>
        <v>0</v>
      </c>
      <c r="U100" s="574">
        <f>PROFORMA!V139</f>
        <v>0</v>
      </c>
      <c r="V100" s="574">
        <f>PROFORMA!W139</f>
        <v>0</v>
      </c>
      <c r="W100" s="574">
        <f>PROFORMA!X139</f>
        <v>0</v>
      </c>
      <c r="X100" s="580">
        <f t="shared" si="77"/>
        <v>0</v>
      </c>
      <c r="Y100" s="574">
        <f>PROFORMA!Y139</f>
        <v>0</v>
      </c>
      <c r="Z100" s="574">
        <f>PROFORMA!Z139</f>
        <v>0</v>
      </c>
      <c r="AA100" s="574">
        <f>PROFORMA!AA139</f>
        <v>0</v>
      </c>
      <c r="AB100" s="574">
        <f>PROFORMA!AB139</f>
        <v>0</v>
      </c>
      <c r="AC100" s="574">
        <f>PROFORMA!AC139</f>
        <v>0</v>
      </c>
      <c r="AD100" s="574">
        <f>PROFORMA!AD139</f>
        <v>0</v>
      </c>
      <c r="AE100" s="574">
        <f>PROFORMA!AE139</f>
        <v>0</v>
      </c>
      <c r="AF100" s="574">
        <f>PROFORMA!AG139</f>
        <v>0</v>
      </c>
      <c r="AG100" s="574">
        <f>PROFORMA!AH139</f>
        <v>0</v>
      </c>
      <c r="AH100" s="574">
        <f>PROFORMA!AI139</f>
        <v>0</v>
      </c>
      <c r="AI100" s="574">
        <f>PROFORMA!AJ139</f>
        <v>0</v>
      </c>
      <c r="AJ100" s="574">
        <f>PROFORMA!AK139</f>
        <v>0</v>
      </c>
      <c r="AK100" s="574">
        <f>PROFORMA!AL139</f>
        <v>0</v>
      </c>
      <c r="AL100" s="574">
        <f>PROFORMA!AM139</f>
        <v>0</v>
      </c>
      <c r="AM100" s="574">
        <f>PROFORMA!AN139</f>
        <v>0</v>
      </c>
      <c r="AN100" s="574">
        <f>PROFORMA!AO139</f>
        <v>0</v>
      </c>
      <c r="AO100" s="574">
        <f>PROFORMA!AP139</f>
        <v>0</v>
      </c>
      <c r="AP100" s="574">
        <f>PROFORMA!AQ139</f>
        <v>0</v>
      </c>
      <c r="AQ100" s="574">
        <f>PROFORMA!AR139</f>
        <v>0</v>
      </c>
      <c r="AR100" s="574">
        <f>PROFORMA!AS139</f>
        <v>0</v>
      </c>
      <c r="AS100" s="574">
        <f>PROFORMA!AT139</f>
        <v>0</v>
      </c>
      <c r="AT100" s="583">
        <f t="shared" si="115"/>
        <v>0</v>
      </c>
      <c r="AU100" s="581">
        <f t="shared" si="116"/>
        <v>0</v>
      </c>
      <c r="AV100" s="581">
        <f t="shared" si="117"/>
        <v>3107000</v>
      </c>
      <c r="AW100" s="581"/>
      <c r="AX100" s="581">
        <f t="shared" si="90"/>
        <v>3107000</v>
      </c>
    </row>
    <row r="101" spans="1:50">
      <c r="A101" s="529">
        <v>99</v>
      </c>
      <c r="B101" s="500"/>
      <c r="C101" s="525" t="s">
        <v>1161</v>
      </c>
      <c r="D101" s="525"/>
      <c r="E101" s="539">
        <f>SUM(E89:E100)</f>
        <v>24398000</v>
      </c>
      <c r="F101" s="539">
        <f t="shared" ref="F101" si="118">SUM(F89:F100)</f>
        <v>0</v>
      </c>
      <c r="G101" s="539">
        <f t="shared" ref="G101:W101" si="119">SUM(G89:G100)</f>
        <v>0</v>
      </c>
      <c r="H101" s="539">
        <f t="shared" si="119"/>
        <v>0</v>
      </c>
      <c r="I101" s="539">
        <f t="shared" si="119"/>
        <v>0</v>
      </c>
      <c r="J101" s="539">
        <f t="shared" si="119"/>
        <v>0</v>
      </c>
      <c r="K101" s="539">
        <f t="shared" si="119"/>
        <v>0</v>
      </c>
      <c r="L101" s="539">
        <f t="shared" si="119"/>
        <v>398000</v>
      </c>
      <c r="M101" s="539">
        <f t="shared" si="119"/>
        <v>-18000</v>
      </c>
      <c r="N101" s="539">
        <f t="shared" si="119"/>
        <v>0</v>
      </c>
      <c r="O101" s="539">
        <f t="shared" si="119"/>
        <v>-10000</v>
      </c>
      <c r="P101" s="539">
        <f t="shared" si="119"/>
        <v>0</v>
      </c>
      <c r="Q101" s="539">
        <f t="shared" si="119"/>
        <v>0</v>
      </c>
      <c r="R101" s="539">
        <f t="shared" si="119"/>
        <v>0</v>
      </c>
      <c r="S101" s="539">
        <f t="shared" si="119"/>
        <v>-106000</v>
      </c>
      <c r="T101" s="539">
        <f t="shared" si="119"/>
        <v>-409000</v>
      </c>
      <c r="U101" s="539">
        <f t="shared" si="119"/>
        <v>250000</v>
      </c>
      <c r="V101" s="539">
        <f t="shared" si="119"/>
        <v>0</v>
      </c>
      <c r="W101" s="539">
        <f t="shared" si="119"/>
        <v>0</v>
      </c>
      <c r="X101" s="579">
        <f t="shared" si="77"/>
        <v>105000</v>
      </c>
      <c r="Y101" s="539">
        <f t="shared" ref="Y101:AX101" si="120">SUM(Y89:Y100)</f>
        <v>-358000</v>
      </c>
      <c r="Z101" s="539">
        <f t="shared" ref="Z101:AF101" si="121">SUM(Z89:Z100)</f>
        <v>0</v>
      </c>
      <c r="AA101" s="539">
        <f t="shared" si="121"/>
        <v>0</v>
      </c>
      <c r="AB101" s="539">
        <f t="shared" si="121"/>
        <v>0</v>
      </c>
      <c r="AC101" s="539">
        <f t="shared" si="121"/>
        <v>648000</v>
      </c>
      <c r="AD101" s="539">
        <f t="shared" si="121"/>
        <v>19000</v>
      </c>
      <c r="AE101" s="539">
        <f t="shared" si="121"/>
        <v>15000</v>
      </c>
      <c r="AF101" s="539">
        <f t="shared" si="121"/>
        <v>0</v>
      </c>
      <c r="AG101" s="539">
        <f t="shared" ref="AG101:AQ101" si="122">SUM(AG89:AG100)</f>
        <v>113000</v>
      </c>
      <c r="AH101" s="539">
        <f t="shared" si="122"/>
        <v>0</v>
      </c>
      <c r="AI101" s="539">
        <f t="shared" si="122"/>
        <v>598000</v>
      </c>
      <c r="AJ101" s="539">
        <f t="shared" si="122"/>
        <v>21000</v>
      </c>
      <c r="AK101" s="539">
        <f t="shared" si="122"/>
        <v>556000</v>
      </c>
      <c r="AL101" s="539">
        <f t="shared" si="122"/>
        <v>0</v>
      </c>
      <c r="AM101" s="539">
        <f t="shared" si="122"/>
        <v>0</v>
      </c>
      <c r="AN101" s="539">
        <f t="shared" si="122"/>
        <v>0</v>
      </c>
      <c r="AO101" s="539">
        <f t="shared" si="122"/>
        <v>0</v>
      </c>
      <c r="AP101" s="539">
        <f t="shared" si="122"/>
        <v>178000</v>
      </c>
      <c r="AQ101" s="539">
        <f t="shared" si="122"/>
        <v>150000</v>
      </c>
      <c r="AR101" s="539">
        <f t="shared" ref="AR101:AS101" si="123">SUM(AR89:AR100)</f>
        <v>0</v>
      </c>
      <c r="AS101" s="539">
        <f t="shared" si="123"/>
        <v>-88000</v>
      </c>
      <c r="AT101" s="539">
        <f t="shared" si="120"/>
        <v>1852000</v>
      </c>
      <c r="AU101" s="539">
        <f t="shared" si="120"/>
        <v>1957000</v>
      </c>
      <c r="AV101" s="539">
        <f t="shared" si="120"/>
        <v>26355000</v>
      </c>
      <c r="AW101" s="539">
        <f t="shared" si="120"/>
        <v>0</v>
      </c>
      <c r="AX101" s="539">
        <f t="shared" si="120"/>
        <v>26355000</v>
      </c>
    </row>
    <row r="102" spans="1:50">
      <c r="A102" s="529">
        <v>100</v>
      </c>
      <c r="B102" s="500"/>
      <c r="C102" s="546"/>
      <c r="D102" s="546"/>
      <c r="E102" s="539"/>
      <c r="F102" s="539"/>
      <c r="G102" s="539"/>
      <c r="H102" s="539"/>
      <c r="I102" s="539"/>
      <c r="J102" s="539"/>
      <c r="K102" s="539"/>
      <c r="L102" s="539"/>
      <c r="M102" s="539"/>
      <c r="N102" s="539"/>
      <c r="O102" s="539"/>
      <c r="P102" s="539"/>
      <c r="Q102" s="539"/>
      <c r="R102" s="539"/>
      <c r="S102" s="539"/>
      <c r="T102" s="539"/>
      <c r="U102" s="539"/>
      <c r="V102" s="539"/>
      <c r="W102" s="539"/>
      <c r="X102" s="579">
        <f t="shared" si="77"/>
        <v>0</v>
      </c>
      <c r="Y102" s="539"/>
      <c r="Z102" s="539"/>
      <c r="AA102" s="539"/>
      <c r="AB102" s="539"/>
      <c r="AC102" s="539"/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  <c r="AR102" s="539"/>
      <c r="AS102" s="539"/>
      <c r="AT102" s="582">
        <f>SUM(Y102:AS102)</f>
        <v>0</v>
      </c>
      <c r="AU102" s="532">
        <f t="shared" ref="AU102:AU112" si="124">X102+AT102</f>
        <v>0</v>
      </c>
      <c r="AV102" s="532">
        <f t="shared" ref="AV102:AV112" si="125">E102+AU102</f>
        <v>0</v>
      </c>
      <c r="AW102" s="532"/>
      <c r="AX102" s="532">
        <f t="shared" si="90"/>
        <v>0</v>
      </c>
    </row>
    <row r="103" spans="1:50">
      <c r="A103" s="529">
        <v>101</v>
      </c>
      <c r="B103" s="500"/>
      <c r="C103" s="558" t="s">
        <v>65</v>
      </c>
      <c r="D103" s="558"/>
      <c r="E103" s="539">
        <f>E87+E101</f>
        <v>206917000</v>
      </c>
      <c r="F103" s="539">
        <f t="shared" ref="F103" si="126">F87+F101</f>
        <v>0</v>
      </c>
      <c r="G103" s="539">
        <f t="shared" ref="G103:W103" si="127">G87+G101</f>
        <v>0</v>
      </c>
      <c r="H103" s="539">
        <f t="shared" si="127"/>
        <v>0</v>
      </c>
      <c r="I103" s="539">
        <f t="shared" si="127"/>
        <v>0</v>
      </c>
      <c r="J103" s="539">
        <f t="shared" si="127"/>
        <v>0</v>
      </c>
      <c r="K103" s="539">
        <f t="shared" si="127"/>
        <v>927000</v>
      </c>
      <c r="L103" s="539">
        <f t="shared" si="127"/>
        <v>398000</v>
      </c>
      <c r="M103" s="539">
        <f t="shared" si="127"/>
        <v>-18000</v>
      </c>
      <c r="N103" s="539">
        <f t="shared" si="127"/>
        <v>0</v>
      </c>
      <c r="O103" s="539">
        <f t="shared" si="127"/>
        <v>-10000</v>
      </c>
      <c r="P103" s="539">
        <f t="shared" si="127"/>
        <v>0</v>
      </c>
      <c r="Q103" s="539">
        <f t="shared" si="127"/>
        <v>0</v>
      </c>
      <c r="R103" s="539">
        <f t="shared" si="127"/>
        <v>-57000</v>
      </c>
      <c r="S103" s="539">
        <f t="shared" si="127"/>
        <v>-71751000</v>
      </c>
      <c r="T103" s="539">
        <f t="shared" si="127"/>
        <v>-415000</v>
      </c>
      <c r="U103" s="539">
        <f t="shared" si="127"/>
        <v>250000</v>
      </c>
      <c r="V103" s="539">
        <f t="shared" si="127"/>
        <v>0</v>
      </c>
      <c r="W103" s="539">
        <f t="shared" si="127"/>
        <v>0</v>
      </c>
      <c r="X103" s="579">
        <f t="shared" si="77"/>
        <v>-70676000</v>
      </c>
      <c r="Y103" s="539">
        <f>Y87+Y101</f>
        <v>-91171000</v>
      </c>
      <c r="Z103" s="539">
        <f t="shared" ref="Z103:AF103" si="128">Z87+Z101</f>
        <v>0</v>
      </c>
      <c r="AA103" s="539">
        <f t="shared" si="128"/>
        <v>0</v>
      </c>
      <c r="AB103" s="539">
        <f t="shared" si="128"/>
        <v>-691000</v>
      </c>
      <c r="AC103" s="539">
        <f t="shared" si="128"/>
        <v>1826000</v>
      </c>
      <c r="AD103" s="539">
        <f t="shared" si="128"/>
        <v>19000</v>
      </c>
      <c r="AE103" s="539">
        <f t="shared" si="128"/>
        <v>41000</v>
      </c>
      <c r="AF103" s="539">
        <f t="shared" si="128"/>
        <v>78000</v>
      </c>
      <c r="AG103" s="539">
        <f t="shared" ref="AG103:AQ103" si="129">AG87+AG101</f>
        <v>113000</v>
      </c>
      <c r="AH103" s="539">
        <f t="shared" si="129"/>
        <v>0</v>
      </c>
      <c r="AI103" s="539">
        <f t="shared" si="129"/>
        <v>598000</v>
      </c>
      <c r="AJ103" s="539">
        <f t="shared" si="129"/>
        <v>21000</v>
      </c>
      <c r="AK103" s="539">
        <f t="shared" si="129"/>
        <v>1634000</v>
      </c>
      <c r="AL103" s="539">
        <f t="shared" si="129"/>
        <v>0</v>
      </c>
      <c r="AM103" s="539">
        <f t="shared" si="129"/>
        <v>0</v>
      </c>
      <c r="AN103" s="539">
        <f t="shared" si="129"/>
        <v>0</v>
      </c>
      <c r="AO103" s="539">
        <f t="shared" si="129"/>
        <v>0</v>
      </c>
      <c r="AP103" s="539">
        <f t="shared" si="129"/>
        <v>178000</v>
      </c>
      <c r="AQ103" s="539">
        <f t="shared" si="129"/>
        <v>150000</v>
      </c>
      <c r="AR103" s="539">
        <f t="shared" ref="AR103:AS103" si="130">AR87+AR101</f>
        <v>0</v>
      </c>
      <c r="AS103" s="539">
        <f t="shared" si="130"/>
        <v>-278000</v>
      </c>
      <c r="AT103" s="539">
        <f t="shared" ref="AT103" si="131">AT87+AT101</f>
        <v>-87482000</v>
      </c>
      <c r="AU103" s="532">
        <f t="shared" si="124"/>
        <v>-158158000</v>
      </c>
      <c r="AV103" s="532">
        <f t="shared" si="125"/>
        <v>48759000</v>
      </c>
      <c r="AW103" s="532"/>
      <c r="AX103" s="532">
        <f t="shared" si="90"/>
        <v>48759000</v>
      </c>
    </row>
    <row r="104" spans="1:50">
      <c r="A104" s="529">
        <v>102</v>
      </c>
      <c r="B104" s="500"/>
      <c r="C104" s="500"/>
      <c r="D104" s="500"/>
      <c r="E104" s="539"/>
      <c r="F104" s="539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39"/>
      <c r="W104" s="539"/>
      <c r="X104" s="579">
        <f t="shared" si="77"/>
        <v>0</v>
      </c>
      <c r="Y104" s="539"/>
      <c r="Z104" s="539"/>
      <c r="AA104" s="539"/>
      <c r="AB104" s="539"/>
      <c r="AC104" s="539"/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39"/>
      <c r="AS104" s="539"/>
      <c r="AT104" s="582">
        <f t="shared" ref="AT104:AT112" si="132">SUM(Y104:AS104)</f>
        <v>0</v>
      </c>
      <c r="AU104" s="532">
        <f t="shared" si="124"/>
        <v>0</v>
      </c>
      <c r="AV104" s="532">
        <f t="shared" si="125"/>
        <v>0</v>
      </c>
      <c r="AW104" s="532"/>
      <c r="AX104" s="532">
        <f t="shared" si="90"/>
        <v>0</v>
      </c>
    </row>
    <row r="105" spans="1:50" ht="15.6" customHeight="1">
      <c r="A105" s="529">
        <v>103</v>
      </c>
      <c r="B105" s="794" t="s">
        <v>357</v>
      </c>
      <c r="C105" s="547" t="s">
        <v>358</v>
      </c>
      <c r="D105" s="548" t="s">
        <v>1088</v>
      </c>
      <c r="E105" s="538">
        <f>PROFORMA!F168</f>
        <v>1000</v>
      </c>
      <c r="F105" s="538">
        <f>PROFORMA!G168</f>
        <v>0</v>
      </c>
      <c r="G105" s="538">
        <f>PROFORMA!H168</f>
        <v>0</v>
      </c>
      <c r="H105" s="538">
        <f>PROFORMA!I168</f>
        <v>0</v>
      </c>
      <c r="I105" s="538">
        <f>PROFORMA!J168</f>
        <v>0</v>
      </c>
      <c r="J105" s="538">
        <f>PROFORMA!K168</f>
        <v>0</v>
      </c>
      <c r="K105" s="538">
        <f>PROFORMA!L168</f>
        <v>0</v>
      </c>
      <c r="L105" s="538">
        <f>PROFORMA!M168</f>
        <v>0</v>
      </c>
      <c r="M105" s="538">
        <f>PROFORMA!N168</f>
        <v>0</v>
      </c>
      <c r="N105" s="538">
        <f>PROFORMA!O168</f>
        <v>0</v>
      </c>
      <c r="O105" s="538">
        <f>PROFORMA!P168</f>
        <v>0</v>
      </c>
      <c r="P105" s="538">
        <f>PROFORMA!Q168</f>
        <v>0</v>
      </c>
      <c r="Q105" s="538">
        <f>PROFORMA!R168</f>
        <v>0</v>
      </c>
      <c r="R105" s="538">
        <f>PROFORMA!S168</f>
        <v>0</v>
      </c>
      <c r="S105" s="538">
        <f>PROFORMA!T168</f>
        <v>0</v>
      </c>
      <c r="T105" s="538">
        <f>PROFORMA!U168</f>
        <v>0</v>
      </c>
      <c r="U105" s="538">
        <f>PROFORMA!V168</f>
        <v>0</v>
      </c>
      <c r="V105" s="538">
        <f>PROFORMA!W168</f>
        <v>0</v>
      </c>
      <c r="W105" s="538">
        <f>PROFORMA!X168</f>
        <v>0</v>
      </c>
      <c r="X105" s="579">
        <f t="shared" si="77"/>
        <v>0</v>
      </c>
      <c r="Y105" s="538">
        <f>PROFORMA!Y168</f>
        <v>0</v>
      </c>
      <c r="Z105" s="538">
        <f>PROFORMA!Z168</f>
        <v>0</v>
      </c>
      <c r="AA105" s="538">
        <f>PROFORMA!AA168</f>
        <v>0</v>
      </c>
      <c r="AB105" s="538">
        <f>PROFORMA!AB168</f>
        <v>0</v>
      </c>
      <c r="AC105" s="538">
        <f>PROFORMA!AC168</f>
        <v>0</v>
      </c>
      <c r="AD105" s="538">
        <f>PROFORMA!AD168</f>
        <v>0</v>
      </c>
      <c r="AE105" s="538">
        <f>PROFORMA!AE168</f>
        <v>0</v>
      </c>
      <c r="AF105" s="538">
        <f>PROFORMA!AG168</f>
        <v>0</v>
      </c>
      <c r="AG105" s="538">
        <f>PROFORMA!AH168</f>
        <v>0</v>
      </c>
      <c r="AH105" s="538">
        <f>PROFORMA!AI168</f>
        <v>0</v>
      </c>
      <c r="AI105" s="538">
        <f>PROFORMA!AJ168</f>
        <v>0</v>
      </c>
      <c r="AJ105" s="538">
        <f>PROFORMA!AK168</f>
        <v>0</v>
      </c>
      <c r="AK105" s="538">
        <f>PROFORMA!AL168</f>
        <v>0</v>
      </c>
      <c r="AL105" s="538">
        <f>PROFORMA!AM168</f>
        <v>0</v>
      </c>
      <c r="AM105" s="538">
        <f>PROFORMA!AN168</f>
        <v>0</v>
      </c>
      <c r="AN105" s="538">
        <f>PROFORMA!AO168</f>
        <v>0</v>
      </c>
      <c r="AO105" s="538">
        <f>PROFORMA!AP168</f>
        <v>0</v>
      </c>
      <c r="AP105" s="538">
        <f>PROFORMA!AQ168</f>
        <v>0</v>
      </c>
      <c r="AQ105" s="538">
        <f>PROFORMA!AR168</f>
        <v>0</v>
      </c>
      <c r="AR105" s="538">
        <f>PROFORMA!AS168</f>
        <v>0</v>
      </c>
      <c r="AS105" s="538">
        <f>PROFORMA!AT168</f>
        <v>0</v>
      </c>
      <c r="AT105" s="582">
        <f t="shared" si="132"/>
        <v>0</v>
      </c>
      <c r="AU105" s="532">
        <f t="shared" si="124"/>
        <v>0</v>
      </c>
      <c r="AV105" s="532">
        <f t="shared" si="125"/>
        <v>1000</v>
      </c>
      <c r="AW105" s="532"/>
      <c r="AX105" s="532">
        <f t="shared" si="90"/>
        <v>1000</v>
      </c>
    </row>
    <row r="106" spans="1:50" ht="15.6" customHeight="1">
      <c r="A106" s="529">
        <v>104</v>
      </c>
      <c r="B106" s="794"/>
      <c r="C106" s="547" t="s">
        <v>359</v>
      </c>
      <c r="D106" s="548" t="s">
        <v>1088</v>
      </c>
      <c r="E106" s="538">
        <f>PROFORMA!F169</f>
        <v>28000</v>
      </c>
      <c r="F106" s="538">
        <f>PROFORMA!G169</f>
        <v>0</v>
      </c>
      <c r="G106" s="538">
        <f>PROFORMA!H169</f>
        <v>0</v>
      </c>
      <c r="H106" s="538">
        <f>PROFORMA!I169</f>
        <v>0</v>
      </c>
      <c r="I106" s="538">
        <f>PROFORMA!J169</f>
        <v>0</v>
      </c>
      <c r="J106" s="538">
        <f>PROFORMA!K169</f>
        <v>0</v>
      </c>
      <c r="K106" s="538">
        <f>PROFORMA!L169</f>
        <v>0</v>
      </c>
      <c r="L106" s="538">
        <f>PROFORMA!M169</f>
        <v>0</v>
      </c>
      <c r="M106" s="538">
        <f>PROFORMA!N169</f>
        <v>0</v>
      </c>
      <c r="N106" s="538">
        <f>PROFORMA!O169</f>
        <v>0</v>
      </c>
      <c r="O106" s="538">
        <f>PROFORMA!P169</f>
        <v>0</v>
      </c>
      <c r="P106" s="538">
        <f>PROFORMA!Q169</f>
        <v>0</v>
      </c>
      <c r="Q106" s="538">
        <f>PROFORMA!R169</f>
        <v>0</v>
      </c>
      <c r="R106" s="538">
        <f>PROFORMA!S169</f>
        <v>0</v>
      </c>
      <c r="S106" s="538">
        <f>PROFORMA!T169</f>
        <v>0</v>
      </c>
      <c r="T106" s="538">
        <f>PROFORMA!U169</f>
        <v>0</v>
      </c>
      <c r="U106" s="538">
        <f>PROFORMA!V169</f>
        <v>0</v>
      </c>
      <c r="V106" s="538">
        <f>PROFORMA!W169</f>
        <v>0</v>
      </c>
      <c r="W106" s="538">
        <f>PROFORMA!X169</f>
        <v>0</v>
      </c>
      <c r="X106" s="579">
        <f t="shared" si="77"/>
        <v>0</v>
      </c>
      <c r="Y106" s="538">
        <f>PROFORMA!Y169</f>
        <v>0</v>
      </c>
      <c r="Z106" s="538">
        <f>PROFORMA!Z169</f>
        <v>0</v>
      </c>
      <c r="AA106" s="538">
        <f>PROFORMA!AA169</f>
        <v>0</v>
      </c>
      <c r="AB106" s="538">
        <f>PROFORMA!AB169</f>
        <v>0</v>
      </c>
      <c r="AC106" s="538">
        <f>PROFORMA!AC169</f>
        <v>0</v>
      </c>
      <c r="AD106" s="538">
        <f>PROFORMA!AD169</f>
        <v>0</v>
      </c>
      <c r="AE106" s="538">
        <f>PROFORMA!AE169</f>
        <v>0</v>
      </c>
      <c r="AF106" s="538">
        <f>PROFORMA!AG169</f>
        <v>0</v>
      </c>
      <c r="AG106" s="538">
        <f>PROFORMA!AH169</f>
        <v>0</v>
      </c>
      <c r="AH106" s="538">
        <f>PROFORMA!AI169</f>
        <v>0</v>
      </c>
      <c r="AI106" s="538">
        <f>PROFORMA!AJ169</f>
        <v>0</v>
      </c>
      <c r="AJ106" s="538">
        <f>PROFORMA!AK169</f>
        <v>0</v>
      </c>
      <c r="AK106" s="538">
        <f>PROFORMA!AL169</f>
        <v>0</v>
      </c>
      <c r="AL106" s="538">
        <f>PROFORMA!AM169</f>
        <v>0</v>
      </c>
      <c r="AM106" s="538">
        <f>PROFORMA!AN169</f>
        <v>0</v>
      </c>
      <c r="AN106" s="538">
        <f>PROFORMA!AO169</f>
        <v>0</v>
      </c>
      <c r="AO106" s="538">
        <f>PROFORMA!AP169</f>
        <v>0</v>
      </c>
      <c r="AP106" s="538">
        <f>PROFORMA!AQ169</f>
        <v>0</v>
      </c>
      <c r="AQ106" s="538">
        <f>PROFORMA!AR169</f>
        <v>0</v>
      </c>
      <c r="AR106" s="538">
        <f>PROFORMA!AS169</f>
        <v>1000</v>
      </c>
      <c r="AS106" s="538">
        <f>PROFORMA!AT169</f>
        <v>0</v>
      </c>
      <c r="AT106" s="582">
        <f t="shared" si="132"/>
        <v>1000</v>
      </c>
      <c r="AU106" s="532">
        <f t="shared" si="124"/>
        <v>1000</v>
      </c>
      <c r="AV106" s="532">
        <f t="shared" si="125"/>
        <v>29000</v>
      </c>
      <c r="AW106" s="532"/>
      <c r="AX106" s="532">
        <f t="shared" si="90"/>
        <v>29000</v>
      </c>
    </row>
    <row r="107" spans="1:50" ht="15.6" customHeight="1">
      <c r="A107" s="529">
        <v>105</v>
      </c>
      <c r="B107" s="794"/>
      <c r="C107" s="547" t="s">
        <v>360</v>
      </c>
      <c r="D107" s="548" t="s">
        <v>1088</v>
      </c>
      <c r="E107" s="538">
        <f>PROFORMA!F170</f>
        <v>200000</v>
      </c>
      <c r="F107" s="538">
        <f>PROFORMA!G170</f>
        <v>0</v>
      </c>
      <c r="G107" s="538">
        <f>PROFORMA!H170</f>
        <v>0</v>
      </c>
      <c r="H107" s="538">
        <f>PROFORMA!I170</f>
        <v>0</v>
      </c>
      <c r="I107" s="538">
        <f>PROFORMA!J170</f>
        <v>0</v>
      </c>
      <c r="J107" s="538">
        <f>PROFORMA!K170</f>
        <v>0</v>
      </c>
      <c r="K107" s="538">
        <f>PROFORMA!L170</f>
        <v>0</v>
      </c>
      <c r="L107" s="538">
        <f>PROFORMA!M170</f>
        <v>0</v>
      </c>
      <c r="M107" s="538">
        <f>PROFORMA!N170</f>
        <v>0</v>
      </c>
      <c r="N107" s="538">
        <f>PROFORMA!O170</f>
        <v>0</v>
      </c>
      <c r="O107" s="538">
        <f>PROFORMA!P170</f>
        <v>0</v>
      </c>
      <c r="P107" s="538">
        <f>PROFORMA!Q170</f>
        <v>0</v>
      </c>
      <c r="Q107" s="538">
        <f>PROFORMA!R170</f>
        <v>0</v>
      </c>
      <c r="R107" s="538">
        <f>PROFORMA!S170</f>
        <v>0</v>
      </c>
      <c r="S107" s="538">
        <f>PROFORMA!T170</f>
        <v>0</v>
      </c>
      <c r="T107" s="538">
        <f>PROFORMA!U170</f>
        <v>0</v>
      </c>
      <c r="U107" s="538">
        <f>PROFORMA!V170</f>
        <v>0</v>
      </c>
      <c r="V107" s="538">
        <f>PROFORMA!W170</f>
        <v>0</v>
      </c>
      <c r="W107" s="538">
        <f>PROFORMA!X170</f>
        <v>0</v>
      </c>
      <c r="X107" s="579">
        <f t="shared" si="77"/>
        <v>0</v>
      </c>
      <c r="Y107" s="538">
        <f>PROFORMA!Y170</f>
        <v>0</v>
      </c>
      <c r="Z107" s="538">
        <f>PROFORMA!Z170</f>
        <v>0</v>
      </c>
      <c r="AA107" s="538">
        <f>PROFORMA!AA170</f>
        <v>0</v>
      </c>
      <c r="AB107" s="538">
        <f>PROFORMA!AB170</f>
        <v>0</v>
      </c>
      <c r="AC107" s="538">
        <f>PROFORMA!AC170</f>
        <v>0</v>
      </c>
      <c r="AD107" s="538">
        <f>PROFORMA!AD170</f>
        <v>0</v>
      </c>
      <c r="AE107" s="538">
        <f>PROFORMA!AE170</f>
        <v>0</v>
      </c>
      <c r="AF107" s="538">
        <f>PROFORMA!AG170</f>
        <v>0</v>
      </c>
      <c r="AG107" s="538">
        <f>PROFORMA!AH170</f>
        <v>0</v>
      </c>
      <c r="AH107" s="538">
        <f>PROFORMA!AI170</f>
        <v>0</v>
      </c>
      <c r="AI107" s="538">
        <f>PROFORMA!AJ170</f>
        <v>0</v>
      </c>
      <c r="AJ107" s="538">
        <f>PROFORMA!AK170</f>
        <v>0</v>
      </c>
      <c r="AK107" s="538">
        <f>PROFORMA!AL170</f>
        <v>0</v>
      </c>
      <c r="AL107" s="538">
        <f>PROFORMA!AM170</f>
        <v>12000</v>
      </c>
      <c r="AM107" s="538">
        <f>PROFORMA!AN170</f>
        <v>-7000</v>
      </c>
      <c r="AN107" s="538">
        <f>PROFORMA!AO170</f>
        <v>27000</v>
      </c>
      <c r="AO107" s="538">
        <f>PROFORMA!AP170</f>
        <v>0</v>
      </c>
      <c r="AP107" s="538">
        <f>PROFORMA!AQ170</f>
        <v>0</v>
      </c>
      <c r="AQ107" s="538">
        <f>PROFORMA!AR170</f>
        <v>0</v>
      </c>
      <c r="AR107" s="538">
        <f>PROFORMA!AS170</f>
        <v>9000</v>
      </c>
      <c r="AS107" s="538">
        <f>PROFORMA!AT170</f>
        <v>0</v>
      </c>
      <c r="AT107" s="582">
        <f t="shared" si="132"/>
        <v>41000</v>
      </c>
      <c r="AU107" s="532">
        <f t="shared" si="124"/>
        <v>41000</v>
      </c>
      <c r="AV107" s="532">
        <f t="shared" si="125"/>
        <v>241000</v>
      </c>
      <c r="AW107" s="532"/>
      <c r="AX107" s="532">
        <f t="shared" si="90"/>
        <v>241000</v>
      </c>
    </row>
    <row r="108" spans="1:50" ht="15.6" customHeight="1">
      <c r="A108" s="529">
        <v>106</v>
      </c>
      <c r="B108" s="794"/>
      <c r="C108" s="547" t="s">
        <v>361</v>
      </c>
      <c r="D108" s="548" t="s">
        <v>1088</v>
      </c>
      <c r="E108" s="538">
        <f>PROFORMA!F171</f>
        <v>17000</v>
      </c>
      <c r="F108" s="538">
        <f>PROFORMA!G171</f>
        <v>0</v>
      </c>
      <c r="G108" s="538">
        <f>PROFORMA!H171</f>
        <v>0</v>
      </c>
      <c r="H108" s="538">
        <f>PROFORMA!I171</f>
        <v>0</v>
      </c>
      <c r="I108" s="538">
        <f>PROFORMA!J171</f>
        <v>0</v>
      </c>
      <c r="J108" s="538">
        <f>PROFORMA!K171</f>
        <v>0</v>
      </c>
      <c r="K108" s="538">
        <f>PROFORMA!L171</f>
        <v>0</v>
      </c>
      <c r="L108" s="538">
        <f>PROFORMA!M171</f>
        <v>0</v>
      </c>
      <c r="M108" s="538">
        <f>PROFORMA!N171</f>
        <v>0</v>
      </c>
      <c r="N108" s="538">
        <f>PROFORMA!O171</f>
        <v>0</v>
      </c>
      <c r="O108" s="538">
        <f>PROFORMA!P171</f>
        <v>0</v>
      </c>
      <c r="P108" s="538">
        <f>PROFORMA!Q171</f>
        <v>0</v>
      </c>
      <c r="Q108" s="538">
        <f>PROFORMA!R171</f>
        <v>0</v>
      </c>
      <c r="R108" s="538">
        <f>PROFORMA!S171</f>
        <v>0</v>
      </c>
      <c r="S108" s="538">
        <f>PROFORMA!T171</f>
        <v>0</v>
      </c>
      <c r="T108" s="538">
        <f>PROFORMA!U171</f>
        <v>0</v>
      </c>
      <c r="U108" s="538">
        <f>PROFORMA!V171</f>
        <v>0</v>
      </c>
      <c r="V108" s="538">
        <f>PROFORMA!W171</f>
        <v>0</v>
      </c>
      <c r="W108" s="538">
        <f>PROFORMA!X171</f>
        <v>0</v>
      </c>
      <c r="X108" s="579">
        <f t="shared" si="77"/>
        <v>0</v>
      </c>
      <c r="Y108" s="538">
        <f>PROFORMA!Y171</f>
        <v>0</v>
      </c>
      <c r="Z108" s="538">
        <f>PROFORMA!Z171</f>
        <v>0</v>
      </c>
      <c r="AA108" s="538">
        <f>PROFORMA!AA171</f>
        <v>0</v>
      </c>
      <c r="AB108" s="538">
        <f>PROFORMA!AB171</f>
        <v>0</v>
      </c>
      <c r="AC108" s="538">
        <f>PROFORMA!AC171</f>
        <v>0</v>
      </c>
      <c r="AD108" s="538">
        <f>PROFORMA!AD171</f>
        <v>0</v>
      </c>
      <c r="AE108" s="538">
        <f>PROFORMA!AE171</f>
        <v>0</v>
      </c>
      <c r="AF108" s="538">
        <f>PROFORMA!AG171</f>
        <v>0</v>
      </c>
      <c r="AG108" s="538">
        <f>PROFORMA!AH171</f>
        <v>0</v>
      </c>
      <c r="AH108" s="538">
        <f>PROFORMA!AI171</f>
        <v>0</v>
      </c>
      <c r="AI108" s="538">
        <f>PROFORMA!AJ171</f>
        <v>0</v>
      </c>
      <c r="AJ108" s="538">
        <f>PROFORMA!AK171</f>
        <v>0</v>
      </c>
      <c r="AK108" s="538">
        <f>PROFORMA!AL171</f>
        <v>0</v>
      </c>
      <c r="AL108" s="538">
        <f>PROFORMA!AM171</f>
        <v>0</v>
      </c>
      <c r="AM108" s="538">
        <f>PROFORMA!AN171</f>
        <v>0</v>
      </c>
      <c r="AN108" s="538">
        <f>PROFORMA!AO171</f>
        <v>0</v>
      </c>
      <c r="AO108" s="538">
        <f>PROFORMA!AP171</f>
        <v>0</v>
      </c>
      <c r="AP108" s="538">
        <f>PROFORMA!AQ171</f>
        <v>0</v>
      </c>
      <c r="AQ108" s="538">
        <f>PROFORMA!AR171</f>
        <v>0</v>
      </c>
      <c r="AR108" s="538">
        <f>PROFORMA!AS171</f>
        <v>1000</v>
      </c>
      <c r="AS108" s="538">
        <f>PROFORMA!AT171</f>
        <v>0</v>
      </c>
      <c r="AT108" s="582">
        <f t="shared" si="132"/>
        <v>1000</v>
      </c>
      <c r="AU108" s="532">
        <f t="shared" si="124"/>
        <v>1000</v>
      </c>
      <c r="AV108" s="532">
        <f t="shared" si="125"/>
        <v>18000</v>
      </c>
      <c r="AW108" s="532"/>
      <c r="AX108" s="532">
        <f t="shared" si="90"/>
        <v>18000</v>
      </c>
    </row>
    <row r="109" spans="1:50" ht="15.6" customHeight="1">
      <c r="A109" s="529">
        <v>107</v>
      </c>
      <c r="B109" s="794"/>
      <c r="C109" s="547" t="s">
        <v>362</v>
      </c>
      <c r="D109" s="548" t="s">
        <v>1088</v>
      </c>
      <c r="E109" s="538">
        <f>PROFORMA!F172</f>
        <v>177000</v>
      </c>
      <c r="F109" s="538">
        <f>PROFORMA!G172</f>
        <v>0</v>
      </c>
      <c r="G109" s="538">
        <f>PROFORMA!H172</f>
        <v>0</v>
      </c>
      <c r="H109" s="538">
        <f>PROFORMA!I172</f>
        <v>0</v>
      </c>
      <c r="I109" s="538">
        <f>PROFORMA!J172</f>
        <v>0</v>
      </c>
      <c r="J109" s="538">
        <f>PROFORMA!K172</f>
        <v>0</v>
      </c>
      <c r="K109" s="538">
        <f>PROFORMA!L172</f>
        <v>0</v>
      </c>
      <c r="L109" s="538">
        <f>PROFORMA!M172</f>
        <v>0</v>
      </c>
      <c r="M109" s="538">
        <f>PROFORMA!N172</f>
        <v>0</v>
      </c>
      <c r="N109" s="538">
        <f>PROFORMA!O172</f>
        <v>0</v>
      </c>
      <c r="O109" s="538">
        <f>PROFORMA!P172</f>
        <v>0</v>
      </c>
      <c r="P109" s="538">
        <f>PROFORMA!Q172</f>
        <v>0</v>
      </c>
      <c r="Q109" s="538">
        <f>PROFORMA!R172</f>
        <v>0</v>
      </c>
      <c r="R109" s="538">
        <f>PROFORMA!S172</f>
        <v>0</v>
      </c>
      <c r="S109" s="538">
        <f>PROFORMA!T172</f>
        <v>0</v>
      </c>
      <c r="T109" s="538">
        <f>PROFORMA!U172</f>
        <v>0</v>
      </c>
      <c r="U109" s="538">
        <f>PROFORMA!V172</f>
        <v>0</v>
      </c>
      <c r="V109" s="538">
        <f>PROFORMA!W172</f>
        <v>0</v>
      </c>
      <c r="W109" s="538">
        <f>PROFORMA!X172</f>
        <v>0</v>
      </c>
      <c r="X109" s="579">
        <f t="shared" si="77"/>
        <v>0</v>
      </c>
      <c r="Y109" s="538">
        <f>PROFORMA!Y172</f>
        <v>0</v>
      </c>
      <c r="Z109" s="538">
        <f>PROFORMA!Z172</f>
        <v>0</v>
      </c>
      <c r="AA109" s="538">
        <f>PROFORMA!AA172</f>
        <v>0</v>
      </c>
      <c r="AB109" s="538">
        <f>PROFORMA!AB172</f>
        <v>0</v>
      </c>
      <c r="AC109" s="538">
        <f>PROFORMA!AC172</f>
        <v>0</v>
      </c>
      <c r="AD109" s="538">
        <f>PROFORMA!AD172</f>
        <v>0</v>
      </c>
      <c r="AE109" s="538">
        <f>PROFORMA!AE172</f>
        <v>0</v>
      </c>
      <c r="AF109" s="538">
        <f>PROFORMA!AG172</f>
        <v>0</v>
      </c>
      <c r="AG109" s="538">
        <f>PROFORMA!AH172</f>
        <v>0</v>
      </c>
      <c r="AH109" s="538">
        <f>PROFORMA!AI172</f>
        <v>0</v>
      </c>
      <c r="AI109" s="538">
        <f>PROFORMA!AJ172</f>
        <v>0</v>
      </c>
      <c r="AJ109" s="538">
        <f>PROFORMA!AK172</f>
        <v>0</v>
      </c>
      <c r="AK109" s="538">
        <f>PROFORMA!AL172</f>
        <v>0</v>
      </c>
      <c r="AL109" s="538">
        <f>PROFORMA!AM172</f>
        <v>0</v>
      </c>
      <c r="AM109" s="538">
        <f>PROFORMA!AN172</f>
        <v>0</v>
      </c>
      <c r="AN109" s="538">
        <f>PROFORMA!AO172</f>
        <v>0</v>
      </c>
      <c r="AO109" s="538">
        <f>PROFORMA!AP172</f>
        <v>0</v>
      </c>
      <c r="AP109" s="538">
        <f>PROFORMA!AQ172</f>
        <v>0</v>
      </c>
      <c r="AQ109" s="538">
        <f>PROFORMA!AR172</f>
        <v>0</v>
      </c>
      <c r="AR109" s="538">
        <f>PROFORMA!AS172</f>
        <v>7000</v>
      </c>
      <c r="AS109" s="538">
        <f>PROFORMA!AT172</f>
        <v>0</v>
      </c>
      <c r="AT109" s="582">
        <f t="shared" si="132"/>
        <v>7000</v>
      </c>
      <c r="AU109" s="532">
        <f t="shared" si="124"/>
        <v>7000</v>
      </c>
      <c r="AV109" s="532">
        <f t="shared" si="125"/>
        <v>184000</v>
      </c>
      <c r="AW109" s="532"/>
      <c r="AX109" s="532">
        <f t="shared" si="90"/>
        <v>184000</v>
      </c>
    </row>
    <row r="110" spans="1:50" ht="15.6" customHeight="1">
      <c r="A110" s="529">
        <v>108</v>
      </c>
      <c r="B110" s="794"/>
      <c r="C110" s="547" t="s">
        <v>363</v>
      </c>
      <c r="D110" s="548" t="s">
        <v>1088</v>
      </c>
      <c r="E110" s="538">
        <f>PROFORMA!F173</f>
        <v>51000</v>
      </c>
      <c r="F110" s="538">
        <f>PROFORMA!G173</f>
        <v>0</v>
      </c>
      <c r="G110" s="538">
        <f>PROFORMA!H173</f>
        <v>0</v>
      </c>
      <c r="H110" s="538">
        <f>PROFORMA!I173</f>
        <v>0</v>
      </c>
      <c r="I110" s="538">
        <f>PROFORMA!J173</f>
        <v>0</v>
      </c>
      <c r="J110" s="538">
        <f>PROFORMA!K173</f>
        <v>0</v>
      </c>
      <c r="K110" s="538">
        <f>PROFORMA!L173</f>
        <v>0</v>
      </c>
      <c r="L110" s="538">
        <f>PROFORMA!M173</f>
        <v>0</v>
      </c>
      <c r="M110" s="538">
        <f>PROFORMA!N173</f>
        <v>0</v>
      </c>
      <c r="N110" s="538">
        <f>PROFORMA!O173</f>
        <v>0</v>
      </c>
      <c r="O110" s="538">
        <f>PROFORMA!P173</f>
        <v>0</v>
      </c>
      <c r="P110" s="538">
        <f>PROFORMA!Q173</f>
        <v>0</v>
      </c>
      <c r="Q110" s="538">
        <f>PROFORMA!R173</f>
        <v>0</v>
      </c>
      <c r="R110" s="538">
        <f>PROFORMA!S173</f>
        <v>0</v>
      </c>
      <c r="S110" s="538">
        <f>PROFORMA!T173</f>
        <v>0</v>
      </c>
      <c r="T110" s="538">
        <f>PROFORMA!U173</f>
        <v>0</v>
      </c>
      <c r="U110" s="538">
        <f>PROFORMA!V173</f>
        <v>0</v>
      </c>
      <c r="V110" s="538">
        <f>PROFORMA!W173</f>
        <v>0</v>
      </c>
      <c r="W110" s="538">
        <f>PROFORMA!X173</f>
        <v>0</v>
      </c>
      <c r="X110" s="579">
        <f t="shared" si="77"/>
        <v>0</v>
      </c>
      <c r="Y110" s="538">
        <f>PROFORMA!Y173</f>
        <v>0</v>
      </c>
      <c r="Z110" s="538">
        <f>PROFORMA!Z173</f>
        <v>0</v>
      </c>
      <c r="AA110" s="538">
        <f>PROFORMA!AA173</f>
        <v>0</v>
      </c>
      <c r="AB110" s="538">
        <f>PROFORMA!AB173</f>
        <v>0</v>
      </c>
      <c r="AC110" s="538">
        <f>PROFORMA!AC173</f>
        <v>0</v>
      </c>
      <c r="AD110" s="538">
        <f>PROFORMA!AD173</f>
        <v>0</v>
      </c>
      <c r="AE110" s="538">
        <f>PROFORMA!AE173</f>
        <v>0</v>
      </c>
      <c r="AF110" s="538">
        <f>PROFORMA!AG173</f>
        <v>0</v>
      </c>
      <c r="AG110" s="538">
        <f>PROFORMA!AH173</f>
        <v>0</v>
      </c>
      <c r="AH110" s="538">
        <f>PROFORMA!AI173</f>
        <v>0</v>
      </c>
      <c r="AI110" s="538">
        <f>PROFORMA!AJ173</f>
        <v>0</v>
      </c>
      <c r="AJ110" s="538">
        <f>PROFORMA!AK173</f>
        <v>0</v>
      </c>
      <c r="AK110" s="538">
        <f>PROFORMA!AL173</f>
        <v>0</v>
      </c>
      <c r="AL110" s="538">
        <f>PROFORMA!AM173</f>
        <v>0</v>
      </c>
      <c r="AM110" s="538">
        <f>PROFORMA!AN173</f>
        <v>0</v>
      </c>
      <c r="AN110" s="538">
        <f>PROFORMA!AO173</f>
        <v>0</v>
      </c>
      <c r="AO110" s="538">
        <f>PROFORMA!AP173</f>
        <v>0</v>
      </c>
      <c r="AP110" s="538">
        <f>PROFORMA!AQ173</f>
        <v>0</v>
      </c>
      <c r="AQ110" s="538">
        <f>PROFORMA!AR173</f>
        <v>0</v>
      </c>
      <c r="AR110" s="538">
        <f>PROFORMA!AS173</f>
        <v>2000</v>
      </c>
      <c r="AS110" s="538">
        <f>PROFORMA!AT173</f>
        <v>0</v>
      </c>
      <c r="AT110" s="582">
        <f t="shared" si="132"/>
        <v>2000</v>
      </c>
      <c r="AU110" s="532">
        <f t="shared" si="124"/>
        <v>2000</v>
      </c>
      <c r="AV110" s="532">
        <f t="shared" si="125"/>
        <v>53000</v>
      </c>
      <c r="AW110" s="532"/>
      <c r="AX110" s="532">
        <f t="shared" si="90"/>
        <v>53000</v>
      </c>
    </row>
    <row r="111" spans="1:50" ht="15.6" customHeight="1">
      <c r="A111" s="529">
        <v>109</v>
      </c>
      <c r="B111" s="794"/>
      <c r="C111" s="547" t="s">
        <v>364</v>
      </c>
      <c r="D111" s="548" t="s">
        <v>1088</v>
      </c>
      <c r="E111" s="538">
        <f>PROFORMA!F174</f>
        <v>1000</v>
      </c>
      <c r="F111" s="538">
        <f>PROFORMA!G174</f>
        <v>0</v>
      </c>
      <c r="G111" s="538">
        <f>PROFORMA!H174</f>
        <v>0</v>
      </c>
      <c r="H111" s="538">
        <f>PROFORMA!I174</f>
        <v>0</v>
      </c>
      <c r="I111" s="538">
        <f>PROFORMA!J174</f>
        <v>0</v>
      </c>
      <c r="J111" s="538">
        <f>PROFORMA!K174</f>
        <v>0</v>
      </c>
      <c r="K111" s="538">
        <f>PROFORMA!L174</f>
        <v>0</v>
      </c>
      <c r="L111" s="538">
        <f>PROFORMA!M174</f>
        <v>0</v>
      </c>
      <c r="M111" s="538">
        <f>PROFORMA!N174</f>
        <v>0</v>
      </c>
      <c r="N111" s="538">
        <f>PROFORMA!O174</f>
        <v>0</v>
      </c>
      <c r="O111" s="538">
        <f>PROFORMA!P174</f>
        <v>0</v>
      </c>
      <c r="P111" s="538">
        <f>PROFORMA!Q174</f>
        <v>0</v>
      </c>
      <c r="Q111" s="538">
        <f>PROFORMA!R174</f>
        <v>0</v>
      </c>
      <c r="R111" s="538">
        <f>PROFORMA!S174</f>
        <v>0</v>
      </c>
      <c r="S111" s="538">
        <f>PROFORMA!T174</f>
        <v>0</v>
      </c>
      <c r="T111" s="538">
        <f>PROFORMA!U174</f>
        <v>0</v>
      </c>
      <c r="U111" s="538">
        <f>PROFORMA!V174</f>
        <v>0</v>
      </c>
      <c r="V111" s="538">
        <f>PROFORMA!W174</f>
        <v>0</v>
      </c>
      <c r="W111" s="538">
        <f>PROFORMA!X174</f>
        <v>0</v>
      </c>
      <c r="X111" s="579">
        <f t="shared" si="77"/>
        <v>0</v>
      </c>
      <c r="Y111" s="538">
        <f>PROFORMA!Y174</f>
        <v>0</v>
      </c>
      <c r="Z111" s="538">
        <f>PROFORMA!Z174</f>
        <v>0</v>
      </c>
      <c r="AA111" s="538">
        <f>PROFORMA!AA174</f>
        <v>0</v>
      </c>
      <c r="AB111" s="538">
        <f>PROFORMA!AB174</f>
        <v>0</v>
      </c>
      <c r="AC111" s="538">
        <f>PROFORMA!AC174</f>
        <v>0</v>
      </c>
      <c r="AD111" s="538">
        <f>PROFORMA!AD174</f>
        <v>0</v>
      </c>
      <c r="AE111" s="538">
        <f>PROFORMA!AE174</f>
        <v>0</v>
      </c>
      <c r="AF111" s="538">
        <f>PROFORMA!AG174</f>
        <v>0</v>
      </c>
      <c r="AG111" s="538">
        <f>PROFORMA!AH174</f>
        <v>0</v>
      </c>
      <c r="AH111" s="538">
        <f>PROFORMA!AI174</f>
        <v>0</v>
      </c>
      <c r="AI111" s="538">
        <f>PROFORMA!AJ174</f>
        <v>0</v>
      </c>
      <c r="AJ111" s="538">
        <f>PROFORMA!AK174</f>
        <v>0</v>
      </c>
      <c r="AK111" s="538">
        <f>PROFORMA!AL174</f>
        <v>0</v>
      </c>
      <c r="AL111" s="538">
        <f>PROFORMA!AM174</f>
        <v>0</v>
      </c>
      <c r="AM111" s="538">
        <f>PROFORMA!AN174</f>
        <v>0</v>
      </c>
      <c r="AN111" s="538">
        <f>PROFORMA!AO174</f>
        <v>0</v>
      </c>
      <c r="AO111" s="538">
        <f>PROFORMA!AP174</f>
        <v>0</v>
      </c>
      <c r="AP111" s="538">
        <f>PROFORMA!AQ174</f>
        <v>0</v>
      </c>
      <c r="AQ111" s="538">
        <f>PROFORMA!AR174</f>
        <v>0</v>
      </c>
      <c r="AR111" s="538">
        <f>PROFORMA!AS174</f>
        <v>0</v>
      </c>
      <c r="AS111" s="538">
        <f>PROFORMA!AT174</f>
        <v>0</v>
      </c>
      <c r="AT111" s="582">
        <f t="shared" si="132"/>
        <v>0</v>
      </c>
      <c r="AU111" s="532">
        <f t="shared" si="124"/>
        <v>0</v>
      </c>
      <c r="AV111" s="532">
        <f t="shared" si="125"/>
        <v>1000</v>
      </c>
      <c r="AW111" s="532"/>
      <c r="AX111" s="532">
        <f t="shared" si="90"/>
        <v>1000</v>
      </c>
    </row>
    <row r="112" spans="1:50" ht="15.6" customHeight="1">
      <c r="A112" s="529">
        <v>110</v>
      </c>
      <c r="B112" s="794"/>
      <c r="C112" s="547" t="s">
        <v>365</v>
      </c>
      <c r="D112" s="548" t="s">
        <v>1088</v>
      </c>
      <c r="E112" s="574">
        <f>PROFORMA!F175</f>
        <v>36000</v>
      </c>
      <c r="F112" s="574">
        <f>PROFORMA!G175</f>
        <v>0</v>
      </c>
      <c r="G112" s="574">
        <f>PROFORMA!H175</f>
        <v>0</v>
      </c>
      <c r="H112" s="574">
        <f>PROFORMA!I175</f>
        <v>0</v>
      </c>
      <c r="I112" s="574">
        <f>PROFORMA!J175</f>
        <v>0</v>
      </c>
      <c r="J112" s="574">
        <f>PROFORMA!K175</f>
        <v>0</v>
      </c>
      <c r="K112" s="574">
        <f>PROFORMA!L175</f>
        <v>0</v>
      </c>
      <c r="L112" s="574">
        <f>PROFORMA!M175</f>
        <v>0</v>
      </c>
      <c r="M112" s="574">
        <f>PROFORMA!N175</f>
        <v>0</v>
      </c>
      <c r="N112" s="574">
        <f>PROFORMA!O175</f>
        <v>0</v>
      </c>
      <c r="O112" s="574">
        <f>PROFORMA!P175</f>
        <v>0</v>
      </c>
      <c r="P112" s="574">
        <f>PROFORMA!Q175</f>
        <v>0</v>
      </c>
      <c r="Q112" s="574">
        <f>PROFORMA!R175</f>
        <v>0</v>
      </c>
      <c r="R112" s="574">
        <f>PROFORMA!S175</f>
        <v>0</v>
      </c>
      <c r="S112" s="574">
        <f>PROFORMA!T175</f>
        <v>0</v>
      </c>
      <c r="T112" s="574">
        <f>PROFORMA!U175</f>
        <v>0</v>
      </c>
      <c r="U112" s="574">
        <f>PROFORMA!V175</f>
        <v>0</v>
      </c>
      <c r="V112" s="574">
        <f>PROFORMA!W175</f>
        <v>0</v>
      </c>
      <c r="W112" s="574">
        <f>PROFORMA!X175</f>
        <v>0</v>
      </c>
      <c r="X112" s="580">
        <f t="shared" si="77"/>
        <v>0</v>
      </c>
      <c r="Y112" s="574">
        <f>PROFORMA!Y175</f>
        <v>0</v>
      </c>
      <c r="Z112" s="574">
        <f>PROFORMA!Z175</f>
        <v>0</v>
      </c>
      <c r="AA112" s="574">
        <f>PROFORMA!AA175</f>
        <v>0</v>
      </c>
      <c r="AB112" s="574">
        <f>PROFORMA!AB175</f>
        <v>0</v>
      </c>
      <c r="AC112" s="574">
        <f>PROFORMA!AC175</f>
        <v>0</v>
      </c>
      <c r="AD112" s="574">
        <f>PROFORMA!AD175</f>
        <v>0</v>
      </c>
      <c r="AE112" s="574">
        <f>PROFORMA!AE175</f>
        <v>0</v>
      </c>
      <c r="AF112" s="574">
        <f>PROFORMA!AG175</f>
        <v>0</v>
      </c>
      <c r="AG112" s="574">
        <f>PROFORMA!AH175</f>
        <v>0</v>
      </c>
      <c r="AH112" s="574">
        <f>PROFORMA!AI175</f>
        <v>0</v>
      </c>
      <c r="AI112" s="574">
        <f>PROFORMA!AJ175</f>
        <v>0</v>
      </c>
      <c r="AJ112" s="574">
        <f>PROFORMA!AK175</f>
        <v>0</v>
      </c>
      <c r="AK112" s="574">
        <f>PROFORMA!AL175</f>
        <v>0</v>
      </c>
      <c r="AL112" s="574">
        <f>PROFORMA!AM175</f>
        <v>0</v>
      </c>
      <c r="AM112" s="574">
        <f>PROFORMA!AN175</f>
        <v>0</v>
      </c>
      <c r="AN112" s="574">
        <f>PROFORMA!AO175</f>
        <v>0</v>
      </c>
      <c r="AO112" s="574">
        <f>PROFORMA!AP175</f>
        <v>0</v>
      </c>
      <c r="AP112" s="574">
        <f>PROFORMA!AQ175</f>
        <v>0</v>
      </c>
      <c r="AQ112" s="574">
        <f>PROFORMA!AR175</f>
        <v>0</v>
      </c>
      <c r="AR112" s="574">
        <f>PROFORMA!AS175</f>
        <v>2000</v>
      </c>
      <c r="AS112" s="574">
        <f>PROFORMA!AT175</f>
        <v>0</v>
      </c>
      <c r="AT112" s="583">
        <f t="shared" si="132"/>
        <v>2000</v>
      </c>
      <c r="AU112" s="581">
        <f t="shared" si="124"/>
        <v>2000</v>
      </c>
      <c r="AV112" s="581">
        <f t="shared" si="125"/>
        <v>38000</v>
      </c>
      <c r="AW112" s="581"/>
      <c r="AX112" s="581">
        <f t="shared" si="90"/>
        <v>38000</v>
      </c>
    </row>
    <row r="113" spans="1:50">
      <c r="A113" s="529">
        <v>111</v>
      </c>
      <c r="B113" s="501"/>
      <c r="C113" s="560" t="s">
        <v>1162</v>
      </c>
      <c r="D113" s="559"/>
      <c r="E113" s="552">
        <f>SUM(E105:E112)</f>
        <v>511000</v>
      </c>
      <c r="F113" s="552">
        <f t="shared" ref="F113" si="133">SUM(F105:F112)</f>
        <v>0</v>
      </c>
      <c r="G113" s="552">
        <f t="shared" ref="G113:W113" si="134">SUM(G105:G112)</f>
        <v>0</v>
      </c>
      <c r="H113" s="552">
        <f t="shared" si="134"/>
        <v>0</v>
      </c>
      <c r="I113" s="552">
        <f t="shared" si="134"/>
        <v>0</v>
      </c>
      <c r="J113" s="552">
        <f t="shared" si="134"/>
        <v>0</v>
      </c>
      <c r="K113" s="552">
        <f t="shared" si="134"/>
        <v>0</v>
      </c>
      <c r="L113" s="552">
        <f t="shared" si="134"/>
        <v>0</v>
      </c>
      <c r="M113" s="552">
        <f t="shared" si="134"/>
        <v>0</v>
      </c>
      <c r="N113" s="552">
        <f t="shared" si="134"/>
        <v>0</v>
      </c>
      <c r="O113" s="552">
        <f t="shared" si="134"/>
        <v>0</v>
      </c>
      <c r="P113" s="552">
        <f t="shared" si="134"/>
        <v>0</v>
      </c>
      <c r="Q113" s="552">
        <f t="shared" si="134"/>
        <v>0</v>
      </c>
      <c r="R113" s="552">
        <f t="shared" si="134"/>
        <v>0</v>
      </c>
      <c r="S113" s="552">
        <f t="shared" si="134"/>
        <v>0</v>
      </c>
      <c r="T113" s="552">
        <f t="shared" si="134"/>
        <v>0</v>
      </c>
      <c r="U113" s="552">
        <f t="shared" si="134"/>
        <v>0</v>
      </c>
      <c r="V113" s="552">
        <f t="shared" si="134"/>
        <v>0</v>
      </c>
      <c r="W113" s="552">
        <f t="shared" si="134"/>
        <v>0</v>
      </c>
      <c r="X113" s="579">
        <f t="shared" si="77"/>
        <v>0</v>
      </c>
      <c r="Y113" s="552">
        <f t="shared" ref="Y113:AX113" si="135">SUM(Y105:Y112)</f>
        <v>0</v>
      </c>
      <c r="Z113" s="552">
        <f t="shared" ref="Z113:AF113" si="136">SUM(Z105:Z112)</f>
        <v>0</v>
      </c>
      <c r="AA113" s="552">
        <f t="shared" si="136"/>
        <v>0</v>
      </c>
      <c r="AB113" s="552">
        <f t="shared" si="136"/>
        <v>0</v>
      </c>
      <c r="AC113" s="552">
        <f t="shared" si="136"/>
        <v>0</v>
      </c>
      <c r="AD113" s="552">
        <f t="shared" si="136"/>
        <v>0</v>
      </c>
      <c r="AE113" s="552">
        <f t="shared" si="136"/>
        <v>0</v>
      </c>
      <c r="AF113" s="552">
        <f t="shared" si="136"/>
        <v>0</v>
      </c>
      <c r="AG113" s="552">
        <f t="shared" ref="AG113:AQ113" si="137">SUM(AG105:AG112)</f>
        <v>0</v>
      </c>
      <c r="AH113" s="552">
        <f t="shared" si="137"/>
        <v>0</v>
      </c>
      <c r="AI113" s="552">
        <f t="shared" si="137"/>
        <v>0</v>
      </c>
      <c r="AJ113" s="552">
        <f t="shared" si="137"/>
        <v>0</v>
      </c>
      <c r="AK113" s="552">
        <f t="shared" si="137"/>
        <v>0</v>
      </c>
      <c r="AL113" s="552">
        <f t="shared" si="137"/>
        <v>12000</v>
      </c>
      <c r="AM113" s="552">
        <f t="shared" si="137"/>
        <v>-7000</v>
      </c>
      <c r="AN113" s="552">
        <f t="shared" si="137"/>
        <v>27000</v>
      </c>
      <c r="AO113" s="552">
        <f t="shared" si="137"/>
        <v>0</v>
      </c>
      <c r="AP113" s="552">
        <f t="shared" si="137"/>
        <v>0</v>
      </c>
      <c r="AQ113" s="552">
        <f t="shared" si="137"/>
        <v>0</v>
      </c>
      <c r="AR113" s="552">
        <f t="shared" ref="AR113:AS113" si="138">SUM(AR105:AR112)</f>
        <v>22000</v>
      </c>
      <c r="AS113" s="552">
        <f t="shared" si="138"/>
        <v>0</v>
      </c>
      <c r="AT113" s="552">
        <f t="shared" si="135"/>
        <v>54000</v>
      </c>
      <c r="AU113" s="552">
        <f t="shared" si="135"/>
        <v>54000</v>
      </c>
      <c r="AV113" s="552">
        <f t="shared" si="135"/>
        <v>565000</v>
      </c>
      <c r="AW113" s="552">
        <f t="shared" si="135"/>
        <v>0</v>
      </c>
      <c r="AX113" s="552">
        <f t="shared" si="135"/>
        <v>565000</v>
      </c>
    </row>
    <row r="114" spans="1:50" ht="15.6" customHeight="1">
      <c r="A114" s="529">
        <v>112</v>
      </c>
      <c r="B114" s="794" t="s">
        <v>70</v>
      </c>
      <c r="C114" s="547" t="s">
        <v>358</v>
      </c>
      <c r="D114" s="548"/>
      <c r="E114" s="538">
        <f>PROFORMA!F187</f>
        <v>8000</v>
      </c>
      <c r="F114" s="538">
        <f>PROFORMA!G187</f>
        <v>0</v>
      </c>
      <c r="G114" s="538">
        <f>PROFORMA!H187</f>
        <v>0</v>
      </c>
      <c r="H114" s="538">
        <f>PROFORMA!I187</f>
        <v>0</v>
      </c>
      <c r="I114" s="538">
        <f>PROFORMA!J187</f>
        <v>0</v>
      </c>
      <c r="J114" s="538">
        <f>PROFORMA!K187</f>
        <v>0</v>
      </c>
      <c r="K114" s="538">
        <f>PROFORMA!L187</f>
        <v>0</v>
      </c>
      <c r="L114" s="538">
        <f>PROFORMA!M187</f>
        <v>0</v>
      </c>
      <c r="M114" s="538">
        <f>PROFORMA!N187</f>
        <v>0</v>
      </c>
      <c r="N114" s="538">
        <f>PROFORMA!O187</f>
        <v>0</v>
      </c>
      <c r="O114" s="538">
        <f>PROFORMA!P187</f>
        <v>0</v>
      </c>
      <c r="P114" s="538">
        <f>PROFORMA!Q187</f>
        <v>0</v>
      </c>
      <c r="Q114" s="538">
        <f>PROFORMA!R187</f>
        <v>0</v>
      </c>
      <c r="R114" s="538">
        <f>PROFORMA!S187</f>
        <v>0</v>
      </c>
      <c r="S114" s="538">
        <f>PROFORMA!T187</f>
        <v>0</v>
      </c>
      <c r="T114" s="538">
        <f>PROFORMA!U187</f>
        <v>0</v>
      </c>
      <c r="U114" s="538">
        <f>PROFORMA!V187</f>
        <v>0</v>
      </c>
      <c r="V114" s="538">
        <f>PROFORMA!W187</f>
        <v>0</v>
      </c>
      <c r="W114" s="538">
        <f>PROFORMA!X187</f>
        <v>0</v>
      </c>
      <c r="X114" s="579">
        <f t="shared" si="77"/>
        <v>0</v>
      </c>
      <c r="Y114" s="538">
        <f>PROFORMA!Y187</f>
        <v>0</v>
      </c>
      <c r="Z114" s="538">
        <f>PROFORMA!Z187</f>
        <v>0</v>
      </c>
      <c r="AA114" s="538">
        <f>PROFORMA!AA187</f>
        <v>0</v>
      </c>
      <c r="AB114" s="538">
        <f>PROFORMA!AB187</f>
        <v>0</v>
      </c>
      <c r="AC114" s="538">
        <f>PROFORMA!AC187</f>
        <v>0</v>
      </c>
      <c r="AD114" s="538">
        <f>PROFORMA!AD187</f>
        <v>0</v>
      </c>
      <c r="AE114" s="538">
        <f>PROFORMA!AE187</f>
        <v>0</v>
      </c>
      <c r="AF114" s="538">
        <f>PROFORMA!AG187</f>
        <v>0</v>
      </c>
      <c r="AG114" s="538">
        <f>PROFORMA!AH187</f>
        <v>0</v>
      </c>
      <c r="AH114" s="538">
        <f>PROFORMA!AI187</f>
        <v>0</v>
      </c>
      <c r="AI114" s="538">
        <f>PROFORMA!AJ187</f>
        <v>0</v>
      </c>
      <c r="AJ114" s="538">
        <f>PROFORMA!AK187</f>
        <v>0</v>
      </c>
      <c r="AK114" s="538">
        <f>PROFORMA!AL187</f>
        <v>0</v>
      </c>
      <c r="AL114" s="538">
        <f>PROFORMA!AM187</f>
        <v>0</v>
      </c>
      <c r="AM114" s="538">
        <f>PROFORMA!AN187</f>
        <v>0</v>
      </c>
      <c r="AN114" s="538">
        <f>PROFORMA!AO187</f>
        <v>0</v>
      </c>
      <c r="AO114" s="538">
        <f>PROFORMA!AP187</f>
        <v>0</v>
      </c>
      <c r="AP114" s="538">
        <f>PROFORMA!AQ187</f>
        <v>0</v>
      </c>
      <c r="AQ114" s="538">
        <f>PROFORMA!AR187</f>
        <v>0</v>
      </c>
      <c r="AR114" s="538">
        <f>PROFORMA!AS187</f>
        <v>0</v>
      </c>
      <c r="AS114" s="538">
        <f>PROFORMA!AT187</f>
        <v>0</v>
      </c>
      <c r="AT114" s="582">
        <f t="shared" ref="AT114:AT126" si="139">SUM(Y114:AS114)</f>
        <v>0</v>
      </c>
      <c r="AU114" s="532">
        <f t="shared" ref="AU114:AU126" si="140">X114+AT114</f>
        <v>0</v>
      </c>
      <c r="AV114" s="532">
        <f t="shared" ref="AV114:AV126" si="141">E114+AU114</f>
        <v>8000</v>
      </c>
      <c r="AW114" s="532"/>
      <c r="AX114" s="532">
        <f t="shared" si="90"/>
        <v>8000</v>
      </c>
    </row>
    <row r="115" spans="1:50" ht="15.6" customHeight="1">
      <c r="A115" s="529">
        <v>113</v>
      </c>
      <c r="B115" s="794"/>
      <c r="C115" s="547" t="s">
        <v>359</v>
      </c>
      <c r="D115" s="548"/>
      <c r="E115" s="538">
        <f>PROFORMA!F188</f>
        <v>17000</v>
      </c>
      <c r="F115" s="538">
        <f>PROFORMA!G188</f>
        <v>0</v>
      </c>
      <c r="G115" s="538">
        <f>PROFORMA!H188</f>
        <v>0</v>
      </c>
      <c r="H115" s="538">
        <f>PROFORMA!I188</f>
        <v>0</v>
      </c>
      <c r="I115" s="538">
        <f>PROFORMA!J188</f>
        <v>0</v>
      </c>
      <c r="J115" s="538">
        <f>PROFORMA!K188</f>
        <v>0</v>
      </c>
      <c r="K115" s="538">
        <f>PROFORMA!L188</f>
        <v>0</v>
      </c>
      <c r="L115" s="538">
        <f>PROFORMA!M188</f>
        <v>0</v>
      </c>
      <c r="M115" s="538">
        <f>PROFORMA!N188</f>
        <v>0</v>
      </c>
      <c r="N115" s="538">
        <f>PROFORMA!O188</f>
        <v>0</v>
      </c>
      <c r="O115" s="538">
        <f>PROFORMA!P188</f>
        <v>0</v>
      </c>
      <c r="P115" s="538">
        <f>PROFORMA!Q188</f>
        <v>0</v>
      </c>
      <c r="Q115" s="538">
        <f>PROFORMA!R188</f>
        <v>0</v>
      </c>
      <c r="R115" s="538">
        <f>PROFORMA!S188</f>
        <v>0</v>
      </c>
      <c r="S115" s="538">
        <f>PROFORMA!T188</f>
        <v>0</v>
      </c>
      <c r="T115" s="538">
        <f>PROFORMA!U188</f>
        <v>0</v>
      </c>
      <c r="U115" s="538">
        <f>PROFORMA!V188</f>
        <v>0</v>
      </c>
      <c r="V115" s="538">
        <f>PROFORMA!W188</f>
        <v>0</v>
      </c>
      <c r="W115" s="538">
        <f>PROFORMA!X188</f>
        <v>0</v>
      </c>
      <c r="X115" s="579">
        <f t="shared" si="77"/>
        <v>0</v>
      </c>
      <c r="Y115" s="538">
        <f>PROFORMA!Y188</f>
        <v>0</v>
      </c>
      <c r="Z115" s="538">
        <f>PROFORMA!Z188</f>
        <v>0</v>
      </c>
      <c r="AA115" s="538">
        <f>PROFORMA!AA188</f>
        <v>0</v>
      </c>
      <c r="AB115" s="538">
        <f>PROFORMA!AB188</f>
        <v>0</v>
      </c>
      <c r="AC115" s="538">
        <f>PROFORMA!AC188</f>
        <v>0</v>
      </c>
      <c r="AD115" s="538">
        <f>PROFORMA!AD188</f>
        <v>0</v>
      </c>
      <c r="AE115" s="538">
        <f>PROFORMA!AE188</f>
        <v>0</v>
      </c>
      <c r="AF115" s="538">
        <f>PROFORMA!AG188</f>
        <v>0</v>
      </c>
      <c r="AG115" s="538">
        <f>PROFORMA!AH188</f>
        <v>0</v>
      </c>
      <c r="AH115" s="538">
        <f>PROFORMA!AI188</f>
        <v>0</v>
      </c>
      <c r="AI115" s="538">
        <f>PROFORMA!AJ188</f>
        <v>0</v>
      </c>
      <c r="AJ115" s="538">
        <f>PROFORMA!AK188</f>
        <v>0</v>
      </c>
      <c r="AK115" s="538">
        <f>PROFORMA!AL188</f>
        <v>0</v>
      </c>
      <c r="AL115" s="538">
        <f>PROFORMA!AM188</f>
        <v>1000</v>
      </c>
      <c r="AM115" s="538">
        <f>PROFORMA!AN188</f>
        <v>0</v>
      </c>
      <c r="AN115" s="538">
        <f>PROFORMA!AO188</f>
        <v>1000</v>
      </c>
      <c r="AO115" s="538">
        <f>PROFORMA!AP188</f>
        <v>0</v>
      </c>
      <c r="AP115" s="538">
        <f>PROFORMA!AQ188</f>
        <v>0</v>
      </c>
      <c r="AQ115" s="538">
        <f>PROFORMA!AR188</f>
        <v>0</v>
      </c>
      <c r="AR115" s="538">
        <f>PROFORMA!AS188</f>
        <v>1000</v>
      </c>
      <c r="AS115" s="538">
        <f>PROFORMA!AT188</f>
        <v>0</v>
      </c>
      <c r="AT115" s="582">
        <f t="shared" si="139"/>
        <v>3000</v>
      </c>
      <c r="AU115" s="532">
        <f t="shared" si="140"/>
        <v>3000</v>
      </c>
      <c r="AV115" s="532">
        <f t="shared" si="141"/>
        <v>20000</v>
      </c>
      <c r="AW115" s="532"/>
      <c r="AX115" s="532">
        <f t="shared" si="90"/>
        <v>20000</v>
      </c>
    </row>
    <row r="116" spans="1:50" ht="15.6" customHeight="1">
      <c r="A116" s="529">
        <v>114</v>
      </c>
      <c r="B116" s="794"/>
      <c r="C116" s="547" t="s">
        <v>366</v>
      </c>
      <c r="D116" s="548"/>
      <c r="E116" s="538">
        <f>PROFORMA!F189</f>
        <v>7118000</v>
      </c>
      <c r="F116" s="538">
        <f>PROFORMA!G189</f>
        <v>0</v>
      </c>
      <c r="G116" s="538">
        <f>PROFORMA!H189</f>
        <v>0</v>
      </c>
      <c r="H116" s="538">
        <f>PROFORMA!I189</f>
        <v>0</v>
      </c>
      <c r="I116" s="538">
        <f>PROFORMA!J189</f>
        <v>0</v>
      </c>
      <c r="J116" s="538">
        <f>PROFORMA!K189</f>
        <v>0</v>
      </c>
      <c r="K116" s="538">
        <f>PROFORMA!L189</f>
        <v>0</v>
      </c>
      <c r="L116" s="538">
        <f>PROFORMA!M189</f>
        <v>0</v>
      </c>
      <c r="M116" s="538">
        <f>PROFORMA!N189</f>
        <v>0</v>
      </c>
      <c r="N116" s="538">
        <f>PROFORMA!O189</f>
        <v>0</v>
      </c>
      <c r="O116" s="538">
        <f>PROFORMA!P189</f>
        <v>0</v>
      </c>
      <c r="P116" s="538">
        <f>PROFORMA!Q189</f>
        <v>0</v>
      </c>
      <c r="Q116" s="538">
        <f>PROFORMA!R189</f>
        <v>0</v>
      </c>
      <c r="R116" s="538">
        <f>PROFORMA!S189</f>
        <v>0</v>
      </c>
      <c r="S116" s="538">
        <f>PROFORMA!T189</f>
        <v>0</v>
      </c>
      <c r="T116" s="538">
        <f>PROFORMA!U189</f>
        <v>0</v>
      </c>
      <c r="U116" s="538">
        <f>PROFORMA!V189</f>
        <v>0</v>
      </c>
      <c r="V116" s="538">
        <f>PROFORMA!W189</f>
        <v>0</v>
      </c>
      <c r="W116" s="538">
        <f>PROFORMA!X189</f>
        <v>0</v>
      </c>
      <c r="X116" s="579">
        <f t="shared" si="77"/>
        <v>0</v>
      </c>
      <c r="Y116" s="538">
        <f>PROFORMA!Y189</f>
        <v>0</v>
      </c>
      <c r="Z116" s="538">
        <f>PROFORMA!Z189</f>
        <v>0</v>
      </c>
      <c r="AA116" s="538">
        <f>PROFORMA!AA189</f>
        <v>0</v>
      </c>
      <c r="AB116" s="538">
        <f>PROFORMA!AB189</f>
        <v>0</v>
      </c>
      <c r="AC116" s="538">
        <f>PROFORMA!AC189</f>
        <v>0</v>
      </c>
      <c r="AD116" s="538">
        <f>PROFORMA!AD189</f>
        <v>0</v>
      </c>
      <c r="AE116" s="538">
        <f>PROFORMA!AE189</f>
        <v>0</v>
      </c>
      <c r="AF116" s="538">
        <f>PROFORMA!AG189</f>
        <v>0</v>
      </c>
      <c r="AG116" s="538">
        <f>PROFORMA!AH189</f>
        <v>0</v>
      </c>
      <c r="AH116" s="538">
        <f>PROFORMA!AI189</f>
        <v>0</v>
      </c>
      <c r="AI116" s="538">
        <f>PROFORMA!AJ189</f>
        <v>0</v>
      </c>
      <c r="AJ116" s="538">
        <f>PROFORMA!AK189</f>
        <v>0</v>
      </c>
      <c r="AK116" s="538">
        <f>PROFORMA!AL189</f>
        <v>0</v>
      </c>
      <c r="AL116" s="538">
        <f>PROFORMA!AM189</f>
        <v>274000</v>
      </c>
      <c r="AM116" s="538">
        <f>PROFORMA!AN189</f>
        <v>-190000</v>
      </c>
      <c r="AN116" s="538">
        <f>PROFORMA!AO189</f>
        <v>418000</v>
      </c>
      <c r="AO116" s="538">
        <f>PROFORMA!AP189</f>
        <v>0</v>
      </c>
      <c r="AP116" s="538">
        <f>PROFORMA!AQ189</f>
        <v>0</v>
      </c>
      <c r="AQ116" s="538">
        <f>PROFORMA!AR189</f>
        <v>0</v>
      </c>
      <c r="AR116" s="538">
        <f>PROFORMA!AS189</f>
        <v>392000</v>
      </c>
      <c r="AS116" s="538">
        <f>PROFORMA!AT189</f>
        <v>0</v>
      </c>
      <c r="AT116" s="582">
        <f t="shared" si="139"/>
        <v>894000</v>
      </c>
      <c r="AU116" s="532">
        <f t="shared" si="140"/>
        <v>894000</v>
      </c>
      <c r="AV116" s="532">
        <f t="shared" si="141"/>
        <v>8012000</v>
      </c>
      <c r="AW116" s="532"/>
      <c r="AX116" s="532">
        <f t="shared" si="90"/>
        <v>8012000</v>
      </c>
    </row>
    <row r="117" spans="1:50" ht="15.6" customHeight="1">
      <c r="A117" s="529">
        <v>115</v>
      </c>
      <c r="B117" s="794"/>
      <c r="C117" s="547" t="s">
        <v>366</v>
      </c>
      <c r="D117" s="548"/>
      <c r="E117" s="538">
        <f>PROFORMA!F190</f>
        <v>0</v>
      </c>
      <c r="F117" s="538">
        <f>PROFORMA!G190</f>
        <v>0</v>
      </c>
      <c r="G117" s="538">
        <f>PROFORMA!H190</f>
        <v>0</v>
      </c>
      <c r="H117" s="538">
        <f>PROFORMA!I190</f>
        <v>0</v>
      </c>
      <c r="I117" s="538">
        <f>PROFORMA!J190</f>
        <v>0</v>
      </c>
      <c r="J117" s="538">
        <f>PROFORMA!K190</f>
        <v>0</v>
      </c>
      <c r="K117" s="538">
        <f>PROFORMA!L190</f>
        <v>0</v>
      </c>
      <c r="L117" s="538">
        <f>PROFORMA!M190</f>
        <v>0</v>
      </c>
      <c r="M117" s="538">
        <f>PROFORMA!N190</f>
        <v>0</v>
      </c>
      <c r="N117" s="538">
        <f>PROFORMA!O190</f>
        <v>0</v>
      </c>
      <c r="O117" s="538">
        <f>PROFORMA!P190</f>
        <v>0</v>
      </c>
      <c r="P117" s="538">
        <f>PROFORMA!Q190</f>
        <v>0</v>
      </c>
      <c r="Q117" s="538">
        <f>PROFORMA!R190</f>
        <v>0</v>
      </c>
      <c r="R117" s="538">
        <f>PROFORMA!S190</f>
        <v>0</v>
      </c>
      <c r="S117" s="538">
        <f>PROFORMA!T190</f>
        <v>0</v>
      </c>
      <c r="T117" s="538">
        <f>PROFORMA!U190</f>
        <v>0</v>
      </c>
      <c r="U117" s="538">
        <f>PROFORMA!V190</f>
        <v>0</v>
      </c>
      <c r="V117" s="538">
        <f>PROFORMA!W190</f>
        <v>0</v>
      </c>
      <c r="W117" s="538">
        <f>PROFORMA!X190</f>
        <v>0</v>
      </c>
      <c r="X117" s="579">
        <f t="shared" si="77"/>
        <v>0</v>
      </c>
      <c r="Y117" s="538">
        <f>PROFORMA!Y190</f>
        <v>0</v>
      </c>
      <c r="Z117" s="538">
        <f>PROFORMA!Z190</f>
        <v>0</v>
      </c>
      <c r="AA117" s="538">
        <f>PROFORMA!AA190</f>
        <v>0</v>
      </c>
      <c r="AB117" s="538">
        <f>PROFORMA!AB190</f>
        <v>0</v>
      </c>
      <c r="AC117" s="538">
        <f>PROFORMA!AC190</f>
        <v>0</v>
      </c>
      <c r="AD117" s="538">
        <f>PROFORMA!AD190</f>
        <v>0</v>
      </c>
      <c r="AE117" s="538">
        <f>PROFORMA!AE190</f>
        <v>0</v>
      </c>
      <c r="AF117" s="538">
        <f>PROFORMA!AG190</f>
        <v>0</v>
      </c>
      <c r="AG117" s="538">
        <f>PROFORMA!AH190</f>
        <v>0</v>
      </c>
      <c r="AH117" s="538">
        <f>PROFORMA!AI190</f>
        <v>0</v>
      </c>
      <c r="AI117" s="538">
        <f>PROFORMA!AJ190</f>
        <v>0</v>
      </c>
      <c r="AJ117" s="538">
        <f>PROFORMA!AK190</f>
        <v>0</v>
      </c>
      <c r="AK117" s="538">
        <f>PROFORMA!AL190</f>
        <v>0</v>
      </c>
      <c r="AL117" s="538">
        <f>PROFORMA!AM190</f>
        <v>0</v>
      </c>
      <c r="AM117" s="538">
        <f>PROFORMA!AN190</f>
        <v>0</v>
      </c>
      <c r="AN117" s="538">
        <f>PROFORMA!AO190</f>
        <v>0</v>
      </c>
      <c r="AO117" s="538">
        <f>PROFORMA!AP190</f>
        <v>0</v>
      </c>
      <c r="AP117" s="538">
        <f>PROFORMA!AQ190</f>
        <v>0</v>
      </c>
      <c r="AQ117" s="538">
        <f>PROFORMA!AR190</f>
        <v>0</v>
      </c>
      <c r="AR117" s="538">
        <f>PROFORMA!AS190</f>
        <v>0</v>
      </c>
      <c r="AS117" s="538">
        <f>PROFORMA!AT190</f>
        <v>0</v>
      </c>
      <c r="AT117" s="582">
        <f t="shared" si="139"/>
        <v>0</v>
      </c>
      <c r="AU117" s="532">
        <f t="shared" si="140"/>
        <v>0</v>
      </c>
      <c r="AV117" s="532">
        <f t="shared" si="141"/>
        <v>0</v>
      </c>
      <c r="AW117" s="532"/>
      <c r="AX117" s="532">
        <f t="shared" si="90"/>
        <v>0</v>
      </c>
    </row>
    <row r="118" spans="1:50" ht="15.6" customHeight="1">
      <c r="A118" s="529">
        <v>116</v>
      </c>
      <c r="B118" s="794"/>
      <c r="C118" s="547" t="s">
        <v>367</v>
      </c>
      <c r="D118" s="548"/>
      <c r="E118" s="538">
        <f>PROFORMA!F191</f>
        <v>161000</v>
      </c>
      <c r="F118" s="538">
        <f>PROFORMA!G191</f>
        <v>0</v>
      </c>
      <c r="G118" s="538">
        <f>PROFORMA!H191</f>
        <v>0</v>
      </c>
      <c r="H118" s="538">
        <f>PROFORMA!I191</f>
        <v>0</v>
      </c>
      <c r="I118" s="538">
        <f>PROFORMA!J191</f>
        <v>0</v>
      </c>
      <c r="J118" s="538">
        <f>PROFORMA!K191</f>
        <v>0</v>
      </c>
      <c r="K118" s="538">
        <f>PROFORMA!L191</f>
        <v>0</v>
      </c>
      <c r="L118" s="538">
        <f>PROFORMA!M191</f>
        <v>0</v>
      </c>
      <c r="M118" s="538">
        <f>PROFORMA!N191</f>
        <v>0</v>
      </c>
      <c r="N118" s="538">
        <f>PROFORMA!O191</f>
        <v>0</v>
      </c>
      <c r="O118" s="538">
        <f>PROFORMA!P191</f>
        <v>0</v>
      </c>
      <c r="P118" s="538">
        <f>PROFORMA!Q191</f>
        <v>0</v>
      </c>
      <c r="Q118" s="538">
        <f>PROFORMA!R191</f>
        <v>0</v>
      </c>
      <c r="R118" s="538">
        <f>PROFORMA!S191</f>
        <v>0</v>
      </c>
      <c r="S118" s="538">
        <f>PROFORMA!T191</f>
        <v>0</v>
      </c>
      <c r="T118" s="538">
        <f>PROFORMA!U191</f>
        <v>0</v>
      </c>
      <c r="U118" s="538">
        <f>PROFORMA!V191</f>
        <v>0</v>
      </c>
      <c r="V118" s="538">
        <f>PROFORMA!W191</f>
        <v>0</v>
      </c>
      <c r="W118" s="538">
        <f>PROFORMA!X191</f>
        <v>0</v>
      </c>
      <c r="X118" s="579">
        <f t="shared" si="77"/>
        <v>0</v>
      </c>
      <c r="Y118" s="538">
        <f>PROFORMA!Y191</f>
        <v>0</v>
      </c>
      <c r="Z118" s="538">
        <f>PROFORMA!Z191</f>
        <v>0</v>
      </c>
      <c r="AA118" s="538">
        <f>PROFORMA!AA191</f>
        <v>0</v>
      </c>
      <c r="AB118" s="538">
        <f>PROFORMA!AB191</f>
        <v>0</v>
      </c>
      <c r="AC118" s="538">
        <f>PROFORMA!AC191</f>
        <v>0</v>
      </c>
      <c r="AD118" s="538">
        <f>PROFORMA!AD191</f>
        <v>0</v>
      </c>
      <c r="AE118" s="538">
        <f>PROFORMA!AE191</f>
        <v>0</v>
      </c>
      <c r="AF118" s="538">
        <f>PROFORMA!AG191</f>
        <v>0</v>
      </c>
      <c r="AG118" s="538">
        <f>PROFORMA!AH191</f>
        <v>0</v>
      </c>
      <c r="AH118" s="538">
        <f>PROFORMA!AI191</f>
        <v>0</v>
      </c>
      <c r="AI118" s="538">
        <f>PROFORMA!AJ191</f>
        <v>0</v>
      </c>
      <c r="AJ118" s="538">
        <f>PROFORMA!AK191</f>
        <v>0</v>
      </c>
      <c r="AK118" s="538">
        <f>PROFORMA!AL191</f>
        <v>0</v>
      </c>
      <c r="AL118" s="538">
        <f>PROFORMA!AM191</f>
        <v>6000</v>
      </c>
      <c r="AM118" s="538">
        <f>PROFORMA!AN191</f>
        <v>-4000</v>
      </c>
      <c r="AN118" s="538">
        <f>PROFORMA!AO191</f>
        <v>9000</v>
      </c>
      <c r="AO118" s="538">
        <f>PROFORMA!AP191</f>
        <v>0</v>
      </c>
      <c r="AP118" s="538">
        <f>PROFORMA!AQ191</f>
        <v>0</v>
      </c>
      <c r="AQ118" s="538">
        <f>PROFORMA!AR191</f>
        <v>0</v>
      </c>
      <c r="AR118" s="538">
        <f>PROFORMA!AS191</f>
        <v>9000</v>
      </c>
      <c r="AS118" s="538">
        <f>PROFORMA!AT191</f>
        <v>0</v>
      </c>
      <c r="AT118" s="582">
        <f t="shared" si="139"/>
        <v>20000</v>
      </c>
      <c r="AU118" s="532">
        <f t="shared" si="140"/>
        <v>20000</v>
      </c>
      <c r="AV118" s="532">
        <f t="shared" si="141"/>
        <v>181000</v>
      </c>
      <c r="AW118" s="532"/>
      <c r="AX118" s="532">
        <f t="shared" si="90"/>
        <v>181000</v>
      </c>
    </row>
    <row r="119" spans="1:50" ht="15.6" customHeight="1">
      <c r="A119" s="529">
        <v>117</v>
      </c>
      <c r="B119" s="794"/>
      <c r="C119" s="547" t="s">
        <v>368</v>
      </c>
      <c r="D119" s="548"/>
      <c r="E119" s="538">
        <f>PROFORMA!F192</f>
        <v>52000</v>
      </c>
      <c r="F119" s="538">
        <f>PROFORMA!G192</f>
        <v>0</v>
      </c>
      <c r="G119" s="538">
        <f>PROFORMA!H192</f>
        <v>0</v>
      </c>
      <c r="H119" s="538">
        <f>PROFORMA!I192</f>
        <v>0</v>
      </c>
      <c r="I119" s="538">
        <f>PROFORMA!J192</f>
        <v>0</v>
      </c>
      <c r="J119" s="538">
        <f>PROFORMA!K192</f>
        <v>0</v>
      </c>
      <c r="K119" s="538">
        <f>PROFORMA!L192</f>
        <v>0</v>
      </c>
      <c r="L119" s="538">
        <f>PROFORMA!M192</f>
        <v>0</v>
      </c>
      <c r="M119" s="538">
        <f>PROFORMA!N192</f>
        <v>0</v>
      </c>
      <c r="N119" s="538">
        <f>PROFORMA!O192</f>
        <v>0</v>
      </c>
      <c r="O119" s="538">
        <f>PROFORMA!P192</f>
        <v>0</v>
      </c>
      <c r="P119" s="538">
        <f>PROFORMA!Q192</f>
        <v>0</v>
      </c>
      <c r="Q119" s="538">
        <f>PROFORMA!R192</f>
        <v>0</v>
      </c>
      <c r="R119" s="538">
        <f>PROFORMA!S192</f>
        <v>0</v>
      </c>
      <c r="S119" s="538">
        <f>PROFORMA!T192</f>
        <v>0</v>
      </c>
      <c r="T119" s="538">
        <f>PROFORMA!U192</f>
        <v>0</v>
      </c>
      <c r="U119" s="538">
        <f>PROFORMA!V192</f>
        <v>0</v>
      </c>
      <c r="V119" s="538">
        <f>PROFORMA!W192</f>
        <v>0</v>
      </c>
      <c r="W119" s="538">
        <f>PROFORMA!X192</f>
        <v>0</v>
      </c>
      <c r="X119" s="579">
        <f t="shared" si="77"/>
        <v>0</v>
      </c>
      <c r="Y119" s="538">
        <f>PROFORMA!Y192</f>
        <v>0</v>
      </c>
      <c r="Z119" s="538">
        <f>PROFORMA!Z192</f>
        <v>0</v>
      </c>
      <c r="AA119" s="538">
        <f>PROFORMA!AA192</f>
        <v>0</v>
      </c>
      <c r="AB119" s="538">
        <f>PROFORMA!AB192</f>
        <v>0</v>
      </c>
      <c r="AC119" s="538">
        <f>PROFORMA!AC192</f>
        <v>0</v>
      </c>
      <c r="AD119" s="538">
        <f>PROFORMA!AD192</f>
        <v>0</v>
      </c>
      <c r="AE119" s="538">
        <f>PROFORMA!AE192</f>
        <v>0</v>
      </c>
      <c r="AF119" s="538">
        <f>PROFORMA!AG192</f>
        <v>0</v>
      </c>
      <c r="AG119" s="538">
        <f>PROFORMA!AH192</f>
        <v>0</v>
      </c>
      <c r="AH119" s="538">
        <f>PROFORMA!AI192</f>
        <v>0</v>
      </c>
      <c r="AI119" s="538">
        <f>PROFORMA!AJ192</f>
        <v>0</v>
      </c>
      <c r="AJ119" s="538">
        <f>PROFORMA!AK192</f>
        <v>0</v>
      </c>
      <c r="AK119" s="538">
        <f>PROFORMA!AL192</f>
        <v>0</v>
      </c>
      <c r="AL119" s="538">
        <f>PROFORMA!AM192</f>
        <v>2000</v>
      </c>
      <c r="AM119" s="538">
        <f>PROFORMA!AN192</f>
        <v>-1000</v>
      </c>
      <c r="AN119" s="538">
        <f>PROFORMA!AO192</f>
        <v>3000</v>
      </c>
      <c r="AO119" s="538">
        <f>PROFORMA!AP192</f>
        <v>0</v>
      </c>
      <c r="AP119" s="538">
        <f>PROFORMA!AQ192</f>
        <v>0</v>
      </c>
      <c r="AQ119" s="538">
        <f>PROFORMA!AR192</f>
        <v>0</v>
      </c>
      <c r="AR119" s="538">
        <f>PROFORMA!AS192</f>
        <v>3000</v>
      </c>
      <c r="AS119" s="538">
        <f>PROFORMA!AT192</f>
        <v>0</v>
      </c>
      <c r="AT119" s="582">
        <f t="shared" si="139"/>
        <v>7000</v>
      </c>
      <c r="AU119" s="532">
        <f t="shared" si="140"/>
        <v>7000</v>
      </c>
      <c r="AV119" s="532">
        <f t="shared" si="141"/>
        <v>59000</v>
      </c>
      <c r="AW119" s="532"/>
      <c r="AX119" s="532">
        <f t="shared" si="90"/>
        <v>59000</v>
      </c>
    </row>
    <row r="120" spans="1:50" ht="15.6" customHeight="1">
      <c r="A120" s="529">
        <v>118</v>
      </c>
      <c r="B120" s="794"/>
      <c r="C120" s="547" t="s">
        <v>369</v>
      </c>
      <c r="D120" s="548"/>
      <c r="E120" s="538">
        <f>PROFORMA!F193</f>
        <v>5357000</v>
      </c>
      <c r="F120" s="538">
        <f>PROFORMA!G193</f>
        <v>0</v>
      </c>
      <c r="G120" s="538">
        <f>PROFORMA!H193</f>
        <v>0</v>
      </c>
      <c r="H120" s="538">
        <f>PROFORMA!I193</f>
        <v>0</v>
      </c>
      <c r="I120" s="538">
        <f>PROFORMA!J193</f>
        <v>0</v>
      </c>
      <c r="J120" s="538">
        <f>PROFORMA!K193</f>
        <v>0</v>
      </c>
      <c r="K120" s="538">
        <f>PROFORMA!L193</f>
        <v>0</v>
      </c>
      <c r="L120" s="538">
        <f>PROFORMA!M193</f>
        <v>0</v>
      </c>
      <c r="M120" s="538">
        <f>PROFORMA!N193</f>
        <v>0</v>
      </c>
      <c r="N120" s="538">
        <f>PROFORMA!O193</f>
        <v>0</v>
      </c>
      <c r="O120" s="538">
        <f>PROFORMA!P193</f>
        <v>0</v>
      </c>
      <c r="P120" s="538">
        <f>PROFORMA!Q193</f>
        <v>0</v>
      </c>
      <c r="Q120" s="538">
        <f>PROFORMA!R193</f>
        <v>0</v>
      </c>
      <c r="R120" s="538">
        <f>PROFORMA!S193</f>
        <v>0</v>
      </c>
      <c r="S120" s="538">
        <f>PROFORMA!T193</f>
        <v>0</v>
      </c>
      <c r="T120" s="538">
        <f>PROFORMA!U193</f>
        <v>0</v>
      </c>
      <c r="U120" s="538">
        <f>PROFORMA!V193</f>
        <v>0</v>
      </c>
      <c r="V120" s="538">
        <f>PROFORMA!W193</f>
        <v>0</v>
      </c>
      <c r="W120" s="538">
        <f>PROFORMA!X193</f>
        <v>0</v>
      </c>
      <c r="X120" s="579">
        <f t="shared" si="77"/>
        <v>0</v>
      </c>
      <c r="Y120" s="538">
        <f>PROFORMA!Y193</f>
        <v>0</v>
      </c>
      <c r="Z120" s="538">
        <f>PROFORMA!Z193</f>
        <v>0</v>
      </c>
      <c r="AA120" s="538">
        <f>PROFORMA!AA193</f>
        <v>0</v>
      </c>
      <c r="AB120" s="538">
        <f>PROFORMA!AB193</f>
        <v>0</v>
      </c>
      <c r="AC120" s="538">
        <f>PROFORMA!AC193</f>
        <v>0</v>
      </c>
      <c r="AD120" s="538">
        <f>PROFORMA!AD193</f>
        <v>0</v>
      </c>
      <c r="AE120" s="538">
        <f>PROFORMA!AE193</f>
        <v>0</v>
      </c>
      <c r="AF120" s="538">
        <f>PROFORMA!AG193</f>
        <v>0</v>
      </c>
      <c r="AG120" s="538">
        <f>PROFORMA!AH193</f>
        <v>0</v>
      </c>
      <c r="AH120" s="538">
        <f>PROFORMA!AI193</f>
        <v>0</v>
      </c>
      <c r="AI120" s="538">
        <f>PROFORMA!AJ193</f>
        <v>0</v>
      </c>
      <c r="AJ120" s="538">
        <f>PROFORMA!AK193</f>
        <v>0</v>
      </c>
      <c r="AK120" s="538">
        <f>PROFORMA!AL193</f>
        <v>0</v>
      </c>
      <c r="AL120" s="538">
        <f>PROFORMA!AM193</f>
        <v>206000</v>
      </c>
      <c r="AM120" s="538">
        <f>PROFORMA!AN193</f>
        <v>-141000</v>
      </c>
      <c r="AN120" s="538">
        <f>PROFORMA!AO193</f>
        <v>314000</v>
      </c>
      <c r="AO120" s="538">
        <f>PROFORMA!AP193</f>
        <v>0</v>
      </c>
      <c r="AP120" s="538">
        <f>PROFORMA!AQ193</f>
        <v>0</v>
      </c>
      <c r="AQ120" s="538">
        <f>PROFORMA!AR193</f>
        <v>0</v>
      </c>
      <c r="AR120" s="538">
        <f>PROFORMA!AS193</f>
        <v>294000</v>
      </c>
      <c r="AS120" s="538">
        <f>PROFORMA!AT193</f>
        <v>0</v>
      </c>
      <c r="AT120" s="582">
        <f t="shared" si="139"/>
        <v>673000</v>
      </c>
      <c r="AU120" s="532">
        <f t="shared" si="140"/>
        <v>673000</v>
      </c>
      <c r="AV120" s="532">
        <f t="shared" si="141"/>
        <v>6030000</v>
      </c>
      <c r="AW120" s="532"/>
      <c r="AX120" s="532">
        <f t="shared" si="90"/>
        <v>6030000</v>
      </c>
    </row>
    <row r="121" spans="1:50" ht="15.6" customHeight="1">
      <c r="A121" s="529">
        <v>119</v>
      </c>
      <c r="B121" s="794"/>
      <c r="C121" s="547" t="s">
        <v>370</v>
      </c>
      <c r="D121" s="548"/>
      <c r="E121" s="538">
        <f>PROFORMA!F194</f>
        <v>3686000</v>
      </c>
      <c r="F121" s="538">
        <f>PROFORMA!G194</f>
        <v>0</v>
      </c>
      <c r="G121" s="538">
        <f>PROFORMA!H194</f>
        <v>0</v>
      </c>
      <c r="H121" s="538">
        <f>PROFORMA!I194</f>
        <v>0</v>
      </c>
      <c r="I121" s="538">
        <f>PROFORMA!J194</f>
        <v>0</v>
      </c>
      <c r="J121" s="538">
        <f>PROFORMA!K194</f>
        <v>0</v>
      </c>
      <c r="K121" s="538">
        <f>PROFORMA!L194</f>
        <v>0</v>
      </c>
      <c r="L121" s="538">
        <f>PROFORMA!M194</f>
        <v>0</v>
      </c>
      <c r="M121" s="538">
        <f>PROFORMA!N194</f>
        <v>0</v>
      </c>
      <c r="N121" s="538">
        <f>PROFORMA!O194</f>
        <v>0</v>
      </c>
      <c r="O121" s="538">
        <f>PROFORMA!P194</f>
        <v>0</v>
      </c>
      <c r="P121" s="538">
        <f>PROFORMA!Q194</f>
        <v>0</v>
      </c>
      <c r="Q121" s="538">
        <f>PROFORMA!R194</f>
        <v>0</v>
      </c>
      <c r="R121" s="538">
        <f>PROFORMA!S194</f>
        <v>0</v>
      </c>
      <c r="S121" s="538">
        <f>PROFORMA!T194</f>
        <v>0</v>
      </c>
      <c r="T121" s="538">
        <f>PROFORMA!U194</f>
        <v>0</v>
      </c>
      <c r="U121" s="538">
        <f>PROFORMA!V194</f>
        <v>0</v>
      </c>
      <c r="V121" s="538">
        <f>PROFORMA!W194</f>
        <v>0</v>
      </c>
      <c r="W121" s="538">
        <f>PROFORMA!X194</f>
        <v>0</v>
      </c>
      <c r="X121" s="579">
        <f t="shared" si="77"/>
        <v>0</v>
      </c>
      <c r="Y121" s="538">
        <f>PROFORMA!Y194</f>
        <v>0</v>
      </c>
      <c r="Z121" s="538">
        <f>PROFORMA!Z194</f>
        <v>0</v>
      </c>
      <c r="AA121" s="538">
        <f>PROFORMA!AA194</f>
        <v>0</v>
      </c>
      <c r="AB121" s="538">
        <f>PROFORMA!AB194</f>
        <v>0</v>
      </c>
      <c r="AC121" s="538">
        <f>PROFORMA!AC194</f>
        <v>0</v>
      </c>
      <c r="AD121" s="538">
        <f>PROFORMA!AD194</f>
        <v>0</v>
      </c>
      <c r="AE121" s="538">
        <f>PROFORMA!AE194</f>
        <v>0</v>
      </c>
      <c r="AF121" s="538">
        <f>PROFORMA!AG194</f>
        <v>0</v>
      </c>
      <c r="AG121" s="538">
        <f>PROFORMA!AH194</f>
        <v>0</v>
      </c>
      <c r="AH121" s="538">
        <f>PROFORMA!AI194</f>
        <v>0</v>
      </c>
      <c r="AI121" s="538">
        <f>PROFORMA!AJ194</f>
        <v>0</v>
      </c>
      <c r="AJ121" s="538">
        <f>PROFORMA!AK194</f>
        <v>0</v>
      </c>
      <c r="AK121" s="538">
        <f>PROFORMA!AL194</f>
        <v>0</v>
      </c>
      <c r="AL121" s="538">
        <f>PROFORMA!AM194</f>
        <v>142000</v>
      </c>
      <c r="AM121" s="538">
        <f>PROFORMA!AN194</f>
        <v>-97000</v>
      </c>
      <c r="AN121" s="538">
        <f>PROFORMA!AO194</f>
        <v>216000</v>
      </c>
      <c r="AO121" s="538">
        <f>PROFORMA!AP194</f>
        <v>0</v>
      </c>
      <c r="AP121" s="538">
        <f>PROFORMA!AQ194</f>
        <v>0</v>
      </c>
      <c r="AQ121" s="538">
        <f>PROFORMA!AR194</f>
        <v>0</v>
      </c>
      <c r="AR121" s="538">
        <f>PROFORMA!AS194</f>
        <v>202000</v>
      </c>
      <c r="AS121" s="538">
        <f>PROFORMA!AT194</f>
        <v>0</v>
      </c>
      <c r="AT121" s="582">
        <f t="shared" si="139"/>
        <v>463000</v>
      </c>
      <c r="AU121" s="532">
        <f t="shared" si="140"/>
        <v>463000</v>
      </c>
      <c r="AV121" s="532">
        <f t="shared" si="141"/>
        <v>4149000</v>
      </c>
      <c r="AW121" s="532"/>
      <c r="AX121" s="532">
        <f t="shared" si="90"/>
        <v>4149000</v>
      </c>
    </row>
    <row r="122" spans="1:50" ht="15.6" customHeight="1">
      <c r="A122" s="529">
        <v>120</v>
      </c>
      <c r="B122" s="794"/>
      <c r="C122" s="547" t="s">
        <v>371</v>
      </c>
      <c r="D122" s="548"/>
      <c r="E122" s="538">
        <f>PROFORMA!F195</f>
        <v>0</v>
      </c>
      <c r="F122" s="538">
        <f>PROFORMA!G195</f>
        <v>0</v>
      </c>
      <c r="G122" s="538">
        <f>PROFORMA!H195</f>
        <v>0</v>
      </c>
      <c r="H122" s="538">
        <f>PROFORMA!I195</f>
        <v>0</v>
      </c>
      <c r="I122" s="538">
        <f>PROFORMA!J195</f>
        <v>0</v>
      </c>
      <c r="J122" s="538">
        <f>PROFORMA!K195</f>
        <v>0</v>
      </c>
      <c r="K122" s="538">
        <f>PROFORMA!L195</f>
        <v>0</v>
      </c>
      <c r="L122" s="538">
        <f>PROFORMA!M195</f>
        <v>0</v>
      </c>
      <c r="M122" s="538">
        <f>PROFORMA!N195</f>
        <v>0</v>
      </c>
      <c r="N122" s="538">
        <f>PROFORMA!O195</f>
        <v>0</v>
      </c>
      <c r="O122" s="538">
        <f>PROFORMA!P195</f>
        <v>0</v>
      </c>
      <c r="P122" s="538">
        <f>PROFORMA!Q195</f>
        <v>0</v>
      </c>
      <c r="Q122" s="538">
        <f>PROFORMA!R195</f>
        <v>0</v>
      </c>
      <c r="R122" s="538">
        <f>PROFORMA!S195</f>
        <v>0</v>
      </c>
      <c r="S122" s="538">
        <f>PROFORMA!T195</f>
        <v>0</v>
      </c>
      <c r="T122" s="538">
        <f>PROFORMA!U195</f>
        <v>0</v>
      </c>
      <c r="U122" s="538">
        <f>PROFORMA!V195</f>
        <v>0</v>
      </c>
      <c r="V122" s="538">
        <f>PROFORMA!W195</f>
        <v>0</v>
      </c>
      <c r="W122" s="538">
        <f>PROFORMA!X195</f>
        <v>0</v>
      </c>
      <c r="X122" s="579">
        <f t="shared" si="77"/>
        <v>0</v>
      </c>
      <c r="Y122" s="538">
        <f>PROFORMA!Y195</f>
        <v>0</v>
      </c>
      <c r="Z122" s="538">
        <f>PROFORMA!Z195</f>
        <v>0</v>
      </c>
      <c r="AA122" s="538">
        <f>PROFORMA!AA195</f>
        <v>0</v>
      </c>
      <c r="AB122" s="538">
        <f>PROFORMA!AB195</f>
        <v>0</v>
      </c>
      <c r="AC122" s="538">
        <f>PROFORMA!AC195</f>
        <v>0</v>
      </c>
      <c r="AD122" s="538">
        <f>PROFORMA!AD195</f>
        <v>0</v>
      </c>
      <c r="AE122" s="538">
        <f>PROFORMA!AE195</f>
        <v>0</v>
      </c>
      <c r="AF122" s="538">
        <f>PROFORMA!AG195</f>
        <v>0</v>
      </c>
      <c r="AG122" s="538">
        <f>PROFORMA!AH195</f>
        <v>0</v>
      </c>
      <c r="AH122" s="538">
        <f>PROFORMA!AI195</f>
        <v>0</v>
      </c>
      <c r="AI122" s="538">
        <f>PROFORMA!AJ195</f>
        <v>0</v>
      </c>
      <c r="AJ122" s="538">
        <f>PROFORMA!AK195</f>
        <v>0</v>
      </c>
      <c r="AK122" s="538">
        <f>PROFORMA!AL195</f>
        <v>0</v>
      </c>
      <c r="AL122" s="538">
        <f>PROFORMA!AM195</f>
        <v>0</v>
      </c>
      <c r="AM122" s="538">
        <f>PROFORMA!AN195</f>
        <v>0</v>
      </c>
      <c r="AN122" s="538">
        <f>PROFORMA!AO195</f>
        <v>0</v>
      </c>
      <c r="AO122" s="538">
        <f>PROFORMA!AP195</f>
        <v>0</v>
      </c>
      <c r="AP122" s="538">
        <f>PROFORMA!AQ195</f>
        <v>0</v>
      </c>
      <c r="AQ122" s="538">
        <f>PROFORMA!AR195</f>
        <v>0</v>
      </c>
      <c r="AR122" s="538">
        <f>PROFORMA!AS195</f>
        <v>0</v>
      </c>
      <c r="AS122" s="538">
        <f>PROFORMA!AT195</f>
        <v>0</v>
      </c>
      <c r="AT122" s="582">
        <f t="shared" si="139"/>
        <v>0</v>
      </c>
      <c r="AU122" s="532">
        <f t="shared" si="140"/>
        <v>0</v>
      </c>
      <c r="AV122" s="532">
        <f t="shared" si="141"/>
        <v>0</v>
      </c>
      <c r="AW122" s="532"/>
      <c r="AX122" s="532">
        <f t="shared" si="90"/>
        <v>0</v>
      </c>
    </row>
    <row r="123" spans="1:50" ht="15.6" customHeight="1">
      <c r="A123" s="529">
        <v>121</v>
      </c>
      <c r="B123" s="794"/>
      <c r="C123" s="547" t="s">
        <v>372</v>
      </c>
      <c r="D123" s="548"/>
      <c r="E123" s="538">
        <f>PROFORMA!F196</f>
        <v>0</v>
      </c>
      <c r="F123" s="538">
        <f>PROFORMA!G196</f>
        <v>0</v>
      </c>
      <c r="G123" s="538">
        <f>PROFORMA!H196</f>
        <v>0</v>
      </c>
      <c r="H123" s="538">
        <f>PROFORMA!I196</f>
        <v>0</v>
      </c>
      <c r="I123" s="538">
        <f>PROFORMA!J196</f>
        <v>0</v>
      </c>
      <c r="J123" s="538">
        <f>PROFORMA!K196</f>
        <v>0</v>
      </c>
      <c r="K123" s="538">
        <f>PROFORMA!L196</f>
        <v>0</v>
      </c>
      <c r="L123" s="538">
        <f>PROFORMA!M196</f>
        <v>0</v>
      </c>
      <c r="M123" s="538">
        <f>PROFORMA!N196</f>
        <v>0</v>
      </c>
      <c r="N123" s="538">
        <f>PROFORMA!O196</f>
        <v>0</v>
      </c>
      <c r="O123" s="538">
        <f>PROFORMA!P196</f>
        <v>0</v>
      </c>
      <c r="P123" s="538">
        <f>PROFORMA!Q196</f>
        <v>0</v>
      </c>
      <c r="Q123" s="538">
        <f>PROFORMA!R196</f>
        <v>0</v>
      </c>
      <c r="R123" s="538">
        <f>PROFORMA!S196</f>
        <v>0</v>
      </c>
      <c r="S123" s="538">
        <f>PROFORMA!T196</f>
        <v>0</v>
      </c>
      <c r="T123" s="538">
        <f>PROFORMA!U196</f>
        <v>0</v>
      </c>
      <c r="U123" s="538">
        <f>PROFORMA!V196</f>
        <v>0</v>
      </c>
      <c r="V123" s="538">
        <f>PROFORMA!W196</f>
        <v>0</v>
      </c>
      <c r="W123" s="538">
        <f>PROFORMA!X196</f>
        <v>0</v>
      </c>
      <c r="X123" s="579">
        <f t="shared" si="77"/>
        <v>0</v>
      </c>
      <c r="Y123" s="538">
        <f>PROFORMA!Y196</f>
        <v>0</v>
      </c>
      <c r="Z123" s="538">
        <f>PROFORMA!Z196</f>
        <v>0</v>
      </c>
      <c r="AA123" s="538">
        <f>PROFORMA!AA196</f>
        <v>0</v>
      </c>
      <c r="AB123" s="538">
        <f>PROFORMA!AB196</f>
        <v>0</v>
      </c>
      <c r="AC123" s="538">
        <f>PROFORMA!AC196</f>
        <v>0</v>
      </c>
      <c r="AD123" s="538">
        <f>PROFORMA!AD196</f>
        <v>0</v>
      </c>
      <c r="AE123" s="538">
        <f>PROFORMA!AE196</f>
        <v>0</v>
      </c>
      <c r="AF123" s="538">
        <f>PROFORMA!AG196</f>
        <v>0</v>
      </c>
      <c r="AG123" s="538">
        <f>PROFORMA!AH196</f>
        <v>0</v>
      </c>
      <c r="AH123" s="538">
        <f>PROFORMA!AI196</f>
        <v>0</v>
      </c>
      <c r="AI123" s="538">
        <f>PROFORMA!AJ196</f>
        <v>0</v>
      </c>
      <c r="AJ123" s="538">
        <f>PROFORMA!AK196</f>
        <v>0</v>
      </c>
      <c r="AK123" s="538">
        <f>PROFORMA!AL196</f>
        <v>0</v>
      </c>
      <c r="AL123" s="538">
        <f>PROFORMA!AM196</f>
        <v>0</v>
      </c>
      <c r="AM123" s="538">
        <f>PROFORMA!AN196</f>
        <v>0</v>
      </c>
      <c r="AN123" s="538">
        <f>PROFORMA!AO196</f>
        <v>0</v>
      </c>
      <c r="AO123" s="538">
        <f>PROFORMA!AP196</f>
        <v>0</v>
      </c>
      <c r="AP123" s="538">
        <f>PROFORMA!AQ196</f>
        <v>0</v>
      </c>
      <c r="AQ123" s="538">
        <f>PROFORMA!AR196</f>
        <v>0</v>
      </c>
      <c r="AR123" s="538">
        <f>PROFORMA!AS196</f>
        <v>0</v>
      </c>
      <c r="AS123" s="538">
        <f>PROFORMA!AT196</f>
        <v>0</v>
      </c>
      <c r="AT123" s="582">
        <f t="shared" si="139"/>
        <v>0</v>
      </c>
      <c r="AU123" s="532">
        <f t="shared" si="140"/>
        <v>0</v>
      </c>
      <c r="AV123" s="532">
        <f t="shared" si="141"/>
        <v>0</v>
      </c>
      <c r="AW123" s="532"/>
      <c r="AX123" s="532">
        <f t="shared" si="90"/>
        <v>0</v>
      </c>
    </row>
    <row r="124" spans="1:50" ht="15.6" customHeight="1">
      <c r="A124" s="529">
        <v>122</v>
      </c>
      <c r="B124" s="794"/>
      <c r="C124" s="547" t="s">
        <v>373</v>
      </c>
      <c r="D124" s="548"/>
      <c r="E124" s="538">
        <f>PROFORMA!F197</f>
        <v>0</v>
      </c>
      <c r="F124" s="538">
        <f>PROFORMA!G197</f>
        <v>0</v>
      </c>
      <c r="G124" s="538">
        <f>PROFORMA!H197</f>
        <v>0</v>
      </c>
      <c r="H124" s="538">
        <f>PROFORMA!I197</f>
        <v>0</v>
      </c>
      <c r="I124" s="538">
        <f>PROFORMA!J197</f>
        <v>0</v>
      </c>
      <c r="J124" s="538">
        <f>PROFORMA!K197</f>
        <v>0</v>
      </c>
      <c r="K124" s="538">
        <f>PROFORMA!L197</f>
        <v>0</v>
      </c>
      <c r="L124" s="538">
        <f>PROFORMA!M197</f>
        <v>0</v>
      </c>
      <c r="M124" s="538">
        <f>PROFORMA!N197</f>
        <v>0</v>
      </c>
      <c r="N124" s="538">
        <f>PROFORMA!O197</f>
        <v>0</v>
      </c>
      <c r="O124" s="538">
        <f>PROFORMA!P197</f>
        <v>0</v>
      </c>
      <c r="P124" s="538">
        <f>PROFORMA!Q197</f>
        <v>0</v>
      </c>
      <c r="Q124" s="538">
        <f>PROFORMA!R197</f>
        <v>0</v>
      </c>
      <c r="R124" s="538">
        <f>PROFORMA!S197</f>
        <v>0</v>
      </c>
      <c r="S124" s="538">
        <f>PROFORMA!T197</f>
        <v>0</v>
      </c>
      <c r="T124" s="538">
        <f>PROFORMA!U197</f>
        <v>0</v>
      </c>
      <c r="U124" s="538">
        <f>PROFORMA!V197</f>
        <v>0</v>
      </c>
      <c r="V124" s="538">
        <f>PROFORMA!W197</f>
        <v>0</v>
      </c>
      <c r="W124" s="538">
        <f>PROFORMA!X197</f>
        <v>0</v>
      </c>
      <c r="X124" s="579">
        <f t="shared" si="77"/>
        <v>0</v>
      </c>
      <c r="Y124" s="538">
        <f>PROFORMA!Y197</f>
        <v>0</v>
      </c>
      <c r="Z124" s="538">
        <f>PROFORMA!Z197</f>
        <v>0</v>
      </c>
      <c r="AA124" s="538">
        <f>PROFORMA!AA197</f>
        <v>0</v>
      </c>
      <c r="AB124" s="538">
        <f>PROFORMA!AB197</f>
        <v>0</v>
      </c>
      <c r="AC124" s="538">
        <f>PROFORMA!AC197</f>
        <v>0</v>
      </c>
      <c r="AD124" s="538">
        <f>PROFORMA!AD197</f>
        <v>0</v>
      </c>
      <c r="AE124" s="538">
        <f>PROFORMA!AE197</f>
        <v>0</v>
      </c>
      <c r="AF124" s="538">
        <f>PROFORMA!AG197</f>
        <v>0</v>
      </c>
      <c r="AG124" s="538">
        <f>PROFORMA!AH197</f>
        <v>0</v>
      </c>
      <c r="AH124" s="538">
        <f>PROFORMA!AI197</f>
        <v>0</v>
      </c>
      <c r="AI124" s="538">
        <f>PROFORMA!AJ197</f>
        <v>0</v>
      </c>
      <c r="AJ124" s="538">
        <f>PROFORMA!AK197</f>
        <v>0</v>
      </c>
      <c r="AK124" s="538">
        <f>PROFORMA!AL197</f>
        <v>0</v>
      </c>
      <c r="AL124" s="538">
        <f>PROFORMA!AM197</f>
        <v>0</v>
      </c>
      <c r="AM124" s="538">
        <f>PROFORMA!AN197</f>
        <v>0</v>
      </c>
      <c r="AN124" s="538">
        <f>PROFORMA!AO197</f>
        <v>0</v>
      </c>
      <c r="AO124" s="538">
        <f>PROFORMA!AP197</f>
        <v>0</v>
      </c>
      <c r="AP124" s="538">
        <f>PROFORMA!AQ197</f>
        <v>0</v>
      </c>
      <c r="AQ124" s="538">
        <f>PROFORMA!AR197</f>
        <v>0</v>
      </c>
      <c r="AR124" s="538">
        <f>PROFORMA!AS197</f>
        <v>0</v>
      </c>
      <c r="AS124" s="538">
        <f>PROFORMA!AT197</f>
        <v>0</v>
      </c>
      <c r="AT124" s="582">
        <f t="shared" si="139"/>
        <v>0</v>
      </c>
      <c r="AU124" s="532">
        <f t="shared" si="140"/>
        <v>0</v>
      </c>
      <c r="AV124" s="532">
        <f t="shared" si="141"/>
        <v>0</v>
      </c>
      <c r="AW124" s="532"/>
      <c r="AX124" s="532">
        <f t="shared" si="90"/>
        <v>0</v>
      </c>
    </row>
    <row r="125" spans="1:50" ht="15.6" customHeight="1">
      <c r="A125" s="529">
        <v>123</v>
      </c>
      <c r="B125" s="794"/>
      <c r="C125" s="547" t="s">
        <v>374</v>
      </c>
      <c r="D125" s="548"/>
      <c r="E125" s="538">
        <f>PROFORMA!F198</f>
        <v>41000</v>
      </c>
      <c r="F125" s="538">
        <f>PROFORMA!G198</f>
        <v>0</v>
      </c>
      <c r="G125" s="538">
        <f>PROFORMA!H198</f>
        <v>0</v>
      </c>
      <c r="H125" s="538">
        <f>PROFORMA!I198</f>
        <v>0</v>
      </c>
      <c r="I125" s="538">
        <f>PROFORMA!J198</f>
        <v>0</v>
      </c>
      <c r="J125" s="538">
        <f>PROFORMA!K198</f>
        <v>0</v>
      </c>
      <c r="K125" s="538">
        <f>PROFORMA!L198</f>
        <v>0</v>
      </c>
      <c r="L125" s="538">
        <f>PROFORMA!M198</f>
        <v>0</v>
      </c>
      <c r="M125" s="538">
        <f>PROFORMA!N198</f>
        <v>0</v>
      </c>
      <c r="N125" s="538">
        <f>PROFORMA!O198</f>
        <v>0</v>
      </c>
      <c r="O125" s="538">
        <f>PROFORMA!P198</f>
        <v>0</v>
      </c>
      <c r="P125" s="538">
        <f>PROFORMA!Q198</f>
        <v>0</v>
      </c>
      <c r="Q125" s="538">
        <f>PROFORMA!R198</f>
        <v>0</v>
      </c>
      <c r="R125" s="538">
        <f>PROFORMA!S198</f>
        <v>0</v>
      </c>
      <c r="S125" s="538">
        <f>PROFORMA!T198</f>
        <v>0</v>
      </c>
      <c r="T125" s="538">
        <f>PROFORMA!U198</f>
        <v>0</v>
      </c>
      <c r="U125" s="538">
        <f>PROFORMA!V198</f>
        <v>0</v>
      </c>
      <c r="V125" s="538">
        <f>PROFORMA!W198</f>
        <v>0</v>
      </c>
      <c r="W125" s="538">
        <f>PROFORMA!X198</f>
        <v>0</v>
      </c>
      <c r="X125" s="579">
        <f t="shared" si="77"/>
        <v>0</v>
      </c>
      <c r="Y125" s="538">
        <f>PROFORMA!Y198</f>
        <v>0</v>
      </c>
      <c r="Z125" s="538">
        <f>PROFORMA!Z198</f>
        <v>0</v>
      </c>
      <c r="AA125" s="538">
        <f>PROFORMA!AA198</f>
        <v>0</v>
      </c>
      <c r="AB125" s="538">
        <f>PROFORMA!AB198</f>
        <v>0</v>
      </c>
      <c r="AC125" s="538">
        <f>PROFORMA!AC198</f>
        <v>0</v>
      </c>
      <c r="AD125" s="538">
        <f>PROFORMA!AD198</f>
        <v>0</v>
      </c>
      <c r="AE125" s="538">
        <f>PROFORMA!AE198</f>
        <v>0</v>
      </c>
      <c r="AF125" s="538">
        <f>PROFORMA!AG198</f>
        <v>0</v>
      </c>
      <c r="AG125" s="538">
        <f>PROFORMA!AH198</f>
        <v>0</v>
      </c>
      <c r="AH125" s="538">
        <f>PROFORMA!AI198</f>
        <v>0</v>
      </c>
      <c r="AI125" s="538">
        <f>PROFORMA!AJ198</f>
        <v>0</v>
      </c>
      <c r="AJ125" s="538">
        <f>PROFORMA!AK198</f>
        <v>0</v>
      </c>
      <c r="AK125" s="538">
        <f>PROFORMA!AL198</f>
        <v>0</v>
      </c>
      <c r="AL125" s="538">
        <f>PROFORMA!AM198</f>
        <v>2000</v>
      </c>
      <c r="AM125" s="538">
        <f>PROFORMA!AN198</f>
        <v>-1000</v>
      </c>
      <c r="AN125" s="538">
        <f>PROFORMA!AO198</f>
        <v>2000</v>
      </c>
      <c r="AO125" s="538">
        <f>PROFORMA!AP198</f>
        <v>0</v>
      </c>
      <c r="AP125" s="538">
        <f>PROFORMA!AQ198</f>
        <v>0</v>
      </c>
      <c r="AQ125" s="538">
        <f>PROFORMA!AR198</f>
        <v>0</v>
      </c>
      <c r="AR125" s="538">
        <f>PROFORMA!AS198</f>
        <v>2000</v>
      </c>
      <c r="AS125" s="538">
        <f>PROFORMA!AT198</f>
        <v>0</v>
      </c>
      <c r="AT125" s="582">
        <f t="shared" si="139"/>
        <v>5000</v>
      </c>
      <c r="AU125" s="532">
        <f t="shared" si="140"/>
        <v>5000</v>
      </c>
      <c r="AV125" s="532">
        <f t="shared" si="141"/>
        <v>46000</v>
      </c>
      <c r="AW125" s="532"/>
      <c r="AX125" s="532">
        <f t="shared" si="90"/>
        <v>46000</v>
      </c>
    </row>
    <row r="126" spans="1:50" ht="15.6" customHeight="1">
      <c r="A126" s="529">
        <v>124</v>
      </c>
      <c r="B126" s="794"/>
      <c r="C126" s="547" t="s">
        <v>365</v>
      </c>
      <c r="D126" s="548"/>
      <c r="E126" s="574">
        <f>PROFORMA!F199</f>
        <v>0</v>
      </c>
      <c r="F126" s="574">
        <f>PROFORMA!G199</f>
        <v>0</v>
      </c>
      <c r="G126" s="574">
        <f>PROFORMA!H199</f>
        <v>0</v>
      </c>
      <c r="H126" s="574">
        <f>PROFORMA!I199</f>
        <v>0</v>
      </c>
      <c r="I126" s="574">
        <f>PROFORMA!J199</f>
        <v>0</v>
      </c>
      <c r="J126" s="574">
        <f>PROFORMA!K199</f>
        <v>0</v>
      </c>
      <c r="K126" s="574">
        <f>PROFORMA!L199</f>
        <v>0</v>
      </c>
      <c r="L126" s="574">
        <f>PROFORMA!M199</f>
        <v>0</v>
      </c>
      <c r="M126" s="574">
        <f>PROFORMA!N199</f>
        <v>0</v>
      </c>
      <c r="N126" s="574">
        <f>PROFORMA!O199</f>
        <v>0</v>
      </c>
      <c r="O126" s="574">
        <f>PROFORMA!P199</f>
        <v>0</v>
      </c>
      <c r="P126" s="574">
        <f>PROFORMA!Q199</f>
        <v>0</v>
      </c>
      <c r="Q126" s="574">
        <f>PROFORMA!R199</f>
        <v>-11000</v>
      </c>
      <c r="R126" s="574">
        <f>PROFORMA!S199</f>
        <v>0</v>
      </c>
      <c r="S126" s="574">
        <f>PROFORMA!T199</f>
        <v>0</v>
      </c>
      <c r="T126" s="574">
        <f>PROFORMA!U199</f>
        <v>0</v>
      </c>
      <c r="U126" s="574">
        <f>PROFORMA!V199</f>
        <v>0</v>
      </c>
      <c r="V126" s="574">
        <f>PROFORMA!W199</f>
        <v>0</v>
      </c>
      <c r="W126" s="574">
        <f>PROFORMA!X199</f>
        <v>0</v>
      </c>
      <c r="X126" s="580">
        <f t="shared" si="77"/>
        <v>-11000</v>
      </c>
      <c r="Y126" s="574">
        <f>PROFORMA!Y199</f>
        <v>0</v>
      </c>
      <c r="Z126" s="574">
        <f>PROFORMA!Z199</f>
        <v>0</v>
      </c>
      <c r="AA126" s="574">
        <f>PROFORMA!AA199</f>
        <v>0</v>
      </c>
      <c r="AB126" s="574">
        <f>PROFORMA!AB199</f>
        <v>0</v>
      </c>
      <c r="AC126" s="574">
        <f>PROFORMA!AC199</f>
        <v>0</v>
      </c>
      <c r="AD126" s="574">
        <f>PROFORMA!AD199</f>
        <v>0</v>
      </c>
      <c r="AE126" s="574">
        <f>PROFORMA!AE199</f>
        <v>0</v>
      </c>
      <c r="AF126" s="574">
        <f>PROFORMA!AG199</f>
        <v>0</v>
      </c>
      <c r="AG126" s="574">
        <f>PROFORMA!AH199</f>
        <v>0</v>
      </c>
      <c r="AH126" s="574">
        <f>PROFORMA!AI199</f>
        <v>0</v>
      </c>
      <c r="AI126" s="574">
        <f>PROFORMA!AJ199</f>
        <v>0</v>
      </c>
      <c r="AJ126" s="574">
        <f>PROFORMA!AK199</f>
        <v>0</v>
      </c>
      <c r="AK126" s="574">
        <f>PROFORMA!AL199</f>
        <v>0</v>
      </c>
      <c r="AL126" s="574">
        <f>PROFORMA!AM199</f>
        <v>0</v>
      </c>
      <c r="AM126" s="574">
        <f>PROFORMA!AN199</f>
        <v>0</v>
      </c>
      <c r="AN126" s="574">
        <f>PROFORMA!AO199</f>
        <v>0</v>
      </c>
      <c r="AO126" s="574">
        <f>PROFORMA!AP199</f>
        <v>0</v>
      </c>
      <c r="AP126" s="574">
        <f>PROFORMA!AQ199</f>
        <v>0</v>
      </c>
      <c r="AQ126" s="574">
        <f>PROFORMA!AR199</f>
        <v>0</v>
      </c>
      <c r="AR126" s="574">
        <f>PROFORMA!AS199</f>
        <v>0</v>
      </c>
      <c r="AS126" s="574">
        <f>PROFORMA!AT199</f>
        <v>0</v>
      </c>
      <c r="AT126" s="583">
        <f t="shared" si="139"/>
        <v>0</v>
      </c>
      <c r="AU126" s="581">
        <f t="shared" si="140"/>
        <v>-11000</v>
      </c>
      <c r="AV126" s="581">
        <f t="shared" si="141"/>
        <v>-11000</v>
      </c>
      <c r="AW126" s="581"/>
      <c r="AX126" s="581">
        <f t="shared" si="90"/>
        <v>-11000</v>
      </c>
    </row>
    <row r="127" spans="1:50" ht="31.5">
      <c r="A127" s="529">
        <v>125</v>
      </c>
      <c r="B127" s="501"/>
      <c r="C127" s="561" t="s">
        <v>1163</v>
      </c>
      <c r="D127" s="559"/>
      <c r="E127" s="552">
        <f>SUM(E114:E126)</f>
        <v>16440000</v>
      </c>
      <c r="F127" s="552">
        <f t="shared" ref="F127" si="142">SUM(F114:F126)</f>
        <v>0</v>
      </c>
      <c r="G127" s="552">
        <f t="shared" ref="G127:W127" si="143">SUM(G114:G126)</f>
        <v>0</v>
      </c>
      <c r="H127" s="552">
        <f t="shared" si="143"/>
        <v>0</v>
      </c>
      <c r="I127" s="552">
        <f t="shared" si="143"/>
        <v>0</v>
      </c>
      <c r="J127" s="552">
        <f t="shared" si="143"/>
        <v>0</v>
      </c>
      <c r="K127" s="552">
        <f t="shared" si="143"/>
        <v>0</v>
      </c>
      <c r="L127" s="552">
        <f t="shared" si="143"/>
        <v>0</v>
      </c>
      <c r="M127" s="552">
        <f t="shared" si="143"/>
        <v>0</v>
      </c>
      <c r="N127" s="552">
        <f t="shared" si="143"/>
        <v>0</v>
      </c>
      <c r="O127" s="552">
        <f t="shared" si="143"/>
        <v>0</v>
      </c>
      <c r="P127" s="552">
        <f t="shared" si="143"/>
        <v>0</v>
      </c>
      <c r="Q127" s="552">
        <f t="shared" si="143"/>
        <v>-11000</v>
      </c>
      <c r="R127" s="552">
        <f t="shared" si="143"/>
        <v>0</v>
      </c>
      <c r="S127" s="552">
        <f t="shared" si="143"/>
        <v>0</v>
      </c>
      <c r="T127" s="552">
        <f t="shared" si="143"/>
        <v>0</v>
      </c>
      <c r="U127" s="552">
        <f t="shared" si="143"/>
        <v>0</v>
      </c>
      <c r="V127" s="552">
        <f t="shared" si="143"/>
        <v>0</v>
      </c>
      <c r="W127" s="552">
        <f t="shared" si="143"/>
        <v>0</v>
      </c>
      <c r="X127" s="579">
        <f t="shared" si="77"/>
        <v>-11000</v>
      </c>
      <c r="Y127" s="552">
        <f t="shared" ref="Y127:AX127" si="144">SUM(Y114:Y126)</f>
        <v>0</v>
      </c>
      <c r="Z127" s="552">
        <f t="shared" ref="Z127:AF127" si="145">SUM(Z114:Z126)</f>
        <v>0</v>
      </c>
      <c r="AA127" s="552">
        <f t="shared" si="145"/>
        <v>0</v>
      </c>
      <c r="AB127" s="552">
        <f t="shared" si="145"/>
        <v>0</v>
      </c>
      <c r="AC127" s="552">
        <f t="shared" si="145"/>
        <v>0</v>
      </c>
      <c r="AD127" s="552">
        <f t="shared" si="145"/>
        <v>0</v>
      </c>
      <c r="AE127" s="552">
        <f t="shared" si="145"/>
        <v>0</v>
      </c>
      <c r="AF127" s="552">
        <f t="shared" si="145"/>
        <v>0</v>
      </c>
      <c r="AG127" s="552">
        <f t="shared" ref="AG127:AQ127" si="146">SUM(AG114:AG126)</f>
        <v>0</v>
      </c>
      <c r="AH127" s="552">
        <f t="shared" si="146"/>
        <v>0</v>
      </c>
      <c r="AI127" s="552">
        <f t="shared" si="146"/>
        <v>0</v>
      </c>
      <c r="AJ127" s="552">
        <f t="shared" si="146"/>
        <v>0</v>
      </c>
      <c r="AK127" s="552">
        <f t="shared" si="146"/>
        <v>0</v>
      </c>
      <c r="AL127" s="552">
        <f t="shared" si="146"/>
        <v>633000</v>
      </c>
      <c r="AM127" s="552">
        <f t="shared" si="146"/>
        <v>-434000</v>
      </c>
      <c r="AN127" s="552">
        <f t="shared" si="146"/>
        <v>963000</v>
      </c>
      <c r="AO127" s="552">
        <f t="shared" si="146"/>
        <v>0</v>
      </c>
      <c r="AP127" s="552">
        <f t="shared" si="146"/>
        <v>0</v>
      </c>
      <c r="AQ127" s="552">
        <f t="shared" si="146"/>
        <v>0</v>
      </c>
      <c r="AR127" s="552">
        <f t="shared" ref="AR127:AS127" si="147">SUM(AR114:AR126)</f>
        <v>903000</v>
      </c>
      <c r="AS127" s="552">
        <f t="shared" si="147"/>
        <v>0</v>
      </c>
      <c r="AT127" s="552">
        <f t="shared" si="144"/>
        <v>2065000</v>
      </c>
      <c r="AU127" s="552">
        <f t="shared" si="144"/>
        <v>2054000</v>
      </c>
      <c r="AV127" s="552">
        <f t="shared" si="144"/>
        <v>18494000</v>
      </c>
      <c r="AW127" s="552">
        <f t="shared" si="144"/>
        <v>0</v>
      </c>
      <c r="AX127" s="552">
        <f t="shared" si="144"/>
        <v>18494000</v>
      </c>
    </row>
    <row r="128" spans="1:50">
      <c r="A128" s="529">
        <v>126</v>
      </c>
      <c r="B128" s="794" t="s">
        <v>71</v>
      </c>
      <c r="C128" s="547" t="s">
        <v>358</v>
      </c>
      <c r="D128" s="548"/>
      <c r="E128" s="538">
        <f>PROFORMA!F203</f>
        <v>10000</v>
      </c>
      <c r="F128" s="538">
        <f>PROFORMA!G203</f>
        <v>0</v>
      </c>
      <c r="G128" s="538">
        <f>PROFORMA!H203</f>
        <v>0</v>
      </c>
      <c r="H128" s="538">
        <f>PROFORMA!I203</f>
        <v>0</v>
      </c>
      <c r="I128" s="538">
        <f>PROFORMA!J203</f>
        <v>0</v>
      </c>
      <c r="J128" s="538">
        <f>PROFORMA!K203</f>
        <v>0</v>
      </c>
      <c r="K128" s="538">
        <f>PROFORMA!L203</f>
        <v>0</v>
      </c>
      <c r="L128" s="538">
        <f>PROFORMA!M203</f>
        <v>0</v>
      </c>
      <c r="M128" s="538">
        <f>PROFORMA!N203</f>
        <v>0</v>
      </c>
      <c r="N128" s="538">
        <f>PROFORMA!O203</f>
        <v>0</v>
      </c>
      <c r="O128" s="538">
        <f>PROFORMA!P203</f>
        <v>0</v>
      </c>
      <c r="P128" s="538">
        <f>PROFORMA!Q203</f>
        <v>0</v>
      </c>
      <c r="Q128" s="538">
        <f>PROFORMA!R203</f>
        <v>0</v>
      </c>
      <c r="R128" s="538">
        <f>PROFORMA!S203</f>
        <v>0</v>
      </c>
      <c r="S128" s="538">
        <f>PROFORMA!T203</f>
        <v>0</v>
      </c>
      <c r="T128" s="538">
        <f>PROFORMA!U203</f>
        <v>0</v>
      </c>
      <c r="U128" s="538">
        <f>PROFORMA!V203</f>
        <v>0</v>
      </c>
      <c r="V128" s="538">
        <f>PROFORMA!W203</f>
        <v>0</v>
      </c>
      <c r="W128" s="538">
        <f>PROFORMA!X203</f>
        <v>0</v>
      </c>
      <c r="X128" s="579">
        <f t="shared" si="77"/>
        <v>0</v>
      </c>
      <c r="Y128" s="538">
        <f>PROFORMA!Y203</f>
        <v>0</v>
      </c>
      <c r="Z128" s="538">
        <f>PROFORMA!Z203</f>
        <v>0</v>
      </c>
      <c r="AA128" s="538">
        <f>PROFORMA!AA203</f>
        <v>0</v>
      </c>
      <c r="AB128" s="538">
        <f>PROFORMA!AB203</f>
        <v>0</v>
      </c>
      <c r="AC128" s="538">
        <f>PROFORMA!AC203</f>
        <v>0</v>
      </c>
      <c r="AD128" s="538">
        <f>PROFORMA!AD203</f>
        <v>0</v>
      </c>
      <c r="AE128" s="538">
        <f>PROFORMA!AE203</f>
        <v>0</v>
      </c>
      <c r="AF128" s="538">
        <f>PROFORMA!AG203</f>
        <v>0</v>
      </c>
      <c r="AG128" s="538">
        <f>PROFORMA!AH203</f>
        <v>0</v>
      </c>
      <c r="AH128" s="538">
        <f>PROFORMA!AI203</f>
        <v>0</v>
      </c>
      <c r="AI128" s="538">
        <f>PROFORMA!AJ203</f>
        <v>0</v>
      </c>
      <c r="AJ128" s="538">
        <f>PROFORMA!AK203</f>
        <v>0</v>
      </c>
      <c r="AK128" s="538">
        <f>PROFORMA!AL203</f>
        <v>0</v>
      </c>
      <c r="AL128" s="538">
        <f>PROFORMA!AM203</f>
        <v>1000</v>
      </c>
      <c r="AM128" s="538">
        <f>PROFORMA!AN203</f>
        <v>-1000</v>
      </c>
      <c r="AN128" s="538">
        <f>PROFORMA!AO203</f>
        <v>2000</v>
      </c>
      <c r="AO128" s="538">
        <f>PROFORMA!AP203</f>
        <v>0</v>
      </c>
      <c r="AP128" s="538">
        <f>PROFORMA!AQ203</f>
        <v>0</v>
      </c>
      <c r="AQ128" s="538">
        <f>PROFORMA!AR203</f>
        <v>0</v>
      </c>
      <c r="AR128" s="538">
        <f>PROFORMA!AS203</f>
        <v>2000</v>
      </c>
      <c r="AS128" s="538">
        <f>PROFORMA!AT203</f>
        <v>0</v>
      </c>
      <c r="AT128" s="582">
        <f t="shared" ref="AT128:AT137" si="148">SUM(Y128:AS128)</f>
        <v>4000</v>
      </c>
      <c r="AU128" s="532">
        <f t="shared" ref="AU128:AU137" si="149">X128+AT128</f>
        <v>4000</v>
      </c>
      <c r="AV128" s="532">
        <f t="shared" ref="AV128:AV137" si="150">E128+AU128</f>
        <v>14000</v>
      </c>
      <c r="AW128" s="532"/>
      <c r="AX128" s="532">
        <f t="shared" si="90"/>
        <v>14000</v>
      </c>
    </row>
    <row r="129" spans="1:50" ht="31.5">
      <c r="A129" s="529">
        <v>127</v>
      </c>
      <c r="B129" s="794"/>
      <c r="C129" s="547" t="s">
        <v>359</v>
      </c>
      <c r="D129" s="548"/>
      <c r="E129" s="538">
        <f>PROFORMA!F204</f>
        <v>1418000</v>
      </c>
      <c r="F129" s="538">
        <f>PROFORMA!G204</f>
        <v>0</v>
      </c>
      <c r="G129" s="538">
        <f>PROFORMA!H204</f>
        <v>0</v>
      </c>
      <c r="H129" s="538">
        <f>PROFORMA!I204</f>
        <v>0</v>
      </c>
      <c r="I129" s="538">
        <f>PROFORMA!J204</f>
        <v>0</v>
      </c>
      <c r="J129" s="538">
        <f>PROFORMA!K204</f>
        <v>0</v>
      </c>
      <c r="K129" s="538">
        <f>PROFORMA!L204</f>
        <v>0</v>
      </c>
      <c r="L129" s="538">
        <f>PROFORMA!M204</f>
        <v>0</v>
      </c>
      <c r="M129" s="538">
        <f>PROFORMA!N204</f>
        <v>0</v>
      </c>
      <c r="N129" s="538">
        <f>PROFORMA!O204</f>
        <v>0</v>
      </c>
      <c r="O129" s="538">
        <f>PROFORMA!P204</f>
        <v>0</v>
      </c>
      <c r="P129" s="538">
        <f>PROFORMA!Q204</f>
        <v>0</v>
      </c>
      <c r="Q129" s="538">
        <f>PROFORMA!R204</f>
        <v>0</v>
      </c>
      <c r="R129" s="538">
        <f>PROFORMA!S204</f>
        <v>0</v>
      </c>
      <c r="S129" s="538">
        <f>PROFORMA!T204</f>
        <v>0</v>
      </c>
      <c r="T129" s="538">
        <f>PROFORMA!U204</f>
        <v>0</v>
      </c>
      <c r="U129" s="538">
        <f>PROFORMA!V204</f>
        <v>0</v>
      </c>
      <c r="V129" s="538">
        <f>PROFORMA!W204</f>
        <v>0</v>
      </c>
      <c r="W129" s="538">
        <f>PROFORMA!X204</f>
        <v>0</v>
      </c>
      <c r="X129" s="579">
        <f t="shared" si="77"/>
        <v>0</v>
      </c>
      <c r="Y129" s="538">
        <f>PROFORMA!Y204</f>
        <v>0</v>
      </c>
      <c r="Z129" s="538">
        <f>PROFORMA!Z204</f>
        <v>0</v>
      </c>
      <c r="AA129" s="538">
        <f>PROFORMA!AA204</f>
        <v>0</v>
      </c>
      <c r="AB129" s="538">
        <f>PROFORMA!AB204</f>
        <v>0</v>
      </c>
      <c r="AC129" s="538">
        <f>PROFORMA!AC204</f>
        <v>0</v>
      </c>
      <c r="AD129" s="538">
        <f>PROFORMA!AD204</f>
        <v>0</v>
      </c>
      <c r="AE129" s="538">
        <f>PROFORMA!AE204</f>
        <v>0</v>
      </c>
      <c r="AF129" s="538">
        <f>PROFORMA!AG204</f>
        <v>0</v>
      </c>
      <c r="AG129" s="538">
        <f>PROFORMA!AH204</f>
        <v>0</v>
      </c>
      <c r="AH129" s="538">
        <f>PROFORMA!AI204</f>
        <v>0</v>
      </c>
      <c r="AI129" s="538">
        <f>PROFORMA!AJ204</f>
        <v>0</v>
      </c>
      <c r="AJ129" s="538">
        <f>PROFORMA!AK204</f>
        <v>0</v>
      </c>
      <c r="AK129" s="538">
        <f>PROFORMA!AL204</f>
        <v>0</v>
      </c>
      <c r="AL129" s="538">
        <f>PROFORMA!AM204</f>
        <v>172000</v>
      </c>
      <c r="AM129" s="538">
        <f>PROFORMA!AN204</f>
        <v>-128000</v>
      </c>
      <c r="AN129" s="538">
        <f>PROFORMA!AO204</f>
        <v>267000</v>
      </c>
      <c r="AO129" s="538">
        <f>PROFORMA!AP204</f>
        <v>0</v>
      </c>
      <c r="AP129" s="538">
        <f>PROFORMA!AQ204</f>
        <v>0</v>
      </c>
      <c r="AQ129" s="538">
        <f>PROFORMA!AR204</f>
        <v>0</v>
      </c>
      <c r="AR129" s="538">
        <f>PROFORMA!AS204</f>
        <v>343000</v>
      </c>
      <c r="AS129" s="538">
        <f>PROFORMA!AT204</f>
        <v>0</v>
      </c>
      <c r="AT129" s="582">
        <f t="shared" si="148"/>
        <v>654000</v>
      </c>
      <c r="AU129" s="532">
        <f t="shared" si="149"/>
        <v>654000</v>
      </c>
      <c r="AV129" s="532">
        <f t="shared" si="150"/>
        <v>2072000</v>
      </c>
      <c r="AW129" s="532"/>
      <c r="AX129" s="532">
        <f t="shared" si="90"/>
        <v>2072000</v>
      </c>
    </row>
    <row r="130" spans="1:50" ht="31.5">
      <c r="A130" s="529">
        <v>128</v>
      </c>
      <c r="B130" s="794"/>
      <c r="C130" s="547" t="s">
        <v>375</v>
      </c>
      <c r="D130" s="548"/>
      <c r="E130" s="538">
        <f>PROFORMA!F205</f>
        <v>1983000</v>
      </c>
      <c r="F130" s="538">
        <f>PROFORMA!G205</f>
        <v>0</v>
      </c>
      <c r="G130" s="538">
        <f>PROFORMA!H205</f>
        <v>0</v>
      </c>
      <c r="H130" s="538">
        <f>PROFORMA!I205</f>
        <v>0</v>
      </c>
      <c r="I130" s="538">
        <f>PROFORMA!J205</f>
        <v>0</v>
      </c>
      <c r="J130" s="538">
        <f>PROFORMA!K205</f>
        <v>0</v>
      </c>
      <c r="K130" s="538">
        <f>PROFORMA!L205</f>
        <v>0</v>
      </c>
      <c r="L130" s="538">
        <f>PROFORMA!M205</f>
        <v>0</v>
      </c>
      <c r="M130" s="538">
        <f>PROFORMA!N205</f>
        <v>0</v>
      </c>
      <c r="N130" s="538">
        <f>PROFORMA!O205</f>
        <v>0</v>
      </c>
      <c r="O130" s="538">
        <f>PROFORMA!P205</f>
        <v>0</v>
      </c>
      <c r="P130" s="538">
        <f>PROFORMA!Q205</f>
        <v>0</v>
      </c>
      <c r="Q130" s="538">
        <f>PROFORMA!R205</f>
        <v>0</v>
      </c>
      <c r="R130" s="538">
        <f>PROFORMA!S205</f>
        <v>0</v>
      </c>
      <c r="S130" s="538">
        <f>PROFORMA!T205</f>
        <v>0</v>
      </c>
      <c r="T130" s="538">
        <f>PROFORMA!U205</f>
        <v>0</v>
      </c>
      <c r="U130" s="538">
        <f>PROFORMA!V205</f>
        <v>0</v>
      </c>
      <c r="V130" s="538">
        <f>PROFORMA!W205</f>
        <v>0</v>
      </c>
      <c r="W130" s="538">
        <f>PROFORMA!X205</f>
        <v>0</v>
      </c>
      <c r="X130" s="579">
        <f t="shared" si="77"/>
        <v>0</v>
      </c>
      <c r="Y130" s="538">
        <f>PROFORMA!Y205</f>
        <v>0</v>
      </c>
      <c r="Z130" s="538">
        <f>PROFORMA!Z205</f>
        <v>0</v>
      </c>
      <c r="AA130" s="538">
        <f>PROFORMA!AA205</f>
        <v>0</v>
      </c>
      <c r="AB130" s="538">
        <f>PROFORMA!AB205</f>
        <v>0</v>
      </c>
      <c r="AC130" s="538">
        <f>PROFORMA!AC205</f>
        <v>0</v>
      </c>
      <c r="AD130" s="538">
        <f>PROFORMA!AD205</f>
        <v>0</v>
      </c>
      <c r="AE130" s="538">
        <f>PROFORMA!AE205</f>
        <v>0</v>
      </c>
      <c r="AF130" s="538">
        <f>PROFORMA!AG205</f>
        <v>0</v>
      </c>
      <c r="AG130" s="538">
        <f>PROFORMA!AH205</f>
        <v>0</v>
      </c>
      <c r="AH130" s="538">
        <f>PROFORMA!AI205</f>
        <v>0</v>
      </c>
      <c r="AI130" s="538">
        <f>PROFORMA!AJ205</f>
        <v>0</v>
      </c>
      <c r="AJ130" s="538">
        <f>PROFORMA!AK205</f>
        <v>0</v>
      </c>
      <c r="AK130" s="538">
        <f>PROFORMA!AL205</f>
        <v>0</v>
      </c>
      <c r="AL130" s="538">
        <f>PROFORMA!AM205</f>
        <v>242000</v>
      </c>
      <c r="AM130" s="538">
        <f>PROFORMA!AN205</f>
        <v>-178000</v>
      </c>
      <c r="AN130" s="538">
        <f>PROFORMA!AO205</f>
        <v>373000</v>
      </c>
      <c r="AO130" s="538">
        <f>PROFORMA!AP205</f>
        <v>0</v>
      </c>
      <c r="AP130" s="538">
        <f>PROFORMA!AQ205</f>
        <v>0</v>
      </c>
      <c r="AQ130" s="538">
        <f>PROFORMA!AR205</f>
        <v>0</v>
      </c>
      <c r="AR130" s="538">
        <f>PROFORMA!AS205</f>
        <v>480000</v>
      </c>
      <c r="AS130" s="538">
        <f>PROFORMA!AT205</f>
        <v>0</v>
      </c>
      <c r="AT130" s="582">
        <f t="shared" si="148"/>
        <v>917000</v>
      </c>
      <c r="AU130" s="532">
        <f t="shared" si="149"/>
        <v>917000</v>
      </c>
      <c r="AV130" s="532">
        <f t="shared" si="150"/>
        <v>2900000</v>
      </c>
      <c r="AW130" s="532"/>
      <c r="AX130" s="532">
        <f t="shared" si="90"/>
        <v>2900000</v>
      </c>
    </row>
    <row r="131" spans="1:50" ht="31.5">
      <c r="A131" s="529">
        <v>129</v>
      </c>
      <c r="B131" s="794"/>
      <c r="C131" s="547" t="s">
        <v>376</v>
      </c>
      <c r="D131" s="548"/>
      <c r="E131" s="538">
        <f>PROFORMA!F206</f>
        <v>0</v>
      </c>
      <c r="F131" s="538">
        <f>PROFORMA!G206</f>
        <v>0</v>
      </c>
      <c r="G131" s="538">
        <f>PROFORMA!H206</f>
        <v>0</v>
      </c>
      <c r="H131" s="538">
        <f>PROFORMA!I206</f>
        <v>0</v>
      </c>
      <c r="I131" s="538">
        <f>PROFORMA!J206</f>
        <v>0</v>
      </c>
      <c r="J131" s="538">
        <f>PROFORMA!K206</f>
        <v>0</v>
      </c>
      <c r="K131" s="538">
        <f>PROFORMA!L206</f>
        <v>0</v>
      </c>
      <c r="L131" s="538">
        <f>PROFORMA!M206</f>
        <v>0</v>
      </c>
      <c r="M131" s="538">
        <f>PROFORMA!N206</f>
        <v>0</v>
      </c>
      <c r="N131" s="538">
        <f>PROFORMA!O206</f>
        <v>0</v>
      </c>
      <c r="O131" s="538">
        <f>PROFORMA!P206</f>
        <v>0</v>
      </c>
      <c r="P131" s="538">
        <f>PROFORMA!Q206</f>
        <v>0</v>
      </c>
      <c r="Q131" s="538">
        <f>PROFORMA!R206</f>
        <v>0</v>
      </c>
      <c r="R131" s="538">
        <f>PROFORMA!S206</f>
        <v>0</v>
      </c>
      <c r="S131" s="538">
        <f>PROFORMA!T206</f>
        <v>0</v>
      </c>
      <c r="T131" s="538">
        <f>PROFORMA!U206</f>
        <v>0</v>
      </c>
      <c r="U131" s="538">
        <f>PROFORMA!V206</f>
        <v>0</v>
      </c>
      <c r="V131" s="538">
        <f>PROFORMA!W206</f>
        <v>0</v>
      </c>
      <c r="W131" s="538">
        <f>PROFORMA!X206</f>
        <v>0</v>
      </c>
      <c r="X131" s="579">
        <f t="shared" si="77"/>
        <v>0</v>
      </c>
      <c r="Y131" s="538">
        <f>PROFORMA!Y206</f>
        <v>0</v>
      </c>
      <c r="Z131" s="538">
        <f>PROFORMA!Z206</f>
        <v>0</v>
      </c>
      <c r="AA131" s="538">
        <f>PROFORMA!AA206</f>
        <v>0</v>
      </c>
      <c r="AB131" s="538">
        <f>PROFORMA!AB206</f>
        <v>0</v>
      </c>
      <c r="AC131" s="538">
        <f>PROFORMA!AC206</f>
        <v>0</v>
      </c>
      <c r="AD131" s="538">
        <f>PROFORMA!AD206</f>
        <v>0</v>
      </c>
      <c r="AE131" s="538">
        <f>PROFORMA!AE206</f>
        <v>0</v>
      </c>
      <c r="AF131" s="538">
        <f>PROFORMA!AG206</f>
        <v>0</v>
      </c>
      <c r="AG131" s="538">
        <f>PROFORMA!AH206</f>
        <v>0</v>
      </c>
      <c r="AH131" s="538">
        <f>PROFORMA!AI206</f>
        <v>0</v>
      </c>
      <c r="AI131" s="538">
        <f>PROFORMA!AJ206</f>
        <v>0</v>
      </c>
      <c r="AJ131" s="538">
        <f>PROFORMA!AK206</f>
        <v>0</v>
      </c>
      <c r="AK131" s="538">
        <f>PROFORMA!AL206</f>
        <v>0</v>
      </c>
      <c r="AL131" s="538">
        <f>PROFORMA!AM206</f>
        <v>0</v>
      </c>
      <c r="AM131" s="538">
        <f>PROFORMA!AN206</f>
        <v>0</v>
      </c>
      <c r="AN131" s="538">
        <f>PROFORMA!AO206</f>
        <v>0</v>
      </c>
      <c r="AO131" s="538">
        <f>PROFORMA!AP206</f>
        <v>0</v>
      </c>
      <c r="AP131" s="538">
        <f>PROFORMA!AQ206</f>
        <v>0</v>
      </c>
      <c r="AQ131" s="538">
        <f>PROFORMA!AR206</f>
        <v>0</v>
      </c>
      <c r="AR131" s="538">
        <f>PROFORMA!AS206</f>
        <v>0</v>
      </c>
      <c r="AS131" s="538">
        <f>PROFORMA!AT206</f>
        <v>0</v>
      </c>
      <c r="AT131" s="582">
        <f t="shared" si="148"/>
        <v>0</v>
      </c>
      <c r="AU131" s="532">
        <f t="shared" si="149"/>
        <v>0</v>
      </c>
      <c r="AV131" s="532">
        <f t="shared" si="150"/>
        <v>0</v>
      </c>
      <c r="AW131" s="532"/>
      <c r="AX131" s="532">
        <f t="shared" si="90"/>
        <v>0</v>
      </c>
    </row>
    <row r="132" spans="1:50">
      <c r="A132" s="529">
        <v>130</v>
      </c>
      <c r="B132" s="794"/>
      <c r="C132" s="547" t="s">
        <v>377</v>
      </c>
      <c r="D132" s="548"/>
      <c r="E132" s="538">
        <f>PROFORMA!F207</f>
        <v>45000</v>
      </c>
      <c r="F132" s="538">
        <f>PROFORMA!G207</f>
        <v>0</v>
      </c>
      <c r="G132" s="538">
        <f>PROFORMA!H207</f>
        <v>0</v>
      </c>
      <c r="H132" s="538">
        <f>PROFORMA!I207</f>
        <v>0</v>
      </c>
      <c r="I132" s="538">
        <f>PROFORMA!J207</f>
        <v>0</v>
      </c>
      <c r="J132" s="538">
        <f>PROFORMA!K207</f>
        <v>0</v>
      </c>
      <c r="K132" s="538">
        <f>PROFORMA!L207</f>
        <v>0</v>
      </c>
      <c r="L132" s="538">
        <f>PROFORMA!M207</f>
        <v>0</v>
      </c>
      <c r="M132" s="538">
        <f>PROFORMA!N207</f>
        <v>0</v>
      </c>
      <c r="N132" s="538">
        <f>PROFORMA!O207</f>
        <v>0</v>
      </c>
      <c r="O132" s="538">
        <f>PROFORMA!P207</f>
        <v>0</v>
      </c>
      <c r="P132" s="538">
        <f>PROFORMA!Q207</f>
        <v>0</v>
      </c>
      <c r="Q132" s="538">
        <f>PROFORMA!R207</f>
        <v>0</v>
      </c>
      <c r="R132" s="538">
        <f>PROFORMA!S207</f>
        <v>0</v>
      </c>
      <c r="S132" s="538">
        <f>PROFORMA!T207</f>
        <v>0</v>
      </c>
      <c r="T132" s="538">
        <f>PROFORMA!U207</f>
        <v>0</v>
      </c>
      <c r="U132" s="538">
        <f>PROFORMA!V207</f>
        <v>0</v>
      </c>
      <c r="V132" s="538">
        <f>PROFORMA!W207</f>
        <v>0</v>
      </c>
      <c r="W132" s="538">
        <f>PROFORMA!X207</f>
        <v>0</v>
      </c>
      <c r="X132" s="579">
        <f t="shared" ref="X132:X195" si="151">SUM(F132:W132)</f>
        <v>0</v>
      </c>
      <c r="Y132" s="538">
        <f>PROFORMA!Y207</f>
        <v>0</v>
      </c>
      <c r="Z132" s="538">
        <f>PROFORMA!Z207</f>
        <v>0</v>
      </c>
      <c r="AA132" s="538">
        <f>PROFORMA!AA207</f>
        <v>0</v>
      </c>
      <c r="AB132" s="538">
        <f>PROFORMA!AB207</f>
        <v>0</v>
      </c>
      <c r="AC132" s="538">
        <f>PROFORMA!AC207</f>
        <v>0</v>
      </c>
      <c r="AD132" s="538">
        <f>PROFORMA!AD207</f>
        <v>0</v>
      </c>
      <c r="AE132" s="538">
        <f>PROFORMA!AE207</f>
        <v>0</v>
      </c>
      <c r="AF132" s="538">
        <f>PROFORMA!AG207</f>
        <v>0</v>
      </c>
      <c r="AG132" s="538">
        <f>PROFORMA!AH207</f>
        <v>0</v>
      </c>
      <c r="AH132" s="538">
        <f>PROFORMA!AI207</f>
        <v>0</v>
      </c>
      <c r="AI132" s="538">
        <f>PROFORMA!AJ207</f>
        <v>0</v>
      </c>
      <c r="AJ132" s="538">
        <f>PROFORMA!AK207</f>
        <v>0</v>
      </c>
      <c r="AK132" s="538">
        <f>PROFORMA!AL207</f>
        <v>0</v>
      </c>
      <c r="AL132" s="538">
        <f>PROFORMA!AM207</f>
        <v>5000</v>
      </c>
      <c r="AM132" s="538">
        <f>PROFORMA!AN207</f>
        <v>-4000</v>
      </c>
      <c r="AN132" s="538">
        <f>PROFORMA!AO207</f>
        <v>8000</v>
      </c>
      <c r="AO132" s="538">
        <f>PROFORMA!AP207</f>
        <v>0</v>
      </c>
      <c r="AP132" s="538">
        <f>PROFORMA!AQ207</f>
        <v>0</v>
      </c>
      <c r="AQ132" s="538">
        <f>PROFORMA!AR207</f>
        <v>0</v>
      </c>
      <c r="AR132" s="538">
        <f>PROFORMA!AS207</f>
        <v>11000</v>
      </c>
      <c r="AS132" s="538">
        <f>PROFORMA!AT207</f>
        <v>0</v>
      </c>
      <c r="AT132" s="582">
        <f t="shared" si="148"/>
        <v>20000</v>
      </c>
      <c r="AU132" s="532">
        <f t="shared" si="149"/>
        <v>20000</v>
      </c>
      <c r="AV132" s="532">
        <f t="shared" si="150"/>
        <v>65000</v>
      </c>
      <c r="AW132" s="532"/>
      <c r="AX132" s="532">
        <f t="shared" si="90"/>
        <v>65000</v>
      </c>
    </row>
    <row r="133" spans="1:50" ht="31.5">
      <c r="A133" s="529">
        <v>131</v>
      </c>
      <c r="B133" s="794"/>
      <c r="C133" s="547" t="s">
        <v>378</v>
      </c>
      <c r="D133" s="548"/>
      <c r="E133" s="538">
        <f>PROFORMA!F208</f>
        <v>416000</v>
      </c>
      <c r="F133" s="538">
        <f>PROFORMA!G208</f>
        <v>0</v>
      </c>
      <c r="G133" s="538">
        <f>PROFORMA!H208</f>
        <v>0</v>
      </c>
      <c r="H133" s="538">
        <f>PROFORMA!I208</f>
        <v>0</v>
      </c>
      <c r="I133" s="538">
        <f>PROFORMA!J208</f>
        <v>0</v>
      </c>
      <c r="J133" s="538">
        <f>PROFORMA!K208</f>
        <v>0</v>
      </c>
      <c r="K133" s="538">
        <f>PROFORMA!L208</f>
        <v>0</v>
      </c>
      <c r="L133" s="538">
        <f>PROFORMA!M208</f>
        <v>0</v>
      </c>
      <c r="M133" s="538">
        <f>PROFORMA!N208</f>
        <v>0</v>
      </c>
      <c r="N133" s="538">
        <f>PROFORMA!O208</f>
        <v>0</v>
      </c>
      <c r="O133" s="538">
        <f>PROFORMA!P208</f>
        <v>0</v>
      </c>
      <c r="P133" s="538">
        <f>PROFORMA!Q208</f>
        <v>0</v>
      </c>
      <c r="Q133" s="538">
        <f>PROFORMA!R208</f>
        <v>0</v>
      </c>
      <c r="R133" s="538">
        <f>PROFORMA!S208</f>
        <v>0</v>
      </c>
      <c r="S133" s="538">
        <f>PROFORMA!T208</f>
        <v>0</v>
      </c>
      <c r="T133" s="538">
        <f>PROFORMA!U208</f>
        <v>0</v>
      </c>
      <c r="U133" s="538">
        <f>PROFORMA!V208</f>
        <v>0</v>
      </c>
      <c r="V133" s="538">
        <f>PROFORMA!W208</f>
        <v>0</v>
      </c>
      <c r="W133" s="538">
        <f>PROFORMA!X208</f>
        <v>0</v>
      </c>
      <c r="X133" s="579">
        <f t="shared" si="151"/>
        <v>0</v>
      </c>
      <c r="Y133" s="538">
        <f>PROFORMA!Y208</f>
        <v>0</v>
      </c>
      <c r="Z133" s="538">
        <f>PROFORMA!Z208</f>
        <v>0</v>
      </c>
      <c r="AA133" s="538">
        <f>PROFORMA!AA208</f>
        <v>0</v>
      </c>
      <c r="AB133" s="538">
        <f>PROFORMA!AB208</f>
        <v>0</v>
      </c>
      <c r="AC133" s="538">
        <f>PROFORMA!AC208</f>
        <v>0</v>
      </c>
      <c r="AD133" s="538">
        <f>PROFORMA!AD208</f>
        <v>0</v>
      </c>
      <c r="AE133" s="538">
        <f>PROFORMA!AE208</f>
        <v>0</v>
      </c>
      <c r="AF133" s="538">
        <f>PROFORMA!AG208</f>
        <v>0</v>
      </c>
      <c r="AG133" s="538">
        <f>PROFORMA!AH208</f>
        <v>0</v>
      </c>
      <c r="AH133" s="538">
        <f>PROFORMA!AI208</f>
        <v>0</v>
      </c>
      <c r="AI133" s="538">
        <f>PROFORMA!AJ208</f>
        <v>0</v>
      </c>
      <c r="AJ133" s="538">
        <f>PROFORMA!AK208</f>
        <v>0</v>
      </c>
      <c r="AK133" s="538">
        <f>PROFORMA!AL208</f>
        <v>0</v>
      </c>
      <c r="AL133" s="538">
        <f>PROFORMA!AM208</f>
        <v>51000</v>
      </c>
      <c r="AM133" s="538">
        <f>PROFORMA!AN208</f>
        <v>-38000</v>
      </c>
      <c r="AN133" s="538">
        <f>PROFORMA!AO208</f>
        <v>78000</v>
      </c>
      <c r="AO133" s="538">
        <f>PROFORMA!AP208</f>
        <v>0</v>
      </c>
      <c r="AP133" s="538">
        <f>PROFORMA!AQ208</f>
        <v>0</v>
      </c>
      <c r="AQ133" s="538">
        <f>PROFORMA!AR208</f>
        <v>0</v>
      </c>
      <c r="AR133" s="538">
        <f>PROFORMA!AS208</f>
        <v>101000</v>
      </c>
      <c r="AS133" s="538">
        <f>PROFORMA!AT208</f>
        <v>0</v>
      </c>
      <c r="AT133" s="582">
        <f t="shared" si="148"/>
        <v>192000</v>
      </c>
      <c r="AU133" s="532">
        <f t="shared" si="149"/>
        <v>192000</v>
      </c>
      <c r="AV133" s="532">
        <f t="shared" si="150"/>
        <v>608000</v>
      </c>
      <c r="AW133" s="532"/>
      <c r="AX133" s="532">
        <f t="shared" ref="AX133:AX196" si="152">AV133+AW133</f>
        <v>608000</v>
      </c>
    </row>
    <row r="134" spans="1:50">
      <c r="A134" s="529">
        <v>132</v>
      </c>
      <c r="B134" s="794"/>
      <c r="C134" s="547" t="s">
        <v>379</v>
      </c>
      <c r="D134" s="548"/>
      <c r="E134" s="538">
        <f>PROFORMA!F209</f>
        <v>33000</v>
      </c>
      <c r="F134" s="538">
        <f>PROFORMA!G209</f>
        <v>0</v>
      </c>
      <c r="G134" s="538">
        <f>PROFORMA!H209</f>
        <v>0</v>
      </c>
      <c r="H134" s="538">
        <f>PROFORMA!I209</f>
        <v>0</v>
      </c>
      <c r="I134" s="538">
        <f>PROFORMA!J209</f>
        <v>0</v>
      </c>
      <c r="J134" s="538">
        <f>PROFORMA!K209</f>
        <v>0</v>
      </c>
      <c r="K134" s="538">
        <f>PROFORMA!L209</f>
        <v>0</v>
      </c>
      <c r="L134" s="538">
        <f>PROFORMA!M209</f>
        <v>0</v>
      </c>
      <c r="M134" s="538">
        <f>PROFORMA!N209</f>
        <v>0</v>
      </c>
      <c r="N134" s="538">
        <f>PROFORMA!O209</f>
        <v>0</v>
      </c>
      <c r="O134" s="538">
        <f>PROFORMA!P209</f>
        <v>0</v>
      </c>
      <c r="P134" s="538">
        <f>PROFORMA!Q209</f>
        <v>0</v>
      </c>
      <c r="Q134" s="538">
        <f>PROFORMA!R209</f>
        <v>0</v>
      </c>
      <c r="R134" s="538">
        <f>PROFORMA!S209</f>
        <v>0</v>
      </c>
      <c r="S134" s="538">
        <f>PROFORMA!T209</f>
        <v>0</v>
      </c>
      <c r="T134" s="538">
        <f>PROFORMA!U209</f>
        <v>0</v>
      </c>
      <c r="U134" s="538">
        <f>PROFORMA!V209</f>
        <v>0</v>
      </c>
      <c r="V134" s="538">
        <f>PROFORMA!W209</f>
        <v>0</v>
      </c>
      <c r="W134" s="538">
        <f>PROFORMA!X209</f>
        <v>0</v>
      </c>
      <c r="X134" s="579">
        <f t="shared" si="151"/>
        <v>0</v>
      </c>
      <c r="Y134" s="538">
        <f>PROFORMA!Y209</f>
        <v>0</v>
      </c>
      <c r="Z134" s="538">
        <f>PROFORMA!Z209</f>
        <v>0</v>
      </c>
      <c r="AA134" s="538">
        <f>PROFORMA!AA209</f>
        <v>0</v>
      </c>
      <c r="AB134" s="538">
        <f>PROFORMA!AB209</f>
        <v>0</v>
      </c>
      <c r="AC134" s="538">
        <f>PROFORMA!AC209</f>
        <v>0</v>
      </c>
      <c r="AD134" s="538">
        <f>PROFORMA!AD209</f>
        <v>0</v>
      </c>
      <c r="AE134" s="538">
        <f>PROFORMA!AE209</f>
        <v>0</v>
      </c>
      <c r="AF134" s="538">
        <f>PROFORMA!AG209</f>
        <v>0</v>
      </c>
      <c r="AG134" s="538">
        <f>PROFORMA!AH209</f>
        <v>0</v>
      </c>
      <c r="AH134" s="538">
        <f>PROFORMA!AI209</f>
        <v>0</v>
      </c>
      <c r="AI134" s="538">
        <f>PROFORMA!AJ209</f>
        <v>0</v>
      </c>
      <c r="AJ134" s="538">
        <f>PROFORMA!AK209</f>
        <v>0</v>
      </c>
      <c r="AK134" s="538">
        <f>PROFORMA!AL209</f>
        <v>0</v>
      </c>
      <c r="AL134" s="538">
        <f>PROFORMA!AM209</f>
        <v>4000</v>
      </c>
      <c r="AM134" s="538">
        <f>PROFORMA!AN209</f>
        <v>-3000</v>
      </c>
      <c r="AN134" s="538">
        <f>PROFORMA!AO209</f>
        <v>6000</v>
      </c>
      <c r="AO134" s="538">
        <f>PROFORMA!AP209</f>
        <v>0</v>
      </c>
      <c r="AP134" s="538">
        <f>PROFORMA!AQ209</f>
        <v>0</v>
      </c>
      <c r="AQ134" s="538">
        <f>PROFORMA!AR209</f>
        <v>0</v>
      </c>
      <c r="AR134" s="538">
        <f>PROFORMA!AS209</f>
        <v>8000</v>
      </c>
      <c r="AS134" s="538">
        <f>PROFORMA!AT209</f>
        <v>0</v>
      </c>
      <c r="AT134" s="582">
        <f t="shared" si="148"/>
        <v>15000</v>
      </c>
      <c r="AU134" s="532">
        <f t="shared" si="149"/>
        <v>15000</v>
      </c>
      <c r="AV134" s="532">
        <f t="shared" si="150"/>
        <v>48000</v>
      </c>
      <c r="AW134" s="532"/>
      <c r="AX134" s="532">
        <f t="shared" si="152"/>
        <v>48000</v>
      </c>
    </row>
    <row r="135" spans="1:50" ht="31.5">
      <c r="A135" s="529">
        <v>133</v>
      </c>
      <c r="B135" s="794"/>
      <c r="C135" s="547" t="s">
        <v>380</v>
      </c>
      <c r="D135" s="548"/>
      <c r="E135" s="538">
        <f>PROFORMA!F210</f>
        <v>0</v>
      </c>
      <c r="F135" s="538">
        <f>PROFORMA!G210</f>
        <v>0</v>
      </c>
      <c r="G135" s="538">
        <f>PROFORMA!H210</f>
        <v>0</v>
      </c>
      <c r="H135" s="538">
        <f>PROFORMA!I210</f>
        <v>0</v>
      </c>
      <c r="I135" s="538">
        <f>PROFORMA!J210</f>
        <v>0</v>
      </c>
      <c r="J135" s="538">
        <f>PROFORMA!K210</f>
        <v>0</v>
      </c>
      <c r="K135" s="538">
        <f>PROFORMA!L210</f>
        <v>0</v>
      </c>
      <c r="L135" s="538">
        <f>PROFORMA!M210</f>
        <v>0</v>
      </c>
      <c r="M135" s="538">
        <f>PROFORMA!N210</f>
        <v>0</v>
      </c>
      <c r="N135" s="538">
        <f>PROFORMA!O210</f>
        <v>0</v>
      </c>
      <c r="O135" s="538">
        <f>PROFORMA!P210</f>
        <v>0</v>
      </c>
      <c r="P135" s="538">
        <f>PROFORMA!Q210</f>
        <v>0</v>
      </c>
      <c r="Q135" s="538">
        <f>PROFORMA!R210</f>
        <v>0</v>
      </c>
      <c r="R135" s="538">
        <f>PROFORMA!S210</f>
        <v>0</v>
      </c>
      <c r="S135" s="538">
        <f>PROFORMA!T210</f>
        <v>0</v>
      </c>
      <c r="T135" s="538">
        <f>PROFORMA!U210</f>
        <v>0</v>
      </c>
      <c r="U135" s="538">
        <f>PROFORMA!V210</f>
        <v>0</v>
      </c>
      <c r="V135" s="538">
        <f>PROFORMA!W210</f>
        <v>0</v>
      </c>
      <c r="W135" s="538">
        <f>PROFORMA!X210</f>
        <v>0</v>
      </c>
      <c r="X135" s="579">
        <f t="shared" si="151"/>
        <v>0</v>
      </c>
      <c r="Y135" s="538">
        <f>PROFORMA!Y210</f>
        <v>0</v>
      </c>
      <c r="Z135" s="538">
        <f>PROFORMA!Z210</f>
        <v>0</v>
      </c>
      <c r="AA135" s="538">
        <f>PROFORMA!AA210</f>
        <v>0</v>
      </c>
      <c r="AB135" s="538">
        <f>PROFORMA!AB210</f>
        <v>0</v>
      </c>
      <c r="AC135" s="538">
        <f>PROFORMA!AC210</f>
        <v>0</v>
      </c>
      <c r="AD135" s="538">
        <f>PROFORMA!AD210</f>
        <v>0</v>
      </c>
      <c r="AE135" s="538">
        <f>PROFORMA!AE210</f>
        <v>0</v>
      </c>
      <c r="AF135" s="538">
        <f>PROFORMA!AG210</f>
        <v>0</v>
      </c>
      <c r="AG135" s="538">
        <f>PROFORMA!AH210</f>
        <v>0</v>
      </c>
      <c r="AH135" s="538">
        <f>PROFORMA!AI210</f>
        <v>0</v>
      </c>
      <c r="AI135" s="538">
        <f>PROFORMA!AJ210</f>
        <v>0</v>
      </c>
      <c r="AJ135" s="538">
        <f>PROFORMA!AK210</f>
        <v>0</v>
      </c>
      <c r="AK135" s="538">
        <f>PROFORMA!AL210</f>
        <v>0</v>
      </c>
      <c r="AL135" s="538">
        <f>PROFORMA!AM210</f>
        <v>0</v>
      </c>
      <c r="AM135" s="538">
        <f>PROFORMA!AN210</f>
        <v>0</v>
      </c>
      <c r="AN135" s="538">
        <f>PROFORMA!AO210</f>
        <v>0</v>
      </c>
      <c r="AO135" s="538">
        <f>PROFORMA!AP210</f>
        <v>0</v>
      </c>
      <c r="AP135" s="538">
        <f>PROFORMA!AQ210</f>
        <v>0</v>
      </c>
      <c r="AQ135" s="538">
        <f>PROFORMA!AR210</f>
        <v>0</v>
      </c>
      <c r="AR135" s="538">
        <f>PROFORMA!AS210</f>
        <v>0</v>
      </c>
      <c r="AS135" s="538">
        <f>PROFORMA!AT210</f>
        <v>0</v>
      </c>
      <c r="AT135" s="582">
        <f t="shared" si="148"/>
        <v>0</v>
      </c>
      <c r="AU135" s="532">
        <f t="shared" si="149"/>
        <v>0</v>
      </c>
      <c r="AV135" s="532">
        <f t="shared" si="150"/>
        <v>0</v>
      </c>
      <c r="AW135" s="532"/>
      <c r="AX135" s="532">
        <f t="shared" si="152"/>
        <v>0</v>
      </c>
    </row>
    <row r="136" spans="1:50" ht="31.5">
      <c r="A136" s="529">
        <v>134</v>
      </c>
      <c r="B136" s="794"/>
      <c r="C136" s="547" t="s">
        <v>381</v>
      </c>
      <c r="D136" s="548"/>
      <c r="E136" s="538">
        <f>PROFORMA!F211</f>
        <v>1227000</v>
      </c>
      <c r="F136" s="538">
        <f>PROFORMA!G211</f>
        <v>0</v>
      </c>
      <c r="G136" s="538">
        <f>PROFORMA!H211</f>
        <v>0</v>
      </c>
      <c r="H136" s="538">
        <f>PROFORMA!I211</f>
        <v>0</v>
      </c>
      <c r="I136" s="538">
        <f>PROFORMA!J211</f>
        <v>0</v>
      </c>
      <c r="J136" s="538">
        <f>PROFORMA!K211</f>
        <v>0</v>
      </c>
      <c r="K136" s="538">
        <f>PROFORMA!L211</f>
        <v>0</v>
      </c>
      <c r="L136" s="538">
        <f>PROFORMA!M211</f>
        <v>0</v>
      </c>
      <c r="M136" s="538">
        <f>PROFORMA!N211</f>
        <v>0</v>
      </c>
      <c r="N136" s="538">
        <f>PROFORMA!O211</f>
        <v>0</v>
      </c>
      <c r="O136" s="538">
        <f>PROFORMA!P211</f>
        <v>0</v>
      </c>
      <c r="P136" s="538">
        <f>PROFORMA!Q211</f>
        <v>0</v>
      </c>
      <c r="Q136" s="538">
        <f>PROFORMA!R211</f>
        <v>0</v>
      </c>
      <c r="R136" s="538">
        <f>PROFORMA!S211</f>
        <v>0</v>
      </c>
      <c r="S136" s="538">
        <f>PROFORMA!T211</f>
        <v>0</v>
      </c>
      <c r="T136" s="538">
        <f>PROFORMA!U211</f>
        <v>0</v>
      </c>
      <c r="U136" s="538">
        <f>PROFORMA!V211</f>
        <v>0</v>
      </c>
      <c r="V136" s="538">
        <f>PROFORMA!W211</f>
        <v>0</v>
      </c>
      <c r="W136" s="538">
        <f>PROFORMA!X211</f>
        <v>0</v>
      </c>
      <c r="X136" s="579">
        <f t="shared" si="151"/>
        <v>0</v>
      </c>
      <c r="Y136" s="538">
        <f>PROFORMA!Y211</f>
        <v>0</v>
      </c>
      <c r="Z136" s="538">
        <f>PROFORMA!Z211</f>
        <v>0</v>
      </c>
      <c r="AA136" s="538">
        <f>PROFORMA!AA211</f>
        <v>0</v>
      </c>
      <c r="AB136" s="538">
        <f>PROFORMA!AB211</f>
        <v>0</v>
      </c>
      <c r="AC136" s="538">
        <f>PROFORMA!AC211</f>
        <v>0</v>
      </c>
      <c r="AD136" s="538">
        <f>PROFORMA!AD211</f>
        <v>0</v>
      </c>
      <c r="AE136" s="538">
        <f>PROFORMA!AE211</f>
        <v>0</v>
      </c>
      <c r="AF136" s="538">
        <f>PROFORMA!AG211</f>
        <v>0</v>
      </c>
      <c r="AG136" s="538">
        <f>PROFORMA!AH211</f>
        <v>0</v>
      </c>
      <c r="AH136" s="538">
        <f>PROFORMA!AI211</f>
        <v>0</v>
      </c>
      <c r="AI136" s="538">
        <f>PROFORMA!AJ211</f>
        <v>0</v>
      </c>
      <c r="AJ136" s="538">
        <f>PROFORMA!AK211</f>
        <v>0</v>
      </c>
      <c r="AK136" s="538">
        <f>PROFORMA!AL211</f>
        <v>0</v>
      </c>
      <c r="AL136" s="538">
        <f>PROFORMA!AM211</f>
        <v>149000</v>
      </c>
      <c r="AM136" s="538">
        <f>PROFORMA!AN211</f>
        <v>-111000</v>
      </c>
      <c r="AN136" s="538">
        <f>PROFORMA!AO211</f>
        <v>231000</v>
      </c>
      <c r="AO136" s="538">
        <f>PROFORMA!AP211</f>
        <v>0</v>
      </c>
      <c r="AP136" s="538">
        <f>PROFORMA!AQ211</f>
        <v>0</v>
      </c>
      <c r="AQ136" s="538">
        <f>PROFORMA!AR211</f>
        <v>0</v>
      </c>
      <c r="AR136" s="538">
        <f>PROFORMA!AS211</f>
        <v>297000</v>
      </c>
      <c r="AS136" s="538">
        <f>PROFORMA!AT211</f>
        <v>0</v>
      </c>
      <c r="AT136" s="582">
        <f t="shared" si="148"/>
        <v>566000</v>
      </c>
      <c r="AU136" s="532">
        <f t="shared" si="149"/>
        <v>566000</v>
      </c>
      <c r="AV136" s="532">
        <f t="shared" si="150"/>
        <v>1793000</v>
      </c>
      <c r="AW136" s="532"/>
      <c r="AX136" s="532">
        <f t="shared" si="152"/>
        <v>1793000</v>
      </c>
    </row>
    <row r="137" spans="1:50">
      <c r="A137" s="529">
        <v>135</v>
      </c>
      <c r="B137" s="794"/>
      <c r="C137" s="547" t="s">
        <v>382</v>
      </c>
      <c r="D137" s="548"/>
      <c r="E137" s="574">
        <f>PROFORMA!F212</f>
        <v>11000</v>
      </c>
      <c r="F137" s="574">
        <f>PROFORMA!G212</f>
        <v>0</v>
      </c>
      <c r="G137" s="574">
        <f>PROFORMA!H212</f>
        <v>0</v>
      </c>
      <c r="H137" s="574">
        <f>PROFORMA!I212</f>
        <v>0</v>
      </c>
      <c r="I137" s="574">
        <f>PROFORMA!J212</f>
        <v>0</v>
      </c>
      <c r="J137" s="574">
        <f>PROFORMA!K212</f>
        <v>0</v>
      </c>
      <c r="K137" s="574">
        <f>PROFORMA!L212</f>
        <v>0</v>
      </c>
      <c r="L137" s="574">
        <f>PROFORMA!M212</f>
        <v>0</v>
      </c>
      <c r="M137" s="574">
        <f>PROFORMA!N212</f>
        <v>0</v>
      </c>
      <c r="N137" s="574">
        <f>PROFORMA!O212</f>
        <v>0</v>
      </c>
      <c r="O137" s="574">
        <f>PROFORMA!P212</f>
        <v>0</v>
      </c>
      <c r="P137" s="574">
        <f>PROFORMA!Q212</f>
        <v>0</v>
      </c>
      <c r="Q137" s="574">
        <f>PROFORMA!R212</f>
        <v>0</v>
      </c>
      <c r="R137" s="574">
        <f>PROFORMA!S212</f>
        <v>0</v>
      </c>
      <c r="S137" s="574">
        <f>PROFORMA!T212</f>
        <v>0</v>
      </c>
      <c r="T137" s="574">
        <f>PROFORMA!U212</f>
        <v>0</v>
      </c>
      <c r="U137" s="574">
        <f>PROFORMA!V212</f>
        <v>0</v>
      </c>
      <c r="V137" s="574">
        <f>PROFORMA!W212</f>
        <v>0</v>
      </c>
      <c r="W137" s="574">
        <f>PROFORMA!X212</f>
        <v>0</v>
      </c>
      <c r="X137" s="580">
        <f t="shared" si="151"/>
        <v>0</v>
      </c>
      <c r="Y137" s="574">
        <f>PROFORMA!Y212</f>
        <v>0</v>
      </c>
      <c r="Z137" s="574">
        <f>PROFORMA!Z212</f>
        <v>0</v>
      </c>
      <c r="AA137" s="574">
        <f>PROFORMA!AA212</f>
        <v>0</v>
      </c>
      <c r="AB137" s="574">
        <f>PROFORMA!AB212</f>
        <v>0</v>
      </c>
      <c r="AC137" s="574">
        <f>PROFORMA!AC212</f>
        <v>0</v>
      </c>
      <c r="AD137" s="574">
        <f>PROFORMA!AD212</f>
        <v>0</v>
      </c>
      <c r="AE137" s="574">
        <f>PROFORMA!AE212</f>
        <v>0</v>
      </c>
      <c r="AF137" s="574">
        <f>PROFORMA!AG212</f>
        <v>0</v>
      </c>
      <c r="AG137" s="574">
        <f>PROFORMA!AH212</f>
        <v>0</v>
      </c>
      <c r="AH137" s="574">
        <f>PROFORMA!AI212</f>
        <v>0</v>
      </c>
      <c r="AI137" s="574">
        <f>PROFORMA!AJ212</f>
        <v>0</v>
      </c>
      <c r="AJ137" s="574">
        <f>PROFORMA!AK212</f>
        <v>0</v>
      </c>
      <c r="AK137" s="574">
        <f>PROFORMA!AL212</f>
        <v>0</v>
      </c>
      <c r="AL137" s="574">
        <f>PROFORMA!AM212</f>
        <v>1000</v>
      </c>
      <c r="AM137" s="574">
        <f>PROFORMA!AN212</f>
        <v>-1000</v>
      </c>
      <c r="AN137" s="574">
        <f>PROFORMA!AO212</f>
        <v>2000</v>
      </c>
      <c r="AO137" s="574">
        <f>PROFORMA!AP212</f>
        <v>0</v>
      </c>
      <c r="AP137" s="574">
        <f>PROFORMA!AQ212</f>
        <v>0</v>
      </c>
      <c r="AQ137" s="574">
        <f>PROFORMA!AR212</f>
        <v>0</v>
      </c>
      <c r="AR137" s="574">
        <f>PROFORMA!AS212</f>
        <v>3000</v>
      </c>
      <c r="AS137" s="574">
        <f>PROFORMA!AT212</f>
        <v>0</v>
      </c>
      <c r="AT137" s="583">
        <f t="shared" si="148"/>
        <v>5000</v>
      </c>
      <c r="AU137" s="581">
        <f t="shared" si="149"/>
        <v>5000</v>
      </c>
      <c r="AV137" s="581">
        <f t="shared" si="150"/>
        <v>16000</v>
      </c>
      <c r="AW137" s="581"/>
      <c r="AX137" s="581">
        <f t="shared" si="152"/>
        <v>16000</v>
      </c>
    </row>
    <row r="138" spans="1:50">
      <c r="A138" s="529">
        <v>136</v>
      </c>
      <c r="B138" s="501"/>
      <c r="C138" s="524" t="s">
        <v>1164</v>
      </c>
      <c r="D138" s="559"/>
      <c r="E138" s="552">
        <f>SUM(E128:E137)</f>
        <v>5143000</v>
      </c>
      <c r="F138" s="552">
        <f t="shared" ref="F138" si="153">SUM(F128:F137)</f>
        <v>0</v>
      </c>
      <c r="G138" s="552">
        <f t="shared" ref="G138:W138" si="154">SUM(G128:G137)</f>
        <v>0</v>
      </c>
      <c r="H138" s="552">
        <f t="shared" si="154"/>
        <v>0</v>
      </c>
      <c r="I138" s="552">
        <f t="shared" si="154"/>
        <v>0</v>
      </c>
      <c r="J138" s="552">
        <f t="shared" si="154"/>
        <v>0</v>
      </c>
      <c r="K138" s="552">
        <f t="shared" si="154"/>
        <v>0</v>
      </c>
      <c r="L138" s="552">
        <f t="shared" si="154"/>
        <v>0</v>
      </c>
      <c r="M138" s="552">
        <f t="shared" si="154"/>
        <v>0</v>
      </c>
      <c r="N138" s="552">
        <f t="shared" si="154"/>
        <v>0</v>
      </c>
      <c r="O138" s="552">
        <f t="shared" si="154"/>
        <v>0</v>
      </c>
      <c r="P138" s="552">
        <f t="shared" si="154"/>
        <v>0</v>
      </c>
      <c r="Q138" s="552">
        <f t="shared" si="154"/>
        <v>0</v>
      </c>
      <c r="R138" s="552">
        <f t="shared" si="154"/>
        <v>0</v>
      </c>
      <c r="S138" s="552">
        <f t="shared" si="154"/>
        <v>0</v>
      </c>
      <c r="T138" s="552">
        <f t="shared" si="154"/>
        <v>0</v>
      </c>
      <c r="U138" s="552">
        <f t="shared" si="154"/>
        <v>0</v>
      </c>
      <c r="V138" s="552">
        <f t="shared" si="154"/>
        <v>0</v>
      </c>
      <c r="W138" s="552">
        <f t="shared" si="154"/>
        <v>0</v>
      </c>
      <c r="X138" s="579">
        <f t="shared" si="151"/>
        <v>0</v>
      </c>
      <c r="Y138" s="552">
        <f t="shared" ref="Y138:AX138" si="155">SUM(Y128:Y137)</f>
        <v>0</v>
      </c>
      <c r="Z138" s="552">
        <f t="shared" ref="Z138:AF138" si="156">SUM(Z128:Z137)</f>
        <v>0</v>
      </c>
      <c r="AA138" s="552">
        <f t="shared" si="156"/>
        <v>0</v>
      </c>
      <c r="AB138" s="552">
        <f t="shared" si="156"/>
        <v>0</v>
      </c>
      <c r="AC138" s="552">
        <f t="shared" si="156"/>
        <v>0</v>
      </c>
      <c r="AD138" s="552">
        <f t="shared" si="156"/>
        <v>0</v>
      </c>
      <c r="AE138" s="552">
        <f t="shared" si="156"/>
        <v>0</v>
      </c>
      <c r="AF138" s="552">
        <f t="shared" si="156"/>
        <v>0</v>
      </c>
      <c r="AG138" s="552">
        <f t="shared" ref="AG138:AQ138" si="157">SUM(AG128:AG137)</f>
        <v>0</v>
      </c>
      <c r="AH138" s="552">
        <f t="shared" si="157"/>
        <v>0</v>
      </c>
      <c r="AI138" s="552">
        <f t="shared" si="157"/>
        <v>0</v>
      </c>
      <c r="AJ138" s="552">
        <f t="shared" si="157"/>
        <v>0</v>
      </c>
      <c r="AK138" s="552">
        <f t="shared" si="157"/>
        <v>0</v>
      </c>
      <c r="AL138" s="552">
        <f t="shared" si="157"/>
        <v>625000</v>
      </c>
      <c r="AM138" s="552">
        <f t="shared" si="157"/>
        <v>-464000</v>
      </c>
      <c r="AN138" s="552">
        <f t="shared" si="157"/>
        <v>967000</v>
      </c>
      <c r="AO138" s="552">
        <f t="shared" si="157"/>
        <v>0</v>
      </c>
      <c r="AP138" s="552">
        <f t="shared" si="157"/>
        <v>0</v>
      </c>
      <c r="AQ138" s="552">
        <f t="shared" si="157"/>
        <v>0</v>
      </c>
      <c r="AR138" s="552">
        <f t="shared" ref="AR138:AS138" si="158">SUM(AR128:AR137)</f>
        <v>1245000</v>
      </c>
      <c r="AS138" s="552">
        <f t="shared" si="158"/>
        <v>0</v>
      </c>
      <c r="AT138" s="552">
        <f t="shared" si="155"/>
        <v>2373000</v>
      </c>
      <c r="AU138" s="552">
        <f t="shared" si="155"/>
        <v>2373000</v>
      </c>
      <c r="AV138" s="552">
        <f t="shared" si="155"/>
        <v>7516000</v>
      </c>
      <c r="AW138" s="552">
        <f t="shared" si="155"/>
        <v>0</v>
      </c>
      <c r="AX138" s="552">
        <f t="shared" si="155"/>
        <v>7516000</v>
      </c>
    </row>
    <row r="139" spans="1:50" ht="30.95" customHeight="1">
      <c r="A139" s="529">
        <v>137</v>
      </c>
      <c r="B139" s="794" t="s">
        <v>214</v>
      </c>
      <c r="C139" s="521" t="s">
        <v>1046</v>
      </c>
      <c r="D139" s="545">
        <v>407</v>
      </c>
      <c r="E139" s="538">
        <f>PROFORMA!F218</f>
        <v>-394000</v>
      </c>
      <c r="F139" s="538">
        <f>PROFORMA!G218</f>
        <v>0</v>
      </c>
      <c r="G139" s="538">
        <f>PROFORMA!H218</f>
        <v>0</v>
      </c>
      <c r="H139" s="538">
        <f>PROFORMA!I218</f>
        <v>0</v>
      </c>
      <c r="I139" s="538">
        <f>PROFORMA!J218</f>
        <v>0</v>
      </c>
      <c r="J139" s="538">
        <f>PROFORMA!K218</f>
        <v>0</v>
      </c>
      <c r="K139" s="538">
        <f>PROFORMA!L218</f>
        <v>0</v>
      </c>
      <c r="L139" s="538">
        <f>PROFORMA!M218</f>
        <v>0</v>
      </c>
      <c r="M139" s="538">
        <f>PROFORMA!N218</f>
        <v>0</v>
      </c>
      <c r="N139" s="538">
        <f>PROFORMA!O218</f>
        <v>0</v>
      </c>
      <c r="O139" s="538">
        <f>PROFORMA!P218</f>
        <v>0</v>
      </c>
      <c r="P139" s="538">
        <f>PROFORMA!Q218</f>
        <v>0</v>
      </c>
      <c r="Q139" s="538">
        <f>PROFORMA!R218</f>
        <v>0</v>
      </c>
      <c r="R139" s="538">
        <f>PROFORMA!S218</f>
        <v>0</v>
      </c>
      <c r="S139" s="538">
        <f>PROFORMA!T218</f>
        <v>0</v>
      </c>
      <c r="T139" s="538">
        <f>PROFORMA!U218</f>
        <v>0</v>
      </c>
      <c r="U139" s="538">
        <f>PROFORMA!V218</f>
        <v>0</v>
      </c>
      <c r="V139" s="538">
        <f>PROFORMA!W218</f>
        <v>0</v>
      </c>
      <c r="W139" s="538">
        <f>PROFORMA!X218</f>
        <v>0</v>
      </c>
      <c r="X139" s="579">
        <f t="shared" si="151"/>
        <v>0</v>
      </c>
      <c r="Y139" s="538">
        <f>PROFORMA!Y218</f>
        <v>0</v>
      </c>
      <c r="Z139" s="538">
        <f>PROFORMA!Z218</f>
        <v>-244000</v>
      </c>
      <c r="AA139" s="538">
        <f>PROFORMA!AA218</f>
        <v>0</v>
      </c>
      <c r="AB139" s="538">
        <f>PROFORMA!AB218</f>
        <v>0</v>
      </c>
      <c r="AC139" s="538">
        <f>PROFORMA!AC218</f>
        <v>0</v>
      </c>
      <c r="AD139" s="538">
        <f>PROFORMA!AD218</f>
        <v>0</v>
      </c>
      <c r="AE139" s="538">
        <f>PROFORMA!AE218</f>
        <v>-1731000</v>
      </c>
      <c r="AF139" s="538">
        <f>PROFORMA!AG218</f>
        <v>0</v>
      </c>
      <c r="AG139" s="538">
        <f>PROFORMA!AH218</f>
        <v>0</v>
      </c>
      <c r="AH139" s="538">
        <f>PROFORMA!AI218</f>
        <v>0</v>
      </c>
      <c r="AI139" s="538">
        <f>PROFORMA!AJ218</f>
        <v>0</v>
      </c>
      <c r="AJ139" s="538">
        <f>PROFORMA!AK218</f>
        <v>0</v>
      </c>
      <c r="AK139" s="538">
        <f>PROFORMA!AL218</f>
        <v>0</v>
      </c>
      <c r="AL139" s="538">
        <f>PROFORMA!AM218</f>
        <v>0</v>
      </c>
      <c r="AM139" s="538">
        <f>PROFORMA!AN218</f>
        <v>0</v>
      </c>
      <c r="AN139" s="538">
        <f>PROFORMA!AO218</f>
        <v>0</v>
      </c>
      <c r="AO139" s="538">
        <f>PROFORMA!AP218</f>
        <v>300000</v>
      </c>
      <c r="AP139" s="538">
        <f>PROFORMA!AQ218</f>
        <v>0</v>
      </c>
      <c r="AQ139" s="538">
        <f>PROFORMA!AR218</f>
        <v>0</v>
      </c>
      <c r="AR139" s="538">
        <f>PROFORMA!AS218</f>
        <v>0</v>
      </c>
      <c r="AS139" s="538">
        <f>PROFORMA!AT218</f>
        <v>0</v>
      </c>
      <c r="AT139" s="582">
        <f t="shared" ref="AT139:AT144" si="159">SUM(Y139:AS139)</f>
        <v>-1675000</v>
      </c>
      <c r="AU139" s="532">
        <f t="shared" ref="AU139:AU144" si="160">X139+AT139</f>
        <v>-1675000</v>
      </c>
      <c r="AV139" s="532">
        <f t="shared" ref="AV139:AV144" si="161">E139+AU139</f>
        <v>-2069000</v>
      </c>
      <c r="AW139" s="532"/>
      <c r="AX139" s="532">
        <f t="shared" si="152"/>
        <v>-2069000</v>
      </c>
    </row>
    <row r="140" spans="1:50" ht="31.5">
      <c r="A140" s="529">
        <v>138</v>
      </c>
      <c r="B140" s="794"/>
      <c r="C140" s="521" t="s">
        <v>384</v>
      </c>
      <c r="D140" s="562">
        <v>404.2</v>
      </c>
      <c r="E140" s="538">
        <f>PROFORMA!F219</f>
        <v>88000</v>
      </c>
      <c r="F140" s="538">
        <f>PROFORMA!G219</f>
        <v>0</v>
      </c>
      <c r="G140" s="538">
        <f>PROFORMA!H219</f>
        <v>0</v>
      </c>
      <c r="H140" s="538">
        <f>PROFORMA!I219</f>
        <v>0</v>
      </c>
      <c r="I140" s="538">
        <f>PROFORMA!J219</f>
        <v>0</v>
      </c>
      <c r="J140" s="538">
        <f>PROFORMA!K219</f>
        <v>0</v>
      </c>
      <c r="K140" s="538">
        <f>PROFORMA!L219</f>
        <v>0</v>
      </c>
      <c r="L140" s="538">
        <f>PROFORMA!M219</f>
        <v>0</v>
      </c>
      <c r="M140" s="538">
        <f>PROFORMA!N219</f>
        <v>0</v>
      </c>
      <c r="N140" s="538">
        <f>PROFORMA!O219</f>
        <v>0</v>
      </c>
      <c r="O140" s="538">
        <f>PROFORMA!P219</f>
        <v>0</v>
      </c>
      <c r="P140" s="538">
        <f>PROFORMA!Q219</f>
        <v>0</v>
      </c>
      <c r="Q140" s="538">
        <f>PROFORMA!R219</f>
        <v>0</v>
      </c>
      <c r="R140" s="538">
        <f>PROFORMA!S219</f>
        <v>0</v>
      </c>
      <c r="S140" s="538">
        <f>PROFORMA!T219</f>
        <v>0</v>
      </c>
      <c r="T140" s="538">
        <f>PROFORMA!U219</f>
        <v>0</v>
      </c>
      <c r="U140" s="538">
        <f>PROFORMA!V219</f>
        <v>0</v>
      </c>
      <c r="V140" s="538">
        <f>PROFORMA!W219</f>
        <v>0</v>
      </c>
      <c r="W140" s="538">
        <f>PROFORMA!X219</f>
        <v>0</v>
      </c>
      <c r="X140" s="579">
        <f t="shared" si="151"/>
        <v>0</v>
      </c>
      <c r="Y140" s="538">
        <f>PROFORMA!Y219</f>
        <v>0</v>
      </c>
      <c r="Z140" s="538">
        <f>PROFORMA!Z219</f>
        <v>0</v>
      </c>
      <c r="AA140" s="538">
        <f>PROFORMA!AA219</f>
        <v>0</v>
      </c>
      <c r="AB140" s="538">
        <f>PROFORMA!AB219</f>
        <v>0</v>
      </c>
      <c r="AC140" s="538">
        <f>PROFORMA!AC219</f>
        <v>0</v>
      </c>
      <c r="AD140" s="538">
        <f>PROFORMA!AD219</f>
        <v>0</v>
      </c>
      <c r="AE140" s="538">
        <f>PROFORMA!AE219</f>
        <v>0</v>
      </c>
      <c r="AF140" s="538">
        <f>PROFORMA!AG219</f>
        <v>0</v>
      </c>
      <c r="AG140" s="538">
        <f>PROFORMA!AH219</f>
        <v>0</v>
      </c>
      <c r="AH140" s="538">
        <f>PROFORMA!AI219</f>
        <v>0</v>
      </c>
      <c r="AI140" s="538">
        <f>PROFORMA!AJ219</f>
        <v>0</v>
      </c>
      <c r="AJ140" s="538">
        <f>PROFORMA!AK219</f>
        <v>0</v>
      </c>
      <c r="AK140" s="538">
        <f>PROFORMA!AL219</f>
        <v>0</v>
      </c>
      <c r="AL140" s="538">
        <f>PROFORMA!AM219</f>
        <v>0</v>
      </c>
      <c r="AM140" s="538">
        <f>PROFORMA!AN219</f>
        <v>0</v>
      </c>
      <c r="AN140" s="538">
        <f>PROFORMA!AO219</f>
        <v>0</v>
      </c>
      <c r="AO140" s="538">
        <f>PROFORMA!AP219</f>
        <v>0</v>
      </c>
      <c r="AP140" s="538">
        <f>PROFORMA!AQ219</f>
        <v>0</v>
      </c>
      <c r="AQ140" s="538">
        <f>PROFORMA!AR219</f>
        <v>0</v>
      </c>
      <c r="AR140" s="538">
        <f>PROFORMA!AS219</f>
        <v>0</v>
      </c>
      <c r="AS140" s="538">
        <f>PROFORMA!AT219</f>
        <v>0</v>
      </c>
      <c r="AT140" s="582">
        <f t="shared" si="159"/>
        <v>0</v>
      </c>
      <c r="AU140" s="532">
        <f t="shared" si="160"/>
        <v>0</v>
      </c>
      <c r="AV140" s="532">
        <f t="shared" si="161"/>
        <v>88000</v>
      </c>
      <c r="AW140" s="532"/>
      <c r="AX140" s="532">
        <f t="shared" si="152"/>
        <v>88000</v>
      </c>
    </row>
    <row r="141" spans="1:50" ht="31.5">
      <c r="A141" s="529">
        <v>139</v>
      </c>
      <c r="B141" s="794"/>
      <c r="C141" s="521" t="s">
        <v>385</v>
      </c>
      <c r="D141" s="562">
        <v>404.3</v>
      </c>
      <c r="E141" s="538">
        <f>PROFORMA!F220</f>
        <v>7571000</v>
      </c>
      <c r="F141" s="538">
        <f>PROFORMA!G220</f>
        <v>0</v>
      </c>
      <c r="G141" s="538">
        <f>PROFORMA!H220</f>
        <v>0</v>
      </c>
      <c r="H141" s="538">
        <f>PROFORMA!I220</f>
        <v>0</v>
      </c>
      <c r="I141" s="538">
        <f>PROFORMA!J220</f>
        <v>0</v>
      </c>
      <c r="J141" s="538">
        <f>PROFORMA!K220</f>
        <v>0</v>
      </c>
      <c r="K141" s="538">
        <f>PROFORMA!L220</f>
        <v>0</v>
      </c>
      <c r="L141" s="538">
        <f>PROFORMA!M220</f>
        <v>0</v>
      </c>
      <c r="M141" s="538">
        <f>PROFORMA!N220</f>
        <v>0</v>
      </c>
      <c r="N141" s="538">
        <f>PROFORMA!O220</f>
        <v>0</v>
      </c>
      <c r="O141" s="538">
        <f>PROFORMA!P220</f>
        <v>0</v>
      </c>
      <c r="P141" s="538">
        <f>PROFORMA!Q220</f>
        <v>0</v>
      </c>
      <c r="Q141" s="538">
        <f>PROFORMA!R220</f>
        <v>0</v>
      </c>
      <c r="R141" s="538">
        <f>PROFORMA!S220</f>
        <v>0</v>
      </c>
      <c r="S141" s="538">
        <f>PROFORMA!T220</f>
        <v>0</v>
      </c>
      <c r="T141" s="538">
        <f>PROFORMA!U220</f>
        <v>0</v>
      </c>
      <c r="U141" s="538">
        <f>PROFORMA!V220</f>
        <v>0</v>
      </c>
      <c r="V141" s="538">
        <f>PROFORMA!W220</f>
        <v>0</v>
      </c>
      <c r="W141" s="538">
        <f>PROFORMA!X220</f>
        <v>0</v>
      </c>
      <c r="X141" s="579">
        <f t="shared" si="151"/>
        <v>0</v>
      </c>
      <c r="Y141" s="538">
        <f>PROFORMA!Y220</f>
        <v>0</v>
      </c>
      <c r="Z141" s="538">
        <f>PROFORMA!Z220</f>
        <v>0</v>
      </c>
      <c r="AA141" s="538">
        <f>PROFORMA!AA220</f>
        <v>0</v>
      </c>
      <c r="AB141" s="538">
        <f>PROFORMA!AB220</f>
        <v>-112000</v>
      </c>
      <c r="AC141" s="538">
        <f>PROFORMA!AC220</f>
        <v>0</v>
      </c>
      <c r="AD141" s="538">
        <f>PROFORMA!AD220</f>
        <v>0</v>
      </c>
      <c r="AE141" s="538">
        <f>PROFORMA!AE220</f>
        <v>0</v>
      </c>
      <c r="AF141" s="538">
        <f>PROFORMA!AG220</f>
        <v>0</v>
      </c>
      <c r="AG141" s="538">
        <f>PROFORMA!AH220</f>
        <v>0</v>
      </c>
      <c r="AH141" s="538">
        <f>PROFORMA!AI220</f>
        <v>0</v>
      </c>
      <c r="AI141" s="538">
        <f>PROFORMA!AJ220</f>
        <v>0</v>
      </c>
      <c r="AJ141" s="538">
        <f>PROFORMA!AK220</f>
        <v>0</v>
      </c>
      <c r="AK141" s="538">
        <f>PROFORMA!AL220</f>
        <v>0</v>
      </c>
      <c r="AL141" s="538">
        <f>PROFORMA!AM220</f>
        <v>0</v>
      </c>
      <c r="AM141" s="538">
        <f>PROFORMA!AN220</f>
        <v>0</v>
      </c>
      <c r="AN141" s="538">
        <f>PROFORMA!AO220</f>
        <v>0</v>
      </c>
      <c r="AO141" s="538">
        <f>PROFORMA!AP220</f>
        <v>0</v>
      </c>
      <c r="AP141" s="538">
        <f>PROFORMA!AQ220</f>
        <v>0</v>
      </c>
      <c r="AQ141" s="538">
        <f>PROFORMA!AR220</f>
        <v>0</v>
      </c>
      <c r="AR141" s="538">
        <f>PROFORMA!AS220</f>
        <v>0</v>
      </c>
      <c r="AS141" s="538">
        <f>PROFORMA!AT220</f>
        <v>0</v>
      </c>
      <c r="AT141" s="582">
        <f t="shared" si="159"/>
        <v>-112000</v>
      </c>
      <c r="AU141" s="532">
        <f t="shared" si="160"/>
        <v>-112000</v>
      </c>
      <c r="AV141" s="532">
        <f t="shared" si="161"/>
        <v>7459000</v>
      </c>
      <c r="AW141" s="532"/>
      <c r="AX141" s="532">
        <f t="shared" si="152"/>
        <v>7459000</v>
      </c>
    </row>
    <row r="142" spans="1:50">
      <c r="A142" s="529">
        <v>140</v>
      </c>
      <c r="B142" s="794"/>
      <c r="C142" s="521" t="s">
        <v>1043</v>
      </c>
      <c r="D142" s="562">
        <v>407.23</v>
      </c>
      <c r="E142" s="538">
        <f>PROFORMA!F221</f>
        <v>-31000</v>
      </c>
      <c r="F142" s="538">
        <f>PROFORMA!G221</f>
        <v>0</v>
      </c>
      <c r="G142" s="538">
        <f>PROFORMA!H221</f>
        <v>0</v>
      </c>
      <c r="H142" s="538">
        <f>PROFORMA!I221</f>
        <v>0</v>
      </c>
      <c r="I142" s="538">
        <f>PROFORMA!J221</f>
        <v>0</v>
      </c>
      <c r="J142" s="538">
        <f>PROFORMA!K221</f>
        <v>0</v>
      </c>
      <c r="K142" s="538">
        <f>PROFORMA!L221</f>
        <v>0</v>
      </c>
      <c r="L142" s="538">
        <f>PROFORMA!M221</f>
        <v>0</v>
      </c>
      <c r="M142" s="538">
        <f>PROFORMA!N221</f>
        <v>0</v>
      </c>
      <c r="N142" s="538">
        <f>PROFORMA!O221</f>
        <v>0</v>
      </c>
      <c r="O142" s="538">
        <f>PROFORMA!P221</f>
        <v>0</v>
      </c>
      <c r="P142" s="538">
        <f>PROFORMA!Q221</f>
        <v>0</v>
      </c>
      <c r="Q142" s="538">
        <f>PROFORMA!R221</f>
        <v>0</v>
      </c>
      <c r="R142" s="538">
        <f>PROFORMA!S221</f>
        <v>0</v>
      </c>
      <c r="S142" s="538">
        <f>PROFORMA!T221</f>
        <v>0</v>
      </c>
      <c r="T142" s="538">
        <f>PROFORMA!U221</f>
        <v>0</v>
      </c>
      <c r="U142" s="538">
        <f>PROFORMA!V221</f>
        <v>0</v>
      </c>
      <c r="V142" s="538">
        <f>PROFORMA!W221</f>
        <v>0</v>
      </c>
      <c r="W142" s="538">
        <f>PROFORMA!X221</f>
        <v>0</v>
      </c>
      <c r="X142" s="579">
        <f t="shared" si="151"/>
        <v>0</v>
      </c>
      <c r="Y142" s="538">
        <f>PROFORMA!Y221</f>
        <v>0</v>
      </c>
      <c r="Z142" s="538">
        <f>PROFORMA!Z221</f>
        <v>0</v>
      </c>
      <c r="AA142" s="538">
        <f>PROFORMA!AA221</f>
        <v>0</v>
      </c>
      <c r="AB142" s="538">
        <f>PROFORMA!AB221</f>
        <v>0</v>
      </c>
      <c r="AC142" s="538">
        <f>PROFORMA!AC221</f>
        <v>0</v>
      </c>
      <c r="AD142" s="538">
        <f>PROFORMA!AD221</f>
        <v>0</v>
      </c>
      <c r="AE142" s="538">
        <f>PROFORMA!AE221</f>
        <v>0</v>
      </c>
      <c r="AF142" s="538">
        <f>PROFORMA!AG221</f>
        <v>0</v>
      </c>
      <c r="AG142" s="538">
        <f>PROFORMA!AH221</f>
        <v>0</v>
      </c>
      <c r="AH142" s="538">
        <f>PROFORMA!AI221</f>
        <v>0</v>
      </c>
      <c r="AI142" s="538">
        <f>PROFORMA!AJ221</f>
        <v>0</v>
      </c>
      <c r="AJ142" s="538">
        <f>PROFORMA!AK221</f>
        <v>0</v>
      </c>
      <c r="AK142" s="538">
        <f>PROFORMA!AL221</f>
        <v>0</v>
      </c>
      <c r="AL142" s="538">
        <f>PROFORMA!AM221</f>
        <v>0</v>
      </c>
      <c r="AM142" s="538">
        <f>PROFORMA!AN221</f>
        <v>0</v>
      </c>
      <c r="AN142" s="538">
        <f>PROFORMA!AO221</f>
        <v>0</v>
      </c>
      <c r="AO142" s="538">
        <f>PROFORMA!AP221</f>
        <v>0</v>
      </c>
      <c r="AP142" s="538">
        <f>PROFORMA!AQ221</f>
        <v>0</v>
      </c>
      <c r="AQ142" s="538">
        <f>PROFORMA!AR221</f>
        <v>0</v>
      </c>
      <c r="AR142" s="538">
        <f>PROFORMA!AS221</f>
        <v>0</v>
      </c>
      <c r="AS142" s="538">
        <f>PROFORMA!AT221</f>
        <v>0</v>
      </c>
      <c r="AT142" s="582">
        <f t="shared" si="159"/>
        <v>0</v>
      </c>
      <c r="AU142" s="532">
        <f t="shared" si="160"/>
        <v>0</v>
      </c>
      <c r="AV142" s="532">
        <f t="shared" si="161"/>
        <v>-31000</v>
      </c>
      <c r="AW142" s="532"/>
      <c r="AX142" s="532">
        <f t="shared" si="152"/>
        <v>-31000</v>
      </c>
    </row>
    <row r="143" spans="1:50">
      <c r="A143" s="529">
        <v>141</v>
      </c>
      <c r="B143" s="794"/>
      <c r="C143" s="521" t="s">
        <v>1044</v>
      </c>
      <c r="D143" s="563">
        <v>407.30200000000002</v>
      </c>
      <c r="E143" s="538">
        <f>PROFORMA!F222</f>
        <v>2037000</v>
      </c>
      <c r="F143" s="538">
        <f>PROFORMA!G222</f>
        <v>0</v>
      </c>
      <c r="G143" s="538">
        <f>PROFORMA!H222</f>
        <v>0</v>
      </c>
      <c r="H143" s="538">
        <f>PROFORMA!I222</f>
        <v>0</v>
      </c>
      <c r="I143" s="538">
        <f>PROFORMA!J222</f>
        <v>0</v>
      </c>
      <c r="J143" s="538">
        <f>PROFORMA!K222</f>
        <v>0</v>
      </c>
      <c r="K143" s="538">
        <f>PROFORMA!L222</f>
        <v>0</v>
      </c>
      <c r="L143" s="538">
        <f>PROFORMA!M222</f>
        <v>0</v>
      </c>
      <c r="M143" s="538">
        <f>PROFORMA!N222</f>
        <v>0</v>
      </c>
      <c r="N143" s="538">
        <f>PROFORMA!O222</f>
        <v>0</v>
      </c>
      <c r="O143" s="538">
        <f>PROFORMA!P222</f>
        <v>0</v>
      </c>
      <c r="P143" s="538">
        <f>PROFORMA!Q222</f>
        <v>0</v>
      </c>
      <c r="Q143" s="538">
        <f>PROFORMA!R222</f>
        <v>0</v>
      </c>
      <c r="R143" s="538">
        <f>PROFORMA!S222</f>
        <v>0</v>
      </c>
      <c r="S143" s="538">
        <f>PROFORMA!T222</f>
        <v>0</v>
      </c>
      <c r="T143" s="538">
        <f>PROFORMA!U222</f>
        <v>0</v>
      </c>
      <c r="U143" s="538">
        <f>PROFORMA!V222</f>
        <v>0</v>
      </c>
      <c r="V143" s="538">
        <f>PROFORMA!W222</f>
        <v>0</v>
      </c>
      <c r="W143" s="538">
        <f>PROFORMA!X222</f>
        <v>0</v>
      </c>
      <c r="X143" s="579">
        <f t="shared" si="151"/>
        <v>0</v>
      </c>
      <c r="Y143" s="538">
        <f>PROFORMA!Y222</f>
        <v>0</v>
      </c>
      <c r="Z143" s="538">
        <f>PROFORMA!Z222</f>
        <v>0</v>
      </c>
      <c r="AA143" s="538">
        <f>PROFORMA!AA222</f>
        <v>0</v>
      </c>
      <c r="AB143" s="538">
        <f>PROFORMA!AB222</f>
        <v>0</v>
      </c>
      <c r="AC143" s="538">
        <f>PROFORMA!AC222</f>
        <v>0</v>
      </c>
      <c r="AD143" s="538">
        <f>PROFORMA!AD222</f>
        <v>0</v>
      </c>
      <c r="AE143" s="538">
        <f>PROFORMA!AE222</f>
        <v>0</v>
      </c>
      <c r="AF143" s="538">
        <f>PROFORMA!AG222</f>
        <v>0</v>
      </c>
      <c r="AG143" s="538">
        <f>PROFORMA!AH222</f>
        <v>0</v>
      </c>
      <c r="AH143" s="538">
        <f>PROFORMA!AI222</f>
        <v>0</v>
      </c>
      <c r="AI143" s="538">
        <f>PROFORMA!AJ222</f>
        <v>0</v>
      </c>
      <c r="AJ143" s="538">
        <f>PROFORMA!AK222</f>
        <v>0</v>
      </c>
      <c r="AK143" s="538">
        <f>PROFORMA!AL222</f>
        <v>0</v>
      </c>
      <c r="AL143" s="538">
        <f>PROFORMA!AM222</f>
        <v>0</v>
      </c>
      <c r="AM143" s="538">
        <f>PROFORMA!AN222</f>
        <v>0</v>
      </c>
      <c r="AN143" s="538">
        <f>PROFORMA!AO222</f>
        <v>0</v>
      </c>
      <c r="AO143" s="538">
        <f>PROFORMA!AP222</f>
        <v>0</v>
      </c>
      <c r="AP143" s="538">
        <f>PROFORMA!AQ222</f>
        <v>0</v>
      </c>
      <c r="AQ143" s="538">
        <f>PROFORMA!AR222</f>
        <v>0</v>
      </c>
      <c r="AR143" s="538">
        <f>PROFORMA!AS222</f>
        <v>0</v>
      </c>
      <c r="AS143" s="538">
        <f>PROFORMA!AT222</f>
        <v>0</v>
      </c>
      <c r="AT143" s="582">
        <f t="shared" si="159"/>
        <v>0</v>
      </c>
      <c r="AU143" s="532">
        <f t="shared" si="160"/>
        <v>0</v>
      </c>
      <c r="AV143" s="532">
        <f t="shared" si="161"/>
        <v>2037000</v>
      </c>
      <c r="AW143" s="532"/>
      <c r="AX143" s="532">
        <f t="shared" si="152"/>
        <v>2037000</v>
      </c>
    </row>
    <row r="144" spans="1:50">
      <c r="A144" s="529">
        <v>142</v>
      </c>
      <c r="B144" s="794"/>
      <c r="C144" s="521" t="s">
        <v>1045</v>
      </c>
      <c r="D144" s="563">
        <v>407.41399999999999</v>
      </c>
      <c r="E144" s="574">
        <f>PROFORMA!F223</f>
        <v>0</v>
      </c>
      <c r="F144" s="574">
        <f>PROFORMA!G223</f>
        <v>0</v>
      </c>
      <c r="G144" s="574">
        <f>PROFORMA!H223</f>
        <v>0</v>
      </c>
      <c r="H144" s="574">
        <f>PROFORMA!I223</f>
        <v>0</v>
      </c>
      <c r="I144" s="574">
        <f>PROFORMA!J223</f>
        <v>0</v>
      </c>
      <c r="J144" s="574">
        <f>PROFORMA!K223</f>
        <v>0</v>
      </c>
      <c r="K144" s="574">
        <f>PROFORMA!L223</f>
        <v>0</v>
      </c>
      <c r="L144" s="574">
        <f>PROFORMA!M223</f>
        <v>0</v>
      </c>
      <c r="M144" s="574">
        <f>PROFORMA!N223</f>
        <v>0</v>
      </c>
      <c r="N144" s="574">
        <f>PROFORMA!O223</f>
        <v>0</v>
      </c>
      <c r="O144" s="574">
        <f>PROFORMA!P223</f>
        <v>0</v>
      </c>
      <c r="P144" s="574">
        <f>PROFORMA!Q223</f>
        <v>0</v>
      </c>
      <c r="Q144" s="574">
        <f>PROFORMA!R223</f>
        <v>0</v>
      </c>
      <c r="R144" s="574">
        <f>PROFORMA!S223</f>
        <v>0</v>
      </c>
      <c r="S144" s="574">
        <f>PROFORMA!T223</f>
        <v>0</v>
      </c>
      <c r="T144" s="574">
        <f>PROFORMA!U223</f>
        <v>0</v>
      </c>
      <c r="U144" s="574">
        <f>PROFORMA!V223</f>
        <v>0</v>
      </c>
      <c r="V144" s="574">
        <f>PROFORMA!W223</f>
        <v>0</v>
      </c>
      <c r="W144" s="574">
        <f>PROFORMA!X223</f>
        <v>0</v>
      </c>
      <c r="X144" s="580">
        <f t="shared" si="151"/>
        <v>0</v>
      </c>
      <c r="Y144" s="574">
        <f>PROFORMA!Y223</f>
        <v>0</v>
      </c>
      <c r="Z144" s="574">
        <f>PROFORMA!Z223</f>
        <v>0</v>
      </c>
      <c r="AA144" s="574">
        <f>PROFORMA!AA223</f>
        <v>0</v>
      </c>
      <c r="AB144" s="574">
        <f>PROFORMA!AB223</f>
        <v>0</v>
      </c>
      <c r="AC144" s="574">
        <f>PROFORMA!AC223</f>
        <v>0</v>
      </c>
      <c r="AD144" s="574">
        <f>PROFORMA!AD223</f>
        <v>0</v>
      </c>
      <c r="AE144" s="574">
        <f>PROFORMA!AE223</f>
        <v>0</v>
      </c>
      <c r="AF144" s="574">
        <f>PROFORMA!AG223</f>
        <v>0</v>
      </c>
      <c r="AG144" s="574">
        <f>PROFORMA!AH223</f>
        <v>0</v>
      </c>
      <c r="AH144" s="574">
        <f>PROFORMA!AI223</f>
        <v>0</v>
      </c>
      <c r="AI144" s="574">
        <f>PROFORMA!AJ223</f>
        <v>0</v>
      </c>
      <c r="AJ144" s="574">
        <f>PROFORMA!AK223</f>
        <v>0</v>
      </c>
      <c r="AK144" s="574">
        <f>PROFORMA!AL223</f>
        <v>0</v>
      </c>
      <c r="AL144" s="574">
        <f>PROFORMA!AM223</f>
        <v>0</v>
      </c>
      <c r="AM144" s="574">
        <f>PROFORMA!AN223</f>
        <v>0</v>
      </c>
      <c r="AN144" s="574">
        <f>PROFORMA!AO223</f>
        <v>0</v>
      </c>
      <c r="AO144" s="574">
        <f>PROFORMA!AP223</f>
        <v>0</v>
      </c>
      <c r="AP144" s="574">
        <f>PROFORMA!AQ223</f>
        <v>0</v>
      </c>
      <c r="AQ144" s="574">
        <f>PROFORMA!AR223</f>
        <v>0</v>
      </c>
      <c r="AR144" s="574">
        <f>PROFORMA!AS223</f>
        <v>0</v>
      </c>
      <c r="AS144" s="574">
        <f>PROFORMA!AT223</f>
        <v>0</v>
      </c>
      <c r="AT144" s="583">
        <f t="shared" si="159"/>
        <v>0</v>
      </c>
      <c r="AU144" s="581">
        <f t="shared" si="160"/>
        <v>0</v>
      </c>
      <c r="AV144" s="581">
        <f t="shared" si="161"/>
        <v>0</v>
      </c>
      <c r="AW144" s="581"/>
      <c r="AX144" s="581">
        <f t="shared" si="152"/>
        <v>0</v>
      </c>
    </row>
    <row r="145" spans="1:50">
      <c r="A145" s="529">
        <v>143</v>
      </c>
      <c r="B145" s="500"/>
      <c r="C145" s="525" t="s">
        <v>1069</v>
      </c>
      <c r="D145" s="525"/>
      <c r="E145" s="578">
        <f>SUM(E139:E144)</f>
        <v>9271000</v>
      </c>
      <c r="F145" s="578">
        <f t="shared" ref="F145" si="162">SUM(F139:F144)</f>
        <v>0</v>
      </c>
      <c r="G145" s="578">
        <f t="shared" ref="G145:W145" si="163">SUM(G139:G144)</f>
        <v>0</v>
      </c>
      <c r="H145" s="578">
        <f t="shared" si="163"/>
        <v>0</v>
      </c>
      <c r="I145" s="578">
        <f t="shared" si="163"/>
        <v>0</v>
      </c>
      <c r="J145" s="578">
        <f t="shared" si="163"/>
        <v>0</v>
      </c>
      <c r="K145" s="578">
        <f t="shared" si="163"/>
        <v>0</v>
      </c>
      <c r="L145" s="578">
        <f t="shared" si="163"/>
        <v>0</v>
      </c>
      <c r="M145" s="578">
        <f t="shared" si="163"/>
        <v>0</v>
      </c>
      <c r="N145" s="578">
        <f t="shared" si="163"/>
        <v>0</v>
      </c>
      <c r="O145" s="578">
        <f t="shared" si="163"/>
        <v>0</v>
      </c>
      <c r="P145" s="578">
        <f t="shared" si="163"/>
        <v>0</v>
      </c>
      <c r="Q145" s="578">
        <f t="shared" si="163"/>
        <v>0</v>
      </c>
      <c r="R145" s="578">
        <f t="shared" si="163"/>
        <v>0</v>
      </c>
      <c r="S145" s="578">
        <f t="shared" si="163"/>
        <v>0</v>
      </c>
      <c r="T145" s="578">
        <f t="shared" si="163"/>
        <v>0</v>
      </c>
      <c r="U145" s="578">
        <f t="shared" si="163"/>
        <v>0</v>
      </c>
      <c r="V145" s="578">
        <f t="shared" si="163"/>
        <v>0</v>
      </c>
      <c r="W145" s="578">
        <f t="shared" si="163"/>
        <v>0</v>
      </c>
      <c r="X145" s="580">
        <f t="shared" si="151"/>
        <v>0</v>
      </c>
      <c r="Y145" s="578">
        <f t="shared" ref="Y145:AX145" si="164">SUM(Y139:Y144)</f>
        <v>0</v>
      </c>
      <c r="Z145" s="578">
        <f t="shared" ref="Z145:AF145" si="165">SUM(Z139:Z144)</f>
        <v>-244000</v>
      </c>
      <c r="AA145" s="578">
        <f t="shared" si="165"/>
        <v>0</v>
      </c>
      <c r="AB145" s="578">
        <f t="shared" si="165"/>
        <v>-112000</v>
      </c>
      <c r="AC145" s="578">
        <f t="shared" si="165"/>
        <v>0</v>
      </c>
      <c r="AD145" s="578">
        <f t="shared" si="165"/>
        <v>0</v>
      </c>
      <c r="AE145" s="578">
        <f t="shared" si="165"/>
        <v>-1731000</v>
      </c>
      <c r="AF145" s="578">
        <f t="shared" si="165"/>
        <v>0</v>
      </c>
      <c r="AG145" s="578">
        <f t="shared" ref="AG145:AQ145" si="166">SUM(AG139:AG144)</f>
        <v>0</v>
      </c>
      <c r="AH145" s="578">
        <f t="shared" si="166"/>
        <v>0</v>
      </c>
      <c r="AI145" s="578">
        <f t="shared" si="166"/>
        <v>0</v>
      </c>
      <c r="AJ145" s="578">
        <f t="shared" si="166"/>
        <v>0</v>
      </c>
      <c r="AK145" s="578">
        <f t="shared" si="166"/>
        <v>0</v>
      </c>
      <c r="AL145" s="578">
        <f t="shared" si="166"/>
        <v>0</v>
      </c>
      <c r="AM145" s="578">
        <f t="shared" si="166"/>
        <v>0</v>
      </c>
      <c r="AN145" s="578">
        <f t="shared" si="166"/>
        <v>0</v>
      </c>
      <c r="AO145" s="578">
        <f t="shared" si="166"/>
        <v>300000</v>
      </c>
      <c r="AP145" s="578">
        <f t="shared" si="166"/>
        <v>0</v>
      </c>
      <c r="AQ145" s="578">
        <f t="shared" si="166"/>
        <v>0</v>
      </c>
      <c r="AR145" s="578">
        <f t="shared" ref="AR145:AS145" si="167">SUM(AR139:AR144)</f>
        <v>0</v>
      </c>
      <c r="AS145" s="578">
        <f t="shared" si="167"/>
        <v>0</v>
      </c>
      <c r="AT145" s="578">
        <f t="shared" si="164"/>
        <v>-1787000</v>
      </c>
      <c r="AU145" s="578">
        <f t="shared" si="164"/>
        <v>-1787000</v>
      </c>
      <c r="AV145" s="578">
        <f t="shared" si="164"/>
        <v>7484000</v>
      </c>
      <c r="AW145" s="578">
        <f t="shared" si="164"/>
        <v>0</v>
      </c>
      <c r="AX145" s="578">
        <f t="shared" si="164"/>
        <v>7484000</v>
      </c>
    </row>
    <row r="146" spans="1:50">
      <c r="A146" s="529">
        <v>144</v>
      </c>
      <c r="B146" s="500"/>
      <c r="C146" s="558" t="s">
        <v>639</v>
      </c>
      <c r="D146" s="565"/>
      <c r="E146" s="539">
        <f>E113+E127+E138+E145</f>
        <v>31365000</v>
      </c>
      <c r="F146" s="539">
        <f t="shared" ref="F146" si="168">F113+F127+F138+F145</f>
        <v>0</v>
      </c>
      <c r="G146" s="539">
        <f t="shared" ref="G146:W146" si="169">G113+G127+G138+G145</f>
        <v>0</v>
      </c>
      <c r="H146" s="539">
        <f t="shared" si="169"/>
        <v>0</v>
      </c>
      <c r="I146" s="539">
        <f t="shared" si="169"/>
        <v>0</v>
      </c>
      <c r="J146" s="539">
        <f t="shared" si="169"/>
        <v>0</v>
      </c>
      <c r="K146" s="539">
        <f t="shared" si="169"/>
        <v>0</v>
      </c>
      <c r="L146" s="539">
        <f t="shared" si="169"/>
        <v>0</v>
      </c>
      <c r="M146" s="539">
        <f t="shared" si="169"/>
        <v>0</v>
      </c>
      <c r="N146" s="539">
        <f t="shared" si="169"/>
        <v>0</v>
      </c>
      <c r="O146" s="539">
        <f t="shared" si="169"/>
        <v>0</v>
      </c>
      <c r="P146" s="539">
        <f t="shared" si="169"/>
        <v>0</v>
      </c>
      <c r="Q146" s="539">
        <f t="shared" si="169"/>
        <v>-11000</v>
      </c>
      <c r="R146" s="539">
        <f t="shared" si="169"/>
        <v>0</v>
      </c>
      <c r="S146" s="539">
        <f t="shared" si="169"/>
        <v>0</v>
      </c>
      <c r="T146" s="539">
        <f t="shared" si="169"/>
        <v>0</v>
      </c>
      <c r="U146" s="539">
        <f t="shared" si="169"/>
        <v>0</v>
      </c>
      <c r="V146" s="539">
        <f t="shared" si="169"/>
        <v>0</v>
      </c>
      <c r="W146" s="539">
        <f t="shared" si="169"/>
        <v>0</v>
      </c>
      <c r="X146" s="579">
        <f t="shared" si="151"/>
        <v>-11000</v>
      </c>
      <c r="Y146" s="539">
        <f t="shared" ref="Y146:AX146" si="170">Y113+Y127+Y138+Y145</f>
        <v>0</v>
      </c>
      <c r="Z146" s="539">
        <f t="shared" ref="Z146:AF146" si="171">Z113+Z127+Z138+Z145</f>
        <v>-244000</v>
      </c>
      <c r="AA146" s="539">
        <f t="shared" si="171"/>
        <v>0</v>
      </c>
      <c r="AB146" s="539">
        <f t="shared" si="171"/>
        <v>-112000</v>
      </c>
      <c r="AC146" s="539">
        <f t="shared" si="171"/>
        <v>0</v>
      </c>
      <c r="AD146" s="539">
        <f t="shared" si="171"/>
        <v>0</v>
      </c>
      <c r="AE146" s="539">
        <f t="shared" si="171"/>
        <v>-1731000</v>
      </c>
      <c r="AF146" s="539">
        <f t="shared" si="171"/>
        <v>0</v>
      </c>
      <c r="AG146" s="539">
        <f t="shared" ref="AG146:AQ146" si="172">AG113+AG127+AG138+AG145</f>
        <v>0</v>
      </c>
      <c r="AH146" s="539">
        <f t="shared" si="172"/>
        <v>0</v>
      </c>
      <c r="AI146" s="539">
        <f t="shared" si="172"/>
        <v>0</v>
      </c>
      <c r="AJ146" s="539">
        <f t="shared" si="172"/>
        <v>0</v>
      </c>
      <c r="AK146" s="539">
        <f t="shared" si="172"/>
        <v>0</v>
      </c>
      <c r="AL146" s="539">
        <f t="shared" si="172"/>
        <v>1270000</v>
      </c>
      <c r="AM146" s="539">
        <f t="shared" si="172"/>
        <v>-905000</v>
      </c>
      <c r="AN146" s="539">
        <f t="shared" si="172"/>
        <v>1957000</v>
      </c>
      <c r="AO146" s="539">
        <f t="shared" si="172"/>
        <v>300000</v>
      </c>
      <c r="AP146" s="539">
        <f t="shared" si="172"/>
        <v>0</v>
      </c>
      <c r="AQ146" s="539">
        <f t="shared" si="172"/>
        <v>0</v>
      </c>
      <c r="AR146" s="539">
        <f t="shared" ref="AR146:AS146" si="173">AR113+AR127+AR138+AR145</f>
        <v>2170000</v>
      </c>
      <c r="AS146" s="539">
        <f t="shared" si="173"/>
        <v>0</v>
      </c>
      <c r="AT146" s="539">
        <f t="shared" si="170"/>
        <v>2705000</v>
      </c>
      <c r="AU146" s="539">
        <f t="shared" si="170"/>
        <v>2694000</v>
      </c>
      <c r="AV146" s="539">
        <f t="shared" si="170"/>
        <v>34059000</v>
      </c>
      <c r="AW146" s="539">
        <f t="shared" si="170"/>
        <v>0</v>
      </c>
      <c r="AX146" s="539">
        <f t="shared" si="170"/>
        <v>34059000</v>
      </c>
    </row>
    <row r="147" spans="1:50">
      <c r="A147" s="529">
        <v>145</v>
      </c>
      <c r="B147" s="500"/>
      <c r="C147" s="564"/>
      <c r="D147" s="564"/>
      <c r="E147" s="539"/>
      <c r="F147" s="539"/>
      <c r="G147" s="539"/>
      <c r="H147" s="539"/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39"/>
      <c r="T147" s="539"/>
      <c r="U147" s="539"/>
      <c r="V147" s="539"/>
      <c r="W147" s="539"/>
      <c r="X147" s="579">
        <f t="shared" si="151"/>
        <v>0</v>
      </c>
      <c r="Y147" s="539"/>
      <c r="Z147" s="539"/>
      <c r="AA147" s="539"/>
      <c r="AB147" s="539"/>
      <c r="AC147" s="539"/>
      <c r="AD147" s="539"/>
      <c r="AE147" s="539"/>
      <c r="AF147" s="539"/>
      <c r="AG147" s="539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  <c r="AR147" s="539"/>
      <c r="AS147" s="539"/>
      <c r="AT147" s="582">
        <f t="shared" ref="AT147:AT152" si="174">SUM(Y147:AS147)</f>
        <v>0</v>
      </c>
      <c r="AU147" s="532">
        <f t="shared" ref="AU147:AU152" si="175">X147+AT147</f>
        <v>0</v>
      </c>
      <c r="AV147" s="532">
        <f t="shared" ref="AV147:AV152" si="176">E147+AU147</f>
        <v>0</v>
      </c>
      <c r="AW147" s="532"/>
      <c r="AX147" s="532">
        <f t="shared" si="152"/>
        <v>0</v>
      </c>
    </row>
    <row r="148" spans="1:5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8">
        <f>PROFORMA!F164</f>
        <v>22296000</v>
      </c>
      <c r="F148" s="538">
        <f>PROFORMA!G164</f>
        <v>0</v>
      </c>
      <c r="G148" s="538">
        <f>PROFORMA!H164</f>
        <v>0</v>
      </c>
      <c r="H148" s="538">
        <f>PROFORMA!I164</f>
        <v>0</v>
      </c>
      <c r="I148" s="538">
        <f>PROFORMA!J164</f>
        <v>-8688000</v>
      </c>
      <c r="J148" s="538">
        <f>PROFORMA!K164</f>
        <v>288000</v>
      </c>
      <c r="K148" s="538">
        <f>PROFORMA!L164</f>
        <v>0</v>
      </c>
      <c r="L148" s="538">
        <f>PROFORMA!M164</f>
        <v>0</v>
      </c>
      <c r="M148" s="538">
        <f>PROFORMA!N164</f>
        <v>0</v>
      </c>
      <c r="N148" s="538">
        <f>PROFORMA!O164</f>
        <v>0</v>
      </c>
      <c r="O148" s="538">
        <f>PROFORMA!P164</f>
        <v>0</v>
      </c>
      <c r="P148" s="538">
        <f>PROFORMA!Q164</f>
        <v>-4000</v>
      </c>
      <c r="Q148" s="538">
        <f>PROFORMA!R164</f>
        <v>0</v>
      </c>
      <c r="R148" s="538">
        <f>PROFORMA!S164</f>
        <v>1000</v>
      </c>
      <c r="S148" s="538">
        <f>PROFORMA!T164</f>
        <v>-1022000</v>
      </c>
      <c r="T148" s="538">
        <f>PROFORMA!U164</f>
        <v>0</v>
      </c>
      <c r="U148" s="538">
        <f>PROFORMA!V164</f>
        <v>0</v>
      </c>
      <c r="V148" s="538">
        <f>PROFORMA!W164</f>
        <v>0</v>
      </c>
      <c r="W148" s="538">
        <f>PROFORMA!X164</f>
        <v>0</v>
      </c>
      <c r="X148" s="579">
        <f t="shared" si="151"/>
        <v>-9425000</v>
      </c>
      <c r="Y148" s="538">
        <f>PROFORMA!Y164</f>
        <v>-3429000</v>
      </c>
      <c r="Z148" s="538">
        <f>PROFORMA!Z164</f>
        <v>0</v>
      </c>
      <c r="AA148" s="538">
        <f>PROFORMA!AA164</f>
        <v>0</v>
      </c>
      <c r="AB148" s="538">
        <f>PROFORMA!AB164</f>
        <v>0</v>
      </c>
      <c r="AC148" s="538">
        <f>PROFORMA!AC164</f>
        <v>0</v>
      </c>
      <c r="AD148" s="538">
        <f>PROFORMA!AD164</f>
        <v>0</v>
      </c>
      <c r="AE148" s="538">
        <f>PROFORMA!AE164</f>
        <v>0</v>
      </c>
      <c r="AF148" s="538">
        <f>PROFORMA!AG164</f>
        <v>0</v>
      </c>
      <c r="AG148" s="538">
        <f>PROFORMA!AH164</f>
        <v>0</v>
      </c>
      <c r="AH148" s="538">
        <f>PROFORMA!AI164</f>
        <v>946000</v>
      </c>
      <c r="AI148" s="538">
        <f>PROFORMA!AJ164</f>
        <v>0</v>
      </c>
      <c r="AJ148" s="538">
        <f>PROFORMA!AK164</f>
        <v>0</v>
      </c>
      <c r="AK148" s="538">
        <f>PROFORMA!AL164</f>
        <v>0</v>
      </c>
      <c r="AL148" s="538">
        <f>PROFORMA!AM164</f>
        <v>0</v>
      </c>
      <c r="AM148" s="538">
        <f>PROFORMA!AN164</f>
        <v>0</v>
      </c>
      <c r="AN148" s="538">
        <f>PROFORMA!AO164</f>
        <v>0</v>
      </c>
      <c r="AO148" s="538">
        <f>PROFORMA!AP164</f>
        <v>0</v>
      </c>
      <c r="AP148" s="538">
        <f>PROFORMA!AQ164</f>
        <v>0</v>
      </c>
      <c r="AQ148" s="538">
        <f>PROFORMA!AR164</f>
        <v>0</v>
      </c>
      <c r="AR148" s="538">
        <f>PROFORMA!AS164</f>
        <v>0</v>
      </c>
      <c r="AS148" s="538">
        <f>PROFORMA!AT164</f>
        <v>0</v>
      </c>
      <c r="AT148" s="582">
        <f t="shared" si="174"/>
        <v>-2483000</v>
      </c>
      <c r="AU148" s="532">
        <f t="shared" si="175"/>
        <v>-11908000</v>
      </c>
      <c r="AV148" s="532">
        <f t="shared" si="176"/>
        <v>10388000</v>
      </c>
      <c r="AW148" s="532"/>
      <c r="AX148" s="532">
        <f t="shared" si="152"/>
        <v>10388000</v>
      </c>
    </row>
    <row r="149" spans="1:50" ht="15.6" customHeight="1">
      <c r="A149" s="529">
        <v>147</v>
      </c>
      <c r="B149" s="794"/>
      <c r="C149" s="521" t="s">
        <v>1071</v>
      </c>
      <c r="D149" s="549">
        <v>409.1</v>
      </c>
      <c r="E149" s="538">
        <f>PROFORMA!F231</f>
        <v>-4387000</v>
      </c>
      <c r="F149" s="538">
        <f>PROFORMA!G231</f>
        <v>0</v>
      </c>
      <c r="G149" s="538">
        <f>PROFORMA!H231</f>
        <v>0</v>
      </c>
      <c r="H149" s="538">
        <f>PROFORMA!I231</f>
        <v>0</v>
      </c>
      <c r="I149" s="538">
        <f>PROFORMA!J231</f>
        <v>9000</v>
      </c>
      <c r="J149" s="538">
        <f>PROFORMA!K231</f>
        <v>-60000</v>
      </c>
      <c r="K149" s="538">
        <f>PROFORMA!L231</f>
        <v>-195000</v>
      </c>
      <c r="L149" s="538">
        <f>PROFORMA!M231</f>
        <v>-84000</v>
      </c>
      <c r="M149" s="538">
        <f>PROFORMA!N231</f>
        <v>4000</v>
      </c>
      <c r="N149" s="538">
        <f>PROFORMA!O231</f>
        <v>0</v>
      </c>
      <c r="O149" s="538">
        <f>PROFORMA!P231</f>
        <v>2000</v>
      </c>
      <c r="P149" s="538">
        <f>PROFORMA!Q231</f>
        <v>1000</v>
      </c>
      <c r="Q149" s="538">
        <f>PROFORMA!R231</f>
        <v>2000</v>
      </c>
      <c r="R149" s="538">
        <f>PROFORMA!S231</f>
        <v>-9000</v>
      </c>
      <c r="S149" s="538">
        <f>PROFORMA!T231</f>
        <v>2561000</v>
      </c>
      <c r="T149" s="538">
        <f>PROFORMA!U231</f>
        <v>87000</v>
      </c>
      <c r="U149" s="538">
        <f>PROFORMA!V231</f>
        <v>-53000</v>
      </c>
      <c r="V149" s="538">
        <f>PROFORMA!W231</f>
        <v>57000</v>
      </c>
      <c r="W149" s="538">
        <f>PROFORMA!X231</f>
        <v>0</v>
      </c>
      <c r="X149" s="579">
        <f t="shared" si="151"/>
        <v>2322000</v>
      </c>
      <c r="Y149" s="538">
        <f>PROFORMA!Y231</f>
        <v>511000</v>
      </c>
      <c r="Z149" s="538">
        <f>PROFORMA!Z231</f>
        <v>51000</v>
      </c>
      <c r="AA149" s="538">
        <f>PROFORMA!AA231</f>
        <v>0</v>
      </c>
      <c r="AB149" s="538">
        <f>PROFORMA!AB231</f>
        <v>169000</v>
      </c>
      <c r="AC149" s="538">
        <f>PROFORMA!AC231</f>
        <v>-383000</v>
      </c>
      <c r="AD149" s="538">
        <f>PROFORMA!AD231</f>
        <v>-4000</v>
      </c>
      <c r="AE149" s="538">
        <f>PROFORMA!AE231</f>
        <v>355000</v>
      </c>
      <c r="AF149" s="538">
        <f>PROFORMA!AG231</f>
        <v>-16000</v>
      </c>
      <c r="AG149" s="538">
        <f>PROFORMA!AH231</f>
        <v>-24000</v>
      </c>
      <c r="AH149" s="538">
        <f>PROFORMA!AI231</f>
        <v>-199000</v>
      </c>
      <c r="AI149" s="538">
        <f>PROFORMA!AJ231</f>
        <v>-126000</v>
      </c>
      <c r="AJ149" s="538">
        <f>PROFORMA!AK231</f>
        <v>-4000</v>
      </c>
      <c r="AK149" s="538">
        <f>PROFORMA!AL231</f>
        <v>-343000</v>
      </c>
      <c r="AL149" s="538">
        <f>PROFORMA!AM231</f>
        <v>-267000</v>
      </c>
      <c r="AM149" s="538">
        <f>PROFORMA!AN231</f>
        <v>190000</v>
      </c>
      <c r="AN149" s="538">
        <f>PROFORMA!AO231</f>
        <v>-411000</v>
      </c>
      <c r="AO149" s="538">
        <f>PROFORMA!AP231</f>
        <v>-63000</v>
      </c>
      <c r="AP149" s="538">
        <f>PROFORMA!AQ231</f>
        <v>-37000</v>
      </c>
      <c r="AQ149" s="538">
        <f>PROFORMA!AR231</f>
        <v>-32000</v>
      </c>
      <c r="AR149" s="538">
        <f>PROFORMA!AS231</f>
        <v>-456000</v>
      </c>
      <c r="AS149" s="538">
        <f>PROFORMA!AT231</f>
        <v>131000</v>
      </c>
      <c r="AT149" s="582">
        <f t="shared" si="174"/>
        <v>-958000</v>
      </c>
      <c r="AU149" s="532">
        <f t="shared" si="175"/>
        <v>1364000</v>
      </c>
      <c r="AV149" s="532">
        <f t="shared" si="176"/>
        <v>-3023000</v>
      </c>
      <c r="AW149" s="532"/>
      <c r="AX149" s="532">
        <f t="shared" si="152"/>
        <v>-3023000</v>
      </c>
    </row>
    <row r="150" spans="1:50" ht="15.6" customHeight="1">
      <c r="A150" s="529">
        <v>148</v>
      </c>
      <c r="B150" s="794"/>
      <c r="C150" s="521" t="s">
        <v>1072</v>
      </c>
      <c r="D150" s="549">
        <v>409.1</v>
      </c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  <c r="Q150" s="538"/>
      <c r="R150" s="538"/>
      <c r="S150" s="538"/>
      <c r="T150" s="538"/>
      <c r="U150" s="538"/>
      <c r="V150" s="538"/>
      <c r="W150" s="538"/>
      <c r="X150" s="579">
        <f t="shared" si="151"/>
        <v>0</v>
      </c>
      <c r="Y150" s="538"/>
      <c r="Z150" s="538"/>
      <c r="AA150" s="538"/>
      <c r="AB150" s="538"/>
      <c r="AC150" s="538"/>
      <c r="AD150" s="538"/>
      <c r="AE150" s="538"/>
      <c r="AF150" s="538"/>
      <c r="AG150" s="538"/>
      <c r="AH150" s="538"/>
      <c r="AI150" s="538"/>
      <c r="AJ150" s="538"/>
      <c r="AK150" s="538"/>
      <c r="AL150" s="538"/>
      <c r="AM150" s="538"/>
      <c r="AN150" s="538"/>
      <c r="AO150" s="538"/>
      <c r="AP150" s="538"/>
      <c r="AQ150" s="538"/>
      <c r="AR150" s="538"/>
      <c r="AS150" s="538"/>
      <c r="AT150" s="582">
        <f t="shared" si="174"/>
        <v>0</v>
      </c>
      <c r="AU150" s="532">
        <f t="shared" si="175"/>
        <v>0</v>
      </c>
      <c r="AV150" s="532">
        <f t="shared" si="176"/>
        <v>0</v>
      </c>
      <c r="AW150" s="532"/>
      <c r="AX150" s="532">
        <f t="shared" si="152"/>
        <v>0</v>
      </c>
    </row>
    <row r="151" spans="1:50" ht="15.6" customHeight="1">
      <c r="A151" s="529">
        <v>149</v>
      </c>
      <c r="B151" s="794"/>
      <c r="C151" s="521" t="s">
        <v>1073</v>
      </c>
      <c r="D151" s="549" t="s">
        <v>1090</v>
      </c>
      <c r="E151" s="538">
        <f>PROFORMA!F234</f>
        <v>-3743000</v>
      </c>
      <c r="F151" s="538">
        <f>PROFORMA!G234</f>
        <v>0</v>
      </c>
      <c r="G151" s="538">
        <f>PROFORMA!H234</f>
        <v>0</v>
      </c>
      <c r="H151" s="538">
        <f>PROFORMA!I234</f>
        <v>0</v>
      </c>
      <c r="I151" s="538">
        <f>PROFORMA!J234</f>
        <v>0</v>
      </c>
      <c r="J151" s="538">
        <f>PROFORMA!K234</f>
        <v>0</v>
      </c>
      <c r="K151" s="538">
        <f>PROFORMA!L234</f>
        <v>0</v>
      </c>
      <c r="L151" s="538">
        <f>PROFORMA!M234</f>
        <v>0</v>
      </c>
      <c r="M151" s="538">
        <f>PROFORMA!N234</f>
        <v>0</v>
      </c>
      <c r="N151" s="538">
        <f>PROFORMA!O234</f>
        <v>-101000</v>
      </c>
      <c r="O151" s="538">
        <f>PROFORMA!P234</f>
        <v>0</v>
      </c>
      <c r="P151" s="538">
        <f>PROFORMA!Q234</f>
        <v>0</v>
      </c>
      <c r="Q151" s="538">
        <f>PROFORMA!R234</f>
        <v>0</v>
      </c>
      <c r="R151" s="538">
        <f>PROFORMA!S234</f>
        <v>0</v>
      </c>
      <c r="S151" s="538">
        <f>PROFORMA!T234</f>
        <v>9626000</v>
      </c>
      <c r="T151" s="538">
        <f>PROFORMA!U234</f>
        <v>0</v>
      </c>
      <c r="U151" s="538">
        <f>PROFORMA!V234</f>
        <v>0</v>
      </c>
      <c r="V151" s="538">
        <f>PROFORMA!W234</f>
        <v>0</v>
      </c>
      <c r="W151" s="538">
        <f>PROFORMA!X234</f>
        <v>0</v>
      </c>
      <c r="X151" s="579">
        <f t="shared" si="151"/>
        <v>9525000</v>
      </c>
      <c r="Y151" s="538">
        <f>PROFORMA!Y234</f>
        <v>0</v>
      </c>
      <c r="Z151" s="538">
        <f>PROFORMA!Z234</f>
        <v>0</v>
      </c>
      <c r="AA151" s="538">
        <f>PROFORMA!AA234</f>
        <v>136000</v>
      </c>
      <c r="AB151" s="538">
        <f>PROFORMA!AB234</f>
        <v>0</v>
      </c>
      <c r="AC151" s="538">
        <f>PROFORMA!AC234</f>
        <v>0</v>
      </c>
      <c r="AD151" s="538">
        <f>PROFORMA!AD234</f>
        <v>0</v>
      </c>
      <c r="AE151" s="538">
        <f>PROFORMA!AE234</f>
        <v>0</v>
      </c>
      <c r="AF151" s="538">
        <f>PROFORMA!AG234</f>
        <v>0</v>
      </c>
      <c r="AG151" s="538">
        <f>PROFORMA!AH234</f>
        <v>0</v>
      </c>
      <c r="AH151" s="538">
        <f>PROFORMA!AI234</f>
        <v>0</v>
      </c>
      <c r="AI151" s="538">
        <f>PROFORMA!AJ234</f>
        <v>0</v>
      </c>
      <c r="AJ151" s="538">
        <f>PROFORMA!AK234</f>
        <v>0</v>
      </c>
      <c r="AK151" s="538">
        <f>PROFORMA!AL234</f>
        <v>0</v>
      </c>
      <c r="AL151" s="538">
        <f>PROFORMA!AM234</f>
        <v>0</v>
      </c>
      <c r="AM151" s="538">
        <f>PROFORMA!AN234</f>
        <v>0</v>
      </c>
      <c r="AN151" s="538">
        <f>PROFORMA!AO234</f>
        <v>0</v>
      </c>
      <c r="AO151" s="538">
        <f>PROFORMA!AP234</f>
        <v>0</v>
      </c>
      <c r="AP151" s="538">
        <f>PROFORMA!AQ234</f>
        <v>0</v>
      </c>
      <c r="AQ151" s="538">
        <f>PROFORMA!AR234</f>
        <v>0</v>
      </c>
      <c r="AR151" s="538">
        <f>PROFORMA!AS234</f>
        <v>0</v>
      </c>
      <c r="AS151" s="538">
        <f>PROFORMA!AT234</f>
        <v>0</v>
      </c>
      <c r="AT151" s="582">
        <f t="shared" si="174"/>
        <v>136000</v>
      </c>
      <c r="AU151" s="532">
        <f t="shared" si="175"/>
        <v>9661000</v>
      </c>
      <c r="AV151" s="532">
        <f t="shared" si="176"/>
        <v>5918000</v>
      </c>
      <c r="AW151" s="532"/>
      <c r="AX151" s="532">
        <f t="shared" si="152"/>
        <v>5918000</v>
      </c>
    </row>
    <row r="152" spans="1:50" ht="15.6" customHeight="1">
      <c r="A152" s="529">
        <v>150</v>
      </c>
      <c r="B152" s="794"/>
      <c r="C152" s="521" t="s">
        <v>1074</v>
      </c>
      <c r="D152" s="549">
        <v>411.4</v>
      </c>
      <c r="E152" s="574">
        <f>PROFORMA!F233</f>
        <v>0</v>
      </c>
      <c r="F152" s="574">
        <f>PROFORMA!G233</f>
        <v>0</v>
      </c>
      <c r="G152" s="574">
        <f>PROFORMA!H233</f>
        <v>0</v>
      </c>
      <c r="H152" s="574">
        <f>PROFORMA!I233</f>
        <v>0</v>
      </c>
      <c r="I152" s="574">
        <f>PROFORMA!J233</f>
        <v>0</v>
      </c>
      <c r="J152" s="574">
        <f>PROFORMA!K233</f>
        <v>0</v>
      </c>
      <c r="K152" s="574">
        <f>PROFORMA!L233</f>
        <v>0</v>
      </c>
      <c r="L152" s="574">
        <f>PROFORMA!M233</f>
        <v>0</v>
      </c>
      <c r="M152" s="574">
        <f>PROFORMA!N233</f>
        <v>0</v>
      </c>
      <c r="N152" s="574">
        <f>PROFORMA!O233</f>
        <v>0</v>
      </c>
      <c r="O152" s="574">
        <f>PROFORMA!P233</f>
        <v>0</v>
      </c>
      <c r="P152" s="574">
        <f>PROFORMA!Q233</f>
        <v>0</v>
      </c>
      <c r="Q152" s="574">
        <f>PROFORMA!R233</f>
        <v>0</v>
      </c>
      <c r="R152" s="574">
        <f>PROFORMA!S233</f>
        <v>0</v>
      </c>
      <c r="S152" s="574">
        <f>PROFORMA!T233</f>
        <v>0</v>
      </c>
      <c r="T152" s="574">
        <f>PROFORMA!U233</f>
        <v>0</v>
      </c>
      <c r="U152" s="574">
        <f>PROFORMA!V233</f>
        <v>0</v>
      </c>
      <c r="V152" s="574">
        <f>PROFORMA!W233</f>
        <v>0</v>
      </c>
      <c r="W152" s="574">
        <f>PROFORMA!X233</f>
        <v>0</v>
      </c>
      <c r="X152" s="580">
        <f t="shared" si="151"/>
        <v>0</v>
      </c>
      <c r="Y152" s="574">
        <f>PROFORMA!Y233</f>
        <v>0</v>
      </c>
      <c r="Z152" s="574">
        <f>PROFORMA!Z233</f>
        <v>0</v>
      </c>
      <c r="AA152" s="574">
        <f>PROFORMA!AA233</f>
        <v>0</v>
      </c>
      <c r="AB152" s="574">
        <f>PROFORMA!AB233</f>
        <v>0</v>
      </c>
      <c r="AC152" s="574">
        <f>PROFORMA!AC233</f>
        <v>0</v>
      </c>
      <c r="AD152" s="574">
        <f>PROFORMA!AD233</f>
        <v>0</v>
      </c>
      <c r="AE152" s="574">
        <f>PROFORMA!AE233</f>
        <v>0</v>
      </c>
      <c r="AF152" s="574">
        <f>PROFORMA!AG233</f>
        <v>0</v>
      </c>
      <c r="AG152" s="574">
        <f>PROFORMA!AH233</f>
        <v>0</v>
      </c>
      <c r="AH152" s="574">
        <f>PROFORMA!AI233</f>
        <v>0</v>
      </c>
      <c r="AI152" s="574">
        <f>PROFORMA!AJ233</f>
        <v>0</v>
      </c>
      <c r="AJ152" s="574">
        <f>PROFORMA!AK233</f>
        <v>0</v>
      </c>
      <c r="AK152" s="574">
        <f>PROFORMA!AL233</f>
        <v>0</v>
      </c>
      <c r="AL152" s="574">
        <f>PROFORMA!AM233</f>
        <v>0</v>
      </c>
      <c r="AM152" s="574">
        <f>PROFORMA!AN233</f>
        <v>0</v>
      </c>
      <c r="AN152" s="574">
        <f>PROFORMA!AO233</f>
        <v>0</v>
      </c>
      <c r="AO152" s="574">
        <f>PROFORMA!AP233</f>
        <v>0</v>
      </c>
      <c r="AP152" s="574">
        <f>PROFORMA!AQ233</f>
        <v>0</v>
      </c>
      <c r="AQ152" s="574">
        <f>PROFORMA!AR233</f>
        <v>0</v>
      </c>
      <c r="AR152" s="574">
        <f>PROFORMA!AS233</f>
        <v>0</v>
      </c>
      <c r="AS152" s="574">
        <f>PROFORMA!AT233</f>
        <v>0</v>
      </c>
      <c r="AT152" s="583">
        <f t="shared" si="174"/>
        <v>0</v>
      </c>
      <c r="AU152" s="581">
        <f t="shared" si="175"/>
        <v>0</v>
      </c>
      <c r="AV152" s="581">
        <f t="shared" si="176"/>
        <v>0</v>
      </c>
      <c r="AW152" s="581"/>
      <c r="AX152" s="581">
        <f t="shared" si="152"/>
        <v>0</v>
      </c>
    </row>
    <row r="153" spans="1:50">
      <c r="A153" s="529">
        <v>151</v>
      </c>
      <c r="B153" s="500"/>
      <c r="C153" s="525" t="s">
        <v>1075</v>
      </c>
      <c r="D153" s="525"/>
      <c r="E153" s="539">
        <f>SUM(E148:E152)</f>
        <v>14166000</v>
      </c>
      <c r="F153" s="539">
        <f t="shared" ref="F153" si="177">SUM(F148:F152)</f>
        <v>0</v>
      </c>
      <c r="G153" s="539">
        <f t="shared" ref="G153:W153" si="178">SUM(G148:G152)</f>
        <v>0</v>
      </c>
      <c r="H153" s="539">
        <f t="shared" si="178"/>
        <v>0</v>
      </c>
      <c r="I153" s="539">
        <f t="shared" si="178"/>
        <v>-8679000</v>
      </c>
      <c r="J153" s="539">
        <f t="shared" si="178"/>
        <v>228000</v>
      </c>
      <c r="K153" s="539">
        <f t="shared" si="178"/>
        <v>-195000</v>
      </c>
      <c r="L153" s="539">
        <f t="shared" si="178"/>
        <v>-84000</v>
      </c>
      <c r="M153" s="539">
        <f t="shared" si="178"/>
        <v>4000</v>
      </c>
      <c r="N153" s="539">
        <f t="shared" si="178"/>
        <v>-101000</v>
      </c>
      <c r="O153" s="539">
        <f t="shared" si="178"/>
        <v>2000</v>
      </c>
      <c r="P153" s="539">
        <f t="shared" si="178"/>
        <v>-3000</v>
      </c>
      <c r="Q153" s="539">
        <f t="shared" si="178"/>
        <v>2000</v>
      </c>
      <c r="R153" s="539">
        <f t="shared" si="178"/>
        <v>-8000</v>
      </c>
      <c r="S153" s="539">
        <f t="shared" si="178"/>
        <v>11165000</v>
      </c>
      <c r="T153" s="539">
        <f t="shared" si="178"/>
        <v>87000</v>
      </c>
      <c r="U153" s="539">
        <f t="shared" si="178"/>
        <v>-53000</v>
      </c>
      <c r="V153" s="539">
        <f t="shared" si="178"/>
        <v>57000</v>
      </c>
      <c r="W153" s="539">
        <f t="shared" si="178"/>
        <v>0</v>
      </c>
      <c r="X153" s="579">
        <f t="shared" si="151"/>
        <v>2422000</v>
      </c>
      <c r="Y153" s="539">
        <f t="shared" ref="Y153:AX153" si="179">SUM(Y148:Y152)</f>
        <v>-2918000</v>
      </c>
      <c r="Z153" s="539">
        <f t="shared" ref="Z153:AF153" si="180">SUM(Z148:Z152)</f>
        <v>51000</v>
      </c>
      <c r="AA153" s="539">
        <f t="shared" si="180"/>
        <v>136000</v>
      </c>
      <c r="AB153" s="539">
        <f t="shared" si="180"/>
        <v>169000</v>
      </c>
      <c r="AC153" s="539">
        <f t="shared" si="180"/>
        <v>-383000</v>
      </c>
      <c r="AD153" s="539">
        <f t="shared" si="180"/>
        <v>-4000</v>
      </c>
      <c r="AE153" s="539">
        <f t="shared" si="180"/>
        <v>355000</v>
      </c>
      <c r="AF153" s="539">
        <f t="shared" si="180"/>
        <v>-16000</v>
      </c>
      <c r="AG153" s="539">
        <f t="shared" ref="AG153:AQ153" si="181">SUM(AG148:AG152)</f>
        <v>-24000</v>
      </c>
      <c r="AH153" s="539">
        <f t="shared" si="181"/>
        <v>747000</v>
      </c>
      <c r="AI153" s="539">
        <f t="shared" si="181"/>
        <v>-126000</v>
      </c>
      <c r="AJ153" s="539">
        <f t="shared" si="181"/>
        <v>-4000</v>
      </c>
      <c r="AK153" s="539">
        <f t="shared" si="181"/>
        <v>-343000</v>
      </c>
      <c r="AL153" s="539">
        <f t="shared" si="181"/>
        <v>-267000</v>
      </c>
      <c r="AM153" s="539">
        <f t="shared" si="181"/>
        <v>190000</v>
      </c>
      <c r="AN153" s="539">
        <f t="shared" si="181"/>
        <v>-411000</v>
      </c>
      <c r="AO153" s="539">
        <f t="shared" si="181"/>
        <v>-63000</v>
      </c>
      <c r="AP153" s="539">
        <f t="shared" si="181"/>
        <v>-37000</v>
      </c>
      <c r="AQ153" s="539">
        <f t="shared" si="181"/>
        <v>-32000</v>
      </c>
      <c r="AR153" s="539">
        <f t="shared" ref="AR153:AS153" si="182">SUM(AR148:AR152)</f>
        <v>-456000</v>
      </c>
      <c r="AS153" s="539">
        <f t="shared" si="182"/>
        <v>131000</v>
      </c>
      <c r="AT153" s="539">
        <f t="shared" si="179"/>
        <v>-3305000</v>
      </c>
      <c r="AU153" s="539">
        <f t="shared" si="179"/>
        <v>-883000</v>
      </c>
      <c r="AV153" s="539">
        <f t="shared" si="179"/>
        <v>13283000</v>
      </c>
      <c r="AW153" s="539">
        <f t="shared" si="179"/>
        <v>0</v>
      </c>
      <c r="AX153" s="539">
        <f t="shared" si="179"/>
        <v>13283000</v>
      </c>
    </row>
    <row r="154" spans="1:50">
      <c r="A154" s="529">
        <v>152</v>
      </c>
      <c r="B154" s="500"/>
      <c r="C154" s="503"/>
      <c r="D154" s="503"/>
      <c r="E154" s="539"/>
      <c r="F154" s="539"/>
      <c r="G154" s="539"/>
      <c r="H154" s="539"/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39"/>
      <c r="T154" s="539"/>
      <c r="U154" s="539"/>
      <c r="V154" s="539"/>
      <c r="W154" s="539"/>
      <c r="X154" s="579">
        <f t="shared" si="151"/>
        <v>0</v>
      </c>
      <c r="Y154" s="539"/>
      <c r="Z154" s="539"/>
      <c r="AA154" s="539"/>
      <c r="AB154" s="539"/>
      <c r="AC154" s="539"/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82">
        <f>SUM(Y154:AS154)</f>
        <v>0</v>
      </c>
      <c r="AU154" s="532">
        <f>X154+AT154</f>
        <v>0</v>
      </c>
      <c r="AV154" s="532">
        <f>E154+AU154</f>
        <v>0</v>
      </c>
      <c r="AW154" s="532"/>
      <c r="AX154" s="532">
        <f t="shared" si="152"/>
        <v>0</v>
      </c>
    </row>
    <row r="155" spans="1:50">
      <c r="A155" s="529">
        <v>153</v>
      </c>
      <c r="B155" s="500"/>
      <c r="C155" s="566" t="s">
        <v>77</v>
      </c>
      <c r="D155" s="567"/>
      <c r="E155" s="539">
        <f>E153+E146+E103</f>
        <v>252448000</v>
      </c>
      <c r="F155" s="539">
        <f t="shared" ref="F155" si="183">F153+F146+F103</f>
        <v>0</v>
      </c>
      <c r="G155" s="539">
        <f t="shared" ref="G155:W155" si="184">G153+G146+G103</f>
        <v>0</v>
      </c>
      <c r="H155" s="539">
        <f t="shared" si="184"/>
        <v>0</v>
      </c>
      <c r="I155" s="539">
        <f t="shared" si="184"/>
        <v>-8679000</v>
      </c>
      <c r="J155" s="539">
        <f t="shared" si="184"/>
        <v>228000</v>
      </c>
      <c r="K155" s="539">
        <f t="shared" si="184"/>
        <v>732000</v>
      </c>
      <c r="L155" s="539">
        <f t="shared" si="184"/>
        <v>314000</v>
      </c>
      <c r="M155" s="539">
        <f t="shared" si="184"/>
        <v>-14000</v>
      </c>
      <c r="N155" s="539">
        <f t="shared" si="184"/>
        <v>-101000</v>
      </c>
      <c r="O155" s="539">
        <f t="shared" si="184"/>
        <v>-8000</v>
      </c>
      <c r="P155" s="539">
        <f t="shared" si="184"/>
        <v>-3000</v>
      </c>
      <c r="Q155" s="539">
        <f t="shared" si="184"/>
        <v>-9000</v>
      </c>
      <c r="R155" s="539">
        <f t="shared" si="184"/>
        <v>-65000</v>
      </c>
      <c r="S155" s="539">
        <f t="shared" si="184"/>
        <v>-60586000</v>
      </c>
      <c r="T155" s="539">
        <f t="shared" si="184"/>
        <v>-328000</v>
      </c>
      <c r="U155" s="539">
        <f t="shared" si="184"/>
        <v>197000</v>
      </c>
      <c r="V155" s="539">
        <f t="shared" si="184"/>
        <v>57000</v>
      </c>
      <c r="W155" s="539">
        <f t="shared" si="184"/>
        <v>0</v>
      </c>
      <c r="X155" s="579">
        <f t="shared" si="151"/>
        <v>-68265000</v>
      </c>
      <c r="Y155" s="539">
        <f>Y153+Y146+Y103</f>
        <v>-94089000</v>
      </c>
      <c r="Z155" s="539">
        <f t="shared" ref="Z155:AF155" si="185">Z153+Z146+Z103</f>
        <v>-193000</v>
      </c>
      <c r="AA155" s="539">
        <f t="shared" si="185"/>
        <v>136000</v>
      </c>
      <c r="AB155" s="539">
        <f t="shared" si="185"/>
        <v>-634000</v>
      </c>
      <c r="AC155" s="539">
        <f t="shared" si="185"/>
        <v>1443000</v>
      </c>
      <c r="AD155" s="539">
        <f t="shared" si="185"/>
        <v>15000</v>
      </c>
      <c r="AE155" s="539">
        <f t="shared" si="185"/>
        <v>-1335000</v>
      </c>
      <c r="AF155" s="539">
        <f t="shared" si="185"/>
        <v>62000</v>
      </c>
      <c r="AG155" s="539">
        <f t="shared" ref="AG155:AQ155" si="186">AG153+AG146+AG103</f>
        <v>89000</v>
      </c>
      <c r="AH155" s="539">
        <f t="shared" si="186"/>
        <v>747000</v>
      </c>
      <c r="AI155" s="539">
        <f t="shared" si="186"/>
        <v>472000</v>
      </c>
      <c r="AJ155" s="539">
        <f t="shared" si="186"/>
        <v>17000</v>
      </c>
      <c r="AK155" s="539">
        <f t="shared" si="186"/>
        <v>1291000</v>
      </c>
      <c r="AL155" s="539">
        <f t="shared" si="186"/>
        <v>1003000</v>
      </c>
      <c r="AM155" s="539">
        <f t="shared" si="186"/>
        <v>-715000</v>
      </c>
      <c r="AN155" s="539">
        <f t="shared" si="186"/>
        <v>1546000</v>
      </c>
      <c r="AO155" s="539">
        <f t="shared" si="186"/>
        <v>237000</v>
      </c>
      <c r="AP155" s="539">
        <f t="shared" si="186"/>
        <v>141000</v>
      </c>
      <c r="AQ155" s="539">
        <f t="shared" si="186"/>
        <v>118000</v>
      </c>
      <c r="AR155" s="539">
        <f t="shared" ref="AR155:AS155" si="187">AR153+AR146+AR103</f>
        <v>1714000</v>
      </c>
      <c r="AS155" s="539">
        <f t="shared" si="187"/>
        <v>-147000</v>
      </c>
      <c r="AT155" s="539">
        <f t="shared" ref="AT155:AX155" si="188">AT153+AT146+AT103</f>
        <v>-88082000</v>
      </c>
      <c r="AU155" s="539">
        <f t="shared" si="188"/>
        <v>-156347000</v>
      </c>
      <c r="AV155" s="539">
        <f t="shared" si="188"/>
        <v>96101000</v>
      </c>
      <c r="AW155" s="539">
        <f t="shared" si="188"/>
        <v>0</v>
      </c>
      <c r="AX155" s="539">
        <f t="shared" si="188"/>
        <v>96101000</v>
      </c>
    </row>
    <row r="156" spans="1:50">
      <c r="A156" s="529">
        <v>154</v>
      </c>
      <c r="B156" s="500"/>
      <c r="C156" s="503"/>
      <c r="D156" s="503"/>
      <c r="E156" s="539"/>
      <c r="F156" s="539"/>
      <c r="G156" s="539"/>
      <c r="H156" s="539"/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39"/>
      <c r="T156" s="539"/>
      <c r="U156" s="539"/>
      <c r="V156" s="539"/>
      <c r="W156" s="539"/>
      <c r="X156" s="579">
        <f t="shared" si="151"/>
        <v>0</v>
      </c>
      <c r="Y156" s="539"/>
      <c r="Z156" s="539"/>
      <c r="AA156" s="539"/>
      <c r="AB156" s="539"/>
      <c r="AC156" s="539"/>
      <c r="AD156" s="539"/>
      <c r="AE156" s="539"/>
      <c r="AF156" s="539"/>
      <c r="AG156" s="539"/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  <c r="AR156" s="539"/>
      <c r="AS156" s="539"/>
      <c r="AT156" s="582">
        <f>SUM(Y156:AS156)</f>
        <v>0</v>
      </c>
      <c r="AU156" s="532">
        <f>X156+AT156</f>
        <v>0</v>
      </c>
      <c r="AV156" s="532">
        <f>E156+AU156</f>
        <v>0</v>
      </c>
      <c r="AW156" s="532"/>
      <c r="AX156" s="532">
        <f t="shared" si="152"/>
        <v>0</v>
      </c>
    </row>
    <row r="157" spans="1:50">
      <c r="A157" s="529">
        <v>155</v>
      </c>
      <c r="B157" s="500"/>
      <c r="C157" s="566" t="s">
        <v>578</v>
      </c>
      <c r="D157" s="566"/>
      <c r="E157" s="539">
        <f>E17-E155</f>
        <v>36392000</v>
      </c>
      <c r="F157" s="539">
        <f t="shared" ref="F157" si="189">F17-F155</f>
        <v>0</v>
      </c>
      <c r="G157" s="539">
        <f t="shared" ref="G157:W157" si="190">G17-G155</f>
        <v>0</v>
      </c>
      <c r="H157" s="539">
        <f t="shared" si="190"/>
        <v>0</v>
      </c>
      <c r="I157" s="539">
        <f t="shared" si="190"/>
        <v>33000</v>
      </c>
      <c r="J157" s="539">
        <f t="shared" si="190"/>
        <v>-228000</v>
      </c>
      <c r="K157" s="539">
        <f t="shared" si="190"/>
        <v>-732000</v>
      </c>
      <c r="L157" s="539">
        <f t="shared" si="190"/>
        <v>-314000</v>
      </c>
      <c r="M157" s="539">
        <f t="shared" si="190"/>
        <v>14000</v>
      </c>
      <c r="N157" s="539">
        <f t="shared" si="190"/>
        <v>101000</v>
      </c>
      <c r="O157" s="539">
        <f t="shared" si="190"/>
        <v>8000</v>
      </c>
      <c r="P157" s="539">
        <f t="shared" si="190"/>
        <v>3000</v>
      </c>
      <c r="Q157" s="539">
        <f t="shared" si="190"/>
        <v>9000</v>
      </c>
      <c r="R157" s="539">
        <f t="shared" si="190"/>
        <v>-34000</v>
      </c>
      <c r="S157" s="539">
        <f t="shared" si="190"/>
        <v>8000</v>
      </c>
      <c r="T157" s="539">
        <f t="shared" si="190"/>
        <v>328000</v>
      </c>
      <c r="U157" s="539">
        <f t="shared" si="190"/>
        <v>-197000</v>
      </c>
      <c r="V157" s="539">
        <f t="shared" si="190"/>
        <v>-57000</v>
      </c>
      <c r="W157" s="539">
        <f t="shared" si="190"/>
        <v>0</v>
      </c>
      <c r="X157" s="579">
        <f t="shared" si="151"/>
        <v>-1058000</v>
      </c>
      <c r="Y157" s="539">
        <f>Y17-Y155</f>
        <v>1922000</v>
      </c>
      <c r="Z157" s="539">
        <f t="shared" ref="Z157:AF157" si="191">Z17-Z155</f>
        <v>193000</v>
      </c>
      <c r="AA157" s="539">
        <f t="shared" si="191"/>
        <v>-136000</v>
      </c>
      <c r="AB157" s="539">
        <f t="shared" si="191"/>
        <v>634000</v>
      </c>
      <c r="AC157" s="539">
        <f t="shared" si="191"/>
        <v>-1443000</v>
      </c>
      <c r="AD157" s="539">
        <f t="shared" si="191"/>
        <v>-15000</v>
      </c>
      <c r="AE157" s="539">
        <f t="shared" si="191"/>
        <v>1335000</v>
      </c>
      <c r="AF157" s="539">
        <f t="shared" si="191"/>
        <v>-62000</v>
      </c>
      <c r="AG157" s="539">
        <f t="shared" ref="AG157:AQ157" si="192">AG17-AG155</f>
        <v>-89000</v>
      </c>
      <c r="AH157" s="539">
        <f t="shared" si="192"/>
        <v>-747000</v>
      </c>
      <c r="AI157" s="539">
        <f t="shared" si="192"/>
        <v>-472000</v>
      </c>
      <c r="AJ157" s="539">
        <f t="shared" si="192"/>
        <v>-17000</v>
      </c>
      <c r="AK157" s="539">
        <f t="shared" si="192"/>
        <v>-1291000</v>
      </c>
      <c r="AL157" s="539">
        <f t="shared" si="192"/>
        <v>-1003000</v>
      </c>
      <c r="AM157" s="539">
        <f t="shared" si="192"/>
        <v>715000</v>
      </c>
      <c r="AN157" s="539">
        <f t="shared" si="192"/>
        <v>-1546000</v>
      </c>
      <c r="AO157" s="539">
        <f t="shared" si="192"/>
        <v>-237000</v>
      </c>
      <c r="AP157" s="539">
        <f t="shared" si="192"/>
        <v>-141000</v>
      </c>
      <c r="AQ157" s="539">
        <f t="shared" si="192"/>
        <v>-118000</v>
      </c>
      <c r="AR157" s="539">
        <f t="shared" ref="AR157:AS157" si="193">AR17-AR155</f>
        <v>-1714000</v>
      </c>
      <c r="AS157" s="539">
        <f t="shared" si="193"/>
        <v>491000</v>
      </c>
      <c r="AT157" s="539">
        <f t="shared" ref="AT157:AX157" si="194">AT17-AT155</f>
        <v>-3741000</v>
      </c>
      <c r="AU157" s="539">
        <f t="shared" si="194"/>
        <v>-4799000</v>
      </c>
      <c r="AV157" s="539">
        <f t="shared" si="194"/>
        <v>31593000</v>
      </c>
      <c r="AW157" s="539">
        <f t="shared" si="194"/>
        <v>0</v>
      </c>
      <c r="AX157" s="539">
        <f t="shared" si="194"/>
        <v>31593000</v>
      </c>
    </row>
    <row r="158" spans="1:50">
      <c r="A158" s="529">
        <v>156</v>
      </c>
      <c r="B158" s="500"/>
      <c r="C158" s="503"/>
      <c r="D158" s="503"/>
      <c r="E158" s="539"/>
      <c r="F158" s="539"/>
      <c r="G158" s="539"/>
      <c r="H158" s="539"/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39"/>
      <c r="T158" s="539"/>
      <c r="U158" s="539"/>
      <c r="V158" s="539"/>
      <c r="W158" s="539"/>
      <c r="X158" s="579">
        <f t="shared" si="151"/>
        <v>0</v>
      </c>
      <c r="Y158" s="539"/>
      <c r="Z158" s="539"/>
      <c r="AA158" s="539"/>
      <c r="AB158" s="539"/>
      <c r="AC158" s="539"/>
      <c r="AD158" s="539"/>
      <c r="AE158" s="539"/>
      <c r="AF158" s="539"/>
      <c r="AG158" s="539"/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  <c r="AR158" s="539"/>
      <c r="AS158" s="539"/>
      <c r="AT158" s="582">
        <f>SUM(Y158:AS158)</f>
        <v>0</v>
      </c>
      <c r="AU158" s="532">
        <f>X158+AT158</f>
        <v>0</v>
      </c>
      <c r="AV158" s="532">
        <f>E158+AU158</f>
        <v>0</v>
      </c>
      <c r="AW158" s="532"/>
      <c r="AX158" s="532">
        <f t="shared" si="152"/>
        <v>0</v>
      </c>
    </row>
    <row r="159" spans="1:5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8">
        <f>PROFORMA!F250</f>
        <v>1979000</v>
      </c>
      <c r="F159" s="538">
        <f>PROFORMA!G250</f>
        <v>0</v>
      </c>
      <c r="G159" s="538">
        <f>PROFORMA!H250</f>
        <v>0</v>
      </c>
      <c r="H159" s="538">
        <f>PROFORMA!I250</f>
        <v>0</v>
      </c>
      <c r="I159" s="538">
        <f>PROFORMA!J250</f>
        <v>0</v>
      </c>
      <c r="J159" s="538">
        <f>PROFORMA!K250</f>
        <v>0</v>
      </c>
      <c r="K159" s="538">
        <f>PROFORMA!L250</f>
        <v>0</v>
      </c>
      <c r="L159" s="538">
        <f>PROFORMA!M250</f>
        <v>0</v>
      </c>
      <c r="M159" s="538">
        <f>PROFORMA!N250</f>
        <v>0</v>
      </c>
      <c r="N159" s="538">
        <f>PROFORMA!O250</f>
        <v>0</v>
      </c>
      <c r="O159" s="538">
        <f>PROFORMA!P250</f>
        <v>0</v>
      </c>
      <c r="P159" s="538">
        <f>PROFORMA!Q250</f>
        <v>0</v>
      </c>
      <c r="Q159" s="538">
        <f>PROFORMA!R250</f>
        <v>0</v>
      </c>
      <c r="R159" s="538">
        <f>PROFORMA!S250</f>
        <v>0</v>
      </c>
      <c r="S159" s="538">
        <f>PROFORMA!T250</f>
        <v>0</v>
      </c>
      <c r="T159" s="538">
        <f>PROFORMA!U250</f>
        <v>0</v>
      </c>
      <c r="U159" s="538">
        <f>PROFORMA!V250</f>
        <v>0</v>
      </c>
      <c r="V159" s="538">
        <f>PROFORMA!W250</f>
        <v>0</v>
      </c>
      <c r="W159" s="538">
        <f>PROFORMA!X250</f>
        <v>0</v>
      </c>
      <c r="X159" s="579">
        <f t="shared" si="151"/>
        <v>0</v>
      </c>
      <c r="Y159" s="538">
        <f>PROFORMA!Y250</f>
        <v>0</v>
      </c>
      <c r="Z159" s="538">
        <f>PROFORMA!Z250</f>
        <v>0</v>
      </c>
      <c r="AA159" s="538">
        <f>PROFORMA!AA250</f>
        <v>0</v>
      </c>
      <c r="AB159" s="538">
        <f>PROFORMA!AB250</f>
        <v>0</v>
      </c>
      <c r="AC159" s="538">
        <f>PROFORMA!AC250</f>
        <v>0</v>
      </c>
      <c r="AD159" s="538">
        <f>PROFORMA!AD250</f>
        <v>0</v>
      </c>
      <c r="AE159" s="538">
        <f>PROFORMA!AE250</f>
        <v>0</v>
      </c>
      <c r="AF159" s="538">
        <f>PROFORMA!AG250</f>
        <v>0</v>
      </c>
      <c r="AG159" s="538">
        <f>PROFORMA!AH250</f>
        <v>0</v>
      </c>
      <c r="AH159" s="538">
        <f>PROFORMA!AI250</f>
        <v>0</v>
      </c>
      <c r="AI159" s="538">
        <f>PROFORMA!AJ250</f>
        <v>0</v>
      </c>
      <c r="AJ159" s="538">
        <f>PROFORMA!AK250</f>
        <v>0</v>
      </c>
      <c r="AK159" s="538">
        <f>PROFORMA!AL250</f>
        <v>0</v>
      </c>
      <c r="AL159" s="538">
        <f>PROFORMA!AM250</f>
        <v>0</v>
      </c>
      <c r="AM159" s="538">
        <f>PROFORMA!AN250</f>
        <v>0</v>
      </c>
      <c r="AN159" s="538">
        <f>PROFORMA!AO250</f>
        <v>0</v>
      </c>
      <c r="AO159" s="538">
        <f>PROFORMA!AP250</f>
        <v>0</v>
      </c>
      <c r="AP159" s="538">
        <f>PROFORMA!AQ250</f>
        <v>0</v>
      </c>
      <c r="AQ159" s="538">
        <f>PROFORMA!AR250</f>
        <v>0</v>
      </c>
      <c r="AR159" s="538">
        <f>PROFORMA!AS250</f>
        <v>0</v>
      </c>
      <c r="AS159" s="538">
        <f>PROFORMA!AT250</f>
        <v>0</v>
      </c>
      <c r="AT159" s="582">
        <f>SUM(Y159:AS159)</f>
        <v>0</v>
      </c>
      <c r="AU159" s="532">
        <f>X159+AT159</f>
        <v>0</v>
      </c>
      <c r="AV159" s="532">
        <f>E159+AU159</f>
        <v>1979000</v>
      </c>
      <c r="AW159" s="532"/>
      <c r="AX159" s="532">
        <f t="shared" si="152"/>
        <v>1979000</v>
      </c>
    </row>
    <row r="160" spans="1:50">
      <c r="A160" s="529">
        <v>158</v>
      </c>
      <c r="B160" s="795"/>
      <c r="C160" s="521" t="s">
        <v>626</v>
      </c>
      <c r="D160" s="549">
        <v>303.10000000000002</v>
      </c>
      <c r="E160" s="538">
        <f>PROFORMA!F251</f>
        <v>43063000</v>
      </c>
      <c r="F160" s="538">
        <f>PROFORMA!G251</f>
        <v>0</v>
      </c>
      <c r="G160" s="538">
        <f>PROFORMA!H251</f>
        <v>0</v>
      </c>
      <c r="H160" s="538">
        <f>PROFORMA!I251</f>
        <v>0</v>
      </c>
      <c r="I160" s="538">
        <f>PROFORMA!J251</f>
        <v>0</v>
      </c>
      <c r="J160" s="538">
        <f>PROFORMA!K251</f>
        <v>0</v>
      </c>
      <c r="K160" s="538">
        <f>PROFORMA!L251</f>
        <v>0</v>
      </c>
      <c r="L160" s="538">
        <f>PROFORMA!M251</f>
        <v>0</v>
      </c>
      <c r="M160" s="538">
        <f>PROFORMA!N251</f>
        <v>0</v>
      </c>
      <c r="N160" s="538">
        <f>PROFORMA!O251</f>
        <v>0</v>
      </c>
      <c r="O160" s="538">
        <f>PROFORMA!P251</f>
        <v>0</v>
      </c>
      <c r="P160" s="538">
        <f>PROFORMA!Q251</f>
        <v>0</v>
      </c>
      <c r="Q160" s="538">
        <f>PROFORMA!R251</f>
        <v>0</v>
      </c>
      <c r="R160" s="538">
        <f>PROFORMA!S251</f>
        <v>0</v>
      </c>
      <c r="S160" s="538">
        <f>PROFORMA!T251</f>
        <v>0</v>
      </c>
      <c r="T160" s="538">
        <f>PROFORMA!U251</f>
        <v>0</v>
      </c>
      <c r="U160" s="538">
        <f>PROFORMA!V251</f>
        <v>0</v>
      </c>
      <c r="V160" s="538">
        <f>PROFORMA!W251</f>
        <v>0</v>
      </c>
      <c r="W160" s="538">
        <f>PROFORMA!X251</f>
        <v>0</v>
      </c>
      <c r="X160" s="579">
        <f t="shared" si="151"/>
        <v>0</v>
      </c>
      <c r="Y160" s="538">
        <f>PROFORMA!Y251</f>
        <v>0</v>
      </c>
      <c r="Z160" s="538">
        <f>PROFORMA!Z251</f>
        <v>0</v>
      </c>
      <c r="AA160" s="538">
        <f>PROFORMA!AA251</f>
        <v>0</v>
      </c>
      <c r="AB160" s="538">
        <f>PROFORMA!AB251</f>
        <v>0</v>
      </c>
      <c r="AC160" s="538">
        <f>PROFORMA!AC251</f>
        <v>0</v>
      </c>
      <c r="AD160" s="538">
        <f>PROFORMA!AD251</f>
        <v>0</v>
      </c>
      <c r="AE160" s="538">
        <f>PROFORMA!AE251</f>
        <v>0</v>
      </c>
      <c r="AF160" s="538">
        <f>PROFORMA!AG251</f>
        <v>0</v>
      </c>
      <c r="AG160" s="538">
        <f>PROFORMA!AH251</f>
        <v>0</v>
      </c>
      <c r="AH160" s="538">
        <f>PROFORMA!AI251</f>
        <v>0</v>
      </c>
      <c r="AI160" s="538">
        <f>PROFORMA!AJ251</f>
        <v>0</v>
      </c>
      <c r="AJ160" s="538">
        <f>PROFORMA!AK251</f>
        <v>0</v>
      </c>
      <c r="AK160" s="538">
        <f>PROFORMA!AL251</f>
        <v>0</v>
      </c>
      <c r="AL160" s="538">
        <f>PROFORMA!AM251</f>
        <v>0</v>
      </c>
      <c r="AM160" s="538">
        <f>PROFORMA!AN251</f>
        <v>0</v>
      </c>
      <c r="AN160" s="538">
        <f>PROFORMA!AO251</f>
        <v>0</v>
      </c>
      <c r="AO160" s="538">
        <f>PROFORMA!AP251</f>
        <v>0</v>
      </c>
      <c r="AP160" s="538">
        <f>PROFORMA!AQ251</f>
        <v>0</v>
      </c>
      <c r="AQ160" s="538">
        <f>PROFORMA!AR251</f>
        <v>0</v>
      </c>
      <c r="AR160" s="538">
        <f>PROFORMA!AS251</f>
        <v>0</v>
      </c>
      <c r="AS160" s="538">
        <f>PROFORMA!AT251</f>
        <v>0</v>
      </c>
      <c r="AT160" s="655">
        <f>SUM(Y160:AS160)</f>
        <v>0</v>
      </c>
      <c r="AU160" s="656">
        <f>X160+AT160</f>
        <v>0</v>
      </c>
      <c r="AV160" s="656">
        <f>E160+AU160</f>
        <v>43063000</v>
      </c>
      <c r="AW160" s="656"/>
      <c r="AX160" s="656">
        <f t="shared" si="152"/>
        <v>43063000</v>
      </c>
    </row>
    <row r="161" spans="1:50">
      <c r="A161" s="529"/>
      <c r="B161" s="795"/>
      <c r="C161" s="521" t="s">
        <v>1251</v>
      </c>
      <c r="D161" s="549">
        <v>303.12</v>
      </c>
      <c r="E161" s="538">
        <f>PROFORMA!F252</f>
        <v>4260000</v>
      </c>
      <c r="F161" s="574">
        <f>PROFORMA!G252</f>
        <v>0</v>
      </c>
      <c r="G161" s="574">
        <f>PROFORMA!H252</f>
        <v>0</v>
      </c>
      <c r="H161" s="574">
        <f>PROFORMA!I252</f>
        <v>0</v>
      </c>
      <c r="I161" s="574">
        <f>PROFORMA!J252</f>
        <v>0</v>
      </c>
      <c r="J161" s="574">
        <f>PROFORMA!K252</f>
        <v>0</v>
      </c>
      <c r="K161" s="574">
        <f>PROFORMA!L252</f>
        <v>0</v>
      </c>
      <c r="L161" s="574">
        <f>PROFORMA!M252</f>
        <v>0</v>
      </c>
      <c r="M161" s="574">
        <f>PROFORMA!N252</f>
        <v>0</v>
      </c>
      <c r="N161" s="574">
        <f>PROFORMA!O252</f>
        <v>0</v>
      </c>
      <c r="O161" s="574">
        <f>PROFORMA!P252</f>
        <v>0</v>
      </c>
      <c r="P161" s="574">
        <f>PROFORMA!Q252</f>
        <v>0</v>
      </c>
      <c r="Q161" s="574">
        <f>PROFORMA!R252</f>
        <v>0</v>
      </c>
      <c r="R161" s="574">
        <f>PROFORMA!S252</f>
        <v>0</v>
      </c>
      <c r="S161" s="574">
        <f>PROFORMA!T252</f>
        <v>0</v>
      </c>
      <c r="T161" s="574">
        <f>PROFORMA!U252</f>
        <v>0</v>
      </c>
      <c r="U161" s="574">
        <f>PROFORMA!V252</f>
        <v>0</v>
      </c>
      <c r="V161" s="574">
        <f>PROFORMA!W252</f>
        <v>0</v>
      </c>
      <c r="W161" s="574">
        <f>PROFORMA!X252</f>
        <v>0</v>
      </c>
      <c r="X161" s="580">
        <f t="shared" si="151"/>
        <v>0</v>
      </c>
      <c r="Y161" s="574">
        <f>PROFORMA!Y252</f>
        <v>0</v>
      </c>
      <c r="Z161" s="574">
        <f>PROFORMA!Z252</f>
        <v>0</v>
      </c>
      <c r="AA161" s="574">
        <f>PROFORMA!AA252</f>
        <v>0</v>
      </c>
      <c r="AB161" s="574">
        <f>PROFORMA!AB252</f>
        <v>0</v>
      </c>
      <c r="AC161" s="574">
        <f>PROFORMA!AC252</f>
        <v>0</v>
      </c>
      <c r="AD161" s="574">
        <f>PROFORMA!AD252</f>
        <v>0</v>
      </c>
      <c r="AE161" s="574">
        <f>PROFORMA!AE252</f>
        <v>0</v>
      </c>
      <c r="AF161" s="574">
        <f>PROFORMA!AG252</f>
        <v>0</v>
      </c>
      <c r="AG161" s="574">
        <f>PROFORMA!AH252</f>
        <v>0</v>
      </c>
      <c r="AH161" s="574">
        <f>PROFORMA!AI252</f>
        <v>0</v>
      </c>
      <c r="AI161" s="574">
        <f>PROFORMA!AJ252</f>
        <v>0</v>
      </c>
      <c r="AJ161" s="574">
        <f>PROFORMA!AK252</f>
        <v>0</v>
      </c>
      <c r="AK161" s="574">
        <f>PROFORMA!AL252</f>
        <v>0</v>
      </c>
      <c r="AL161" s="574">
        <f>PROFORMA!AM252</f>
        <v>0</v>
      </c>
      <c r="AM161" s="574">
        <f>PROFORMA!AN252</f>
        <v>0</v>
      </c>
      <c r="AN161" s="574">
        <f>PROFORMA!AO252</f>
        <v>0</v>
      </c>
      <c r="AO161" s="574">
        <f>PROFORMA!AP252</f>
        <v>0</v>
      </c>
      <c r="AP161" s="574">
        <f>PROFORMA!AQ252</f>
        <v>0</v>
      </c>
      <c r="AQ161" s="574">
        <f>PROFORMA!AR252</f>
        <v>0</v>
      </c>
      <c r="AR161" s="574">
        <f>PROFORMA!AS252</f>
        <v>0</v>
      </c>
      <c r="AS161" s="574">
        <f>PROFORMA!AT252</f>
        <v>0</v>
      </c>
      <c r="AT161" s="583">
        <f>SUM(Y161:AS161)</f>
        <v>0</v>
      </c>
      <c r="AU161" s="581">
        <f>X161+AT161</f>
        <v>0</v>
      </c>
      <c r="AV161" s="581">
        <f>E161+AU161</f>
        <v>4260000</v>
      </c>
      <c r="AW161" s="581"/>
      <c r="AX161" s="581">
        <f t="shared" ref="AX161" si="195">AV161+AW161</f>
        <v>4260000</v>
      </c>
    </row>
    <row r="162" spans="1:50">
      <c r="A162" s="529">
        <v>159</v>
      </c>
      <c r="B162" s="523"/>
      <c r="C162" s="525" t="s">
        <v>1091</v>
      </c>
      <c r="D162" s="525"/>
      <c r="E162" s="539">
        <f>SUM(E159:E161)</f>
        <v>49302000</v>
      </c>
      <c r="F162" s="539">
        <f>SUM(F159:F161)</f>
        <v>0</v>
      </c>
      <c r="G162" s="539">
        <f t="shared" ref="G162:W162" si="196">SUM(G159:G161)</f>
        <v>0</v>
      </c>
      <c r="H162" s="539">
        <f t="shared" si="196"/>
        <v>0</v>
      </c>
      <c r="I162" s="539">
        <f t="shared" si="196"/>
        <v>0</v>
      </c>
      <c r="J162" s="539">
        <f t="shared" si="196"/>
        <v>0</v>
      </c>
      <c r="K162" s="539">
        <f t="shared" si="196"/>
        <v>0</v>
      </c>
      <c r="L162" s="539">
        <f t="shared" si="196"/>
        <v>0</v>
      </c>
      <c r="M162" s="539">
        <f t="shared" si="196"/>
        <v>0</v>
      </c>
      <c r="N162" s="539">
        <f t="shared" si="196"/>
        <v>0</v>
      </c>
      <c r="O162" s="539">
        <f t="shared" si="196"/>
        <v>0</v>
      </c>
      <c r="P162" s="539">
        <f t="shared" si="196"/>
        <v>0</v>
      </c>
      <c r="Q162" s="539">
        <f t="shared" si="196"/>
        <v>0</v>
      </c>
      <c r="R162" s="539">
        <f t="shared" si="196"/>
        <v>0</v>
      </c>
      <c r="S162" s="539">
        <f t="shared" si="196"/>
        <v>0</v>
      </c>
      <c r="T162" s="539">
        <f t="shared" si="196"/>
        <v>0</v>
      </c>
      <c r="U162" s="539">
        <f t="shared" si="196"/>
        <v>0</v>
      </c>
      <c r="V162" s="539">
        <f t="shared" si="196"/>
        <v>0</v>
      </c>
      <c r="W162" s="539">
        <f t="shared" si="196"/>
        <v>0</v>
      </c>
      <c r="X162" s="579">
        <f t="shared" si="151"/>
        <v>0</v>
      </c>
      <c r="Y162" s="539">
        <f>SUM(Y159:Y161)</f>
        <v>0</v>
      </c>
      <c r="Z162" s="539">
        <f t="shared" ref="Z162:AF162" si="197">SUM(Z159:Z161)</f>
        <v>0</v>
      </c>
      <c r="AA162" s="539">
        <f t="shared" si="197"/>
        <v>0</v>
      </c>
      <c r="AB162" s="539">
        <f t="shared" si="197"/>
        <v>0</v>
      </c>
      <c r="AC162" s="539">
        <f t="shared" si="197"/>
        <v>0</v>
      </c>
      <c r="AD162" s="539">
        <f t="shared" si="197"/>
        <v>0</v>
      </c>
      <c r="AE162" s="539">
        <f t="shared" si="197"/>
        <v>0</v>
      </c>
      <c r="AF162" s="539">
        <f t="shared" si="197"/>
        <v>0</v>
      </c>
      <c r="AG162" s="539">
        <f t="shared" ref="AG162:AQ162" si="198">SUM(AG159:AG161)</f>
        <v>0</v>
      </c>
      <c r="AH162" s="539">
        <f t="shared" si="198"/>
        <v>0</v>
      </c>
      <c r="AI162" s="539">
        <f t="shared" si="198"/>
        <v>0</v>
      </c>
      <c r="AJ162" s="539">
        <f t="shared" si="198"/>
        <v>0</v>
      </c>
      <c r="AK162" s="539">
        <f t="shared" si="198"/>
        <v>0</v>
      </c>
      <c r="AL162" s="539">
        <f t="shared" si="198"/>
        <v>0</v>
      </c>
      <c r="AM162" s="539">
        <f t="shared" si="198"/>
        <v>0</v>
      </c>
      <c r="AN162" s="539">
        <f t="shared" si="198"/>
        <v>0</v>
      </c>
      <c r="AO162" s="539">
        <f t="shared" si="198"/>
        <v>0</v>
      </c>
      <c r="AP162" s="539">
        <f t="shared" si="198"/>
        <v>0</v>
      </c>
      <c r="AQ162" s="539">
        <f t="shared" si="198"/>
        <v>0</v>
      </c>
      <c r="AR162" s="539">
        <f t="shared" ref="AR162" si="199">SUM(AR159:AR161)</f>
        <v>0</v>
      </c>
      <c r="AS162" s="539">
        <f t="shared" ref="AS162" si="200">SUM(AS159:AS161)</f>
        <v>0</v>
      </c>
      <c r="AT162" s="539">
        <f>SUM(AT159:AT161)</f>
        <v>0</v>
      </c>
      <c r="AU162" s="539">
        <f>SUM(AU159:AU161)</f>
        <v>0</v>
      </c>
      <c r="AV162" s="539">
        <f>SUM(AV159:AV161)</f>
        <v>49302000</v>
      </c>
      <c r="AW162" s="539">
        <f>SUM(AW159:AW160)</f>
        <v>0</v>
      </c>
      <c r="AX162" s="539">
        <f>SUM(AX159:AX161)</f>
        <v>49302000</v>
      </c>
    </row>
    <row r="163" spans="1:50" ht="30" customHeight="1">
      <c r="A163" s="529">
        <v>160</v>
      </c>
      <c r="B163" s="795" t="s">
        <v>1092</v>
      </c>
      <c r="C163" s="521" t="s">
        <v>88</v>
      </c>
      <c r="D163" s="545">
        <v>350</v>
      </c>
      <c r="E163" s="538">
        <f>PROFORMA!F256</f>
        <v>911000</v>
      </c>
      <c r="F163" s="538">
        <f>PROFORMA!G256</f>
        <v>0</v>
      </c>
      <c r="G163" s="538">
        <f>PROFORMA!H256</f>
        <v>0</v>
      </c>
      <c r="H163" s="538">
        <f>PROFORMA!I256</f>
        <v>0</v>
      </c>
      <c r="I163" s="538">
        <f>PROFORMA!J256</f>
        <v>0</v>
      </c>
      <c r="J163" s="538">
        <f>PROFORMA!K256</f>
        <v>0</v>
      </c>
      <c r="K163" s="538">
        <f>PROFORMA!L256</f>
        <v>0</v>
      </c>
      <c r="L163" s="538">
        <f>PROFORMA!M256</f>
        <v>0</v>
      </c>
      <c r="M163" s="538">
        <f>PROFORMA!N256</f>
        <v>0</v>
      </c>
      <c r="N163" s="538">
        <f>PROFORMA!O256</f>
        <v>0</v>
      </c>
      <c r="O163" s="538">
        <f>PROFORMA!P256</f>
        <v>0</v>
      </c>
      <c r="P163" s="538">
        <f>PROFORMA!Q256</f>
        <v>0</v>
      </c>
      <c r="Q163" s="538">
        <f>PROFORMA!R256</f>
        <v>0</v>
      </c>
      <c r="R163" s="538">
        <f>PROFORMA!S256</f>
        <v>0</v>
      </c>
      <c r="S163" s="538">
        <f>PROFORMA!T256</f>
        <v>0</v>
      </c>
      <c r="T163" s="538">
        <f>PROFORMA!U256</f>
        <v>0</v>
      </c>
      <c r="U163" s="538">
        <f>PROFORMA!V256</f>
        <v>0</v>
      </c>
      <c r="V163" s="538">
        <f>PROFORMA!W256</f>
        <v>0</v>
      </c>
      <c r="W163" s="538">
        <f>PROFORMA!X256</f>
        <v>15000</v>
      </c>
      <c r="X163" s="579">
        <f t="shared" si="151"/>
        <v>15000</v>
      </c>
      <c r="Y163" s="538">
        <f>PROFORMA!Y256</f>
        <v>0</v>
      </c>
      <c r="Z163" s="538">
        <f>PROFORMA!Z256</f>
        <v>0</v>
      </c>
      <c r="AA163" s="538">
        <f>PROFORMA!AA256</f>
        <v>0</v>
      </c>
      <c r="AB163" s="538">
        <f>PROFORMA!AB256</f>
        <v>0</v>
      </c>
      <c r="AC163" s="538">
        <f>PROFORMA!AC256</f>
        <v>0</v>
      </c>
      <c r="AD163" s="538">
        <f>PROFORMA!AD256</f>
        <v>0</v>
      </c>
      <c r="AE163" s="538">
        <f>PROFORMA!AE256</f>
        <v>0</v>
      </c>
      <c r="AF163" s="538">
        <f>PROFORMA!AG256</f>
        <v>0</v>
      </c>
      <c r="AG163" s="538">
        <f>PROFORMA!AH256</f>
        <v>0</v>
      </c>
      <c r="AH163" s="538">
        <f>PROFORMA!AI256</f>
        <v>0</v>
      </c>
      <c r="AI163" s="538">
        <f>PROFORMA!AJ256</f>
        <v>0</v>
      </c>
      <c r="AJ163" s="538">
        <f>PROFORMA!AK256</f>
        <v>0</v>
      </c>
      <c r="AK163" s="538">
        <f>PROFORMA!AL256</f>
        <v>0</v>
      </c>
      <c r="AL163" s="538">
        <f>PROFORMA!AM256</f>
        <v>30000</v>
      </c>
      <c r="AM163" s="538">
        <f>PROFORMA!AN256</f>
        <v>0</v>
      </c>
      <c r="AN163" s="538">
        <f>PROFORMA!AO256</f>
        <v>40000</v>
      </c>
      <c r="AO163" s="538">
        <f>PROFORMA!AP256</f>
        <v>0</v>
      </c>
      <c r="AP163" s="538">
        <f>PROFORMA!AQ256</f>
        <v>0</v>
      </c>
      <c r="AQ163" s="538">
        <f>PROFORMA!AR256</f>
        <v>0</v>
      </c>
      <c r="AR163" s="538">
        <f>PROFORMA!AS256</f>
        <v>20000</v>
      </c>
      <c r="AS163" s="538">
        <f>PROFORMA!AT256</f>
        <v>0</v>
      </c>
      <c r="AT163" s="582">
        <f t="shared" ref="AT163:AT170" si="201">SUM(Y163:AS163)</f>
        <v>90000</v>
      </c>
      <c r="AU163" s="532">
        <f t="shared" ref="AU163:AU170" si="202">X163+AT163</f>
        <v>105000</v>
      </c>
      <c r="AV163" s="532">
        <f t="shared" ref="AV163:AV170" si="203">E163+AU163</f>
        <v>1016000</v>
      </c>
      <c r="AW163" s="532"/>
      <c r="AX163" s="532">
        <f t="shared" si="152"/>
        <v>1016000</v>
      </c>
    </row>
    <row r="164" spans="1:50">
      <c r="A164" s="529">
        <v>161</v>
      </c>
      <c r="B164" s="795"/>
      <c r="C164" s="521" t="s">
        <v>89</v>
      </c>
      <c r="D164" s="545">
        <v>351</v>
      </c>
      <c r="E164" s="538">
        <f>PROFORMA!F257</f>
        <v>1926000</v>
      </c>
      <c r="F164" s="538">
        <f>PROFORMA!G257</f>
        <v>0</v>
      </c>
      <c r="G164" s="538">
        <f>PROFORMA!H257</f>
        <v>0</v>
      </c>
      <c r="H164" s="538">
        <f>PROFORMA!I257</f>
        <v>0</v>
      </c>
      <c r="I164" s="538">
        <f>PROFORMA!J257</f>
        <v>0</v>
      </c>
      <c r="J164" s="538">
        <f>PROFORMA!K257</f>
        <v>0</v>
      </c>
      <c r="K164" s="538">
        <f>PROFORMA!L257</f>
        <v>0</v>
      </c>
      <c r="L164" s="538">
        <f>PROFORMA!M257</f>
        <v>0</v>
      </c>
      <c r="M164" s="538">
        <f>PROFORMA!N257</f>
        <v>0</v>
      </c>
      <c r="N164" s="538">
        <f>PROFORMA!O257</f>
        <v>0</v>
      </c>
      <c r="O164" s="538">
        <f>PROFORMA!P257</f>
        <v>0</v>
      </c>
      <c r="P164" s="538">
        <f>PROFORMA!Q257</f>
        <v>0</v>
      </c>
      <c r="Q164" s="538">
        <f>PROFORMA!R257</f>
        <v>0</v>
      </c>
      <c r="R164" s="538">
        <f>PROFORMA!S257</f>
        <v>0</v>
      </c>
      <c r="S164" s="538">
        <f>PROFORMA!T257</f>
        <v>0</v>
      </c>
      <c r="T164" s="538">
        <f>PROFORMA!U257</f>
        <v>0</v>
      </c>
      <c r="U164" s="538">
        <f>PROFORMA!V257</f>
        <v>0</v>
      </c>
      <c r="V164" s="538">
        <f>PROFORMA!W257</f>
        <v>0</v>
      </c>
      <c r="W164" s="538">
        <f>PROFORMA!X257</f>
        <v>31000</v>
      </c>
      <c r="X164" s="579">
        <f t="shared" si="151"/>
        <v>31000</v>
      </c>
      <c r="Y164" s="538">
        <f>PROFORMA!Y257</f>
        <v>0</v>
      </c>
      <c r="Z164" s="538">
        <f>PROFORMA!Z257</f>
        <v>0</v>
      </c>
      <c r="AA164" s="538">
        <f>PROFORMA!AA257</f>
        <v>0</v>
      </c>
      <c r="AB164" s="538">
        <f>PROFORMA!AB257</f>
        <v>0</v>
      </c>
      <c r="AC164" s="538">
        <f>PROFORMA!AC257</f>
        <v>0</v>
      </c>
      <c r="AD164" s="538">
        <f>PROFORMA!AD257</f>
        <v>0</v>
      </c>
      <c r="AE164" s="538">
        <f>PROFORMA!AE257</f>
        <v>0</v>
      </c>
      <c r="AF164" s="538">
        <f>PROFORMA!AG257</f>
        <v>0</v>
      </c>
      <c r="AG164" s="538">
        <f>PROFORMA!AH257</f>
        <v>0</v>
      </c>
      <c r="AH164" s="538">
        <f>PROFORMA!AI257</f>
        <v>0</v>
      </c>
      <c r="AI164" s="538">
        <f>PROFORMA!AJ257</f>
        <v>0</v>
      </c>
      <c r="AJ164" s="538">
        <f>PROFORMA!AK257</f>
        <v>0</v>
      </c>
      <c r="AK164" s="538">
        <f>PROFORMA!AL257</f>
        <v>0</v>
      </c>
      <c r="AL164" s="538">
        <f>PROFORMA!AM257</f>
        <v>63000</v>
      </c>
      <c r="AM164" s="538">
        <f>PROFORMA!AN257</f>
        <v>0</v>
      </c>
      <c r="AN164" s="538">
        <f>PROFORMA!AO257</f>
        <v>84000</v>
      </c>
      <c r="AO164" s="538">
        <f>PROFORMA!AP257</f>
        <v>0</v>
      </c>
      <c r="AP164" s="538">
        <f>PROFORMA!AQ257</f>
        <v>0</v>
      </c>
      <c r="AQ164" s="538">
        <f>PROFORMA!AR257</f>
        <v>0</v>
      </c>
      <c r="AR164" s="538">
        <f>PROFORMA!AS257</f>
        <v>42000</v>
      </c>
      <c r="AS164" s="538">
        <f>PROFORMA!AT257</f>
        <v>0</v>
      </c>
      <c r="AT164" s="582">
        <f t="shared" si="201"/>
        <v>189000</v>
      </c>
      <c r="AU164" s="532">
        <f t="shared" si="202"/>
        <v>220000</v>
      </c>
      <c r="AV164" s="532">
        <f t="shared" si="203"/>
        <v>2146000</v>
      </c>
      <c r="AW164" s="532"/>
      <c r="AX164" s="532">
        <f t="shared" si="152"/>
        <v>2146000</v>
      </c>
    </row>
    <row r="165" spans="1:50">
      <c r="A165" s="529">
        <v>162</v>
      </c>
      <c r="B165" s="795"/>
      <c r="C165" s="521" t="s">
        <v>237</v>
      </c>
      <c r="D165" s="545">
        <v>352</v>
      </c>
      <c r="E165" s="538">
        <f>PROFORMA!F258</f>
        <v>16041000</v>
      </c>
      <c r="F165" s="538">
        <f>PROFORMA!G258</f>
        <v>0</v>
      </c>
      <c r="G165" s="538">
        <f>PROFORMA!H258</f>
        <v>0</v>
      </c>
      <c r="H165" s="538">
        <f>PROFORMA!I258</f>
        <v>0</v>
      </c>
      <c r="I165" s="538">
        <f>PROFORMA!J258</f>
        <v>0</v>
      </c>
      <c r="J165" s="538">
        <f>PROFORMA!K258</f>
        <v>0</v>
      </c>
      <c r="K165" s="538">
        <f>PROFORMA!L258</f>
        <v>0</v>
      </c>
      <c r="L165" s="538">
        <f>PROFORMA!M258</f>
        <v>0</v>
      </c>
      <c r="M165" s="538">
        <f>PROFORMA!N258</f>
        <v>0</v>
      </c>
      <c r="N165" s="538">
        <f>PROFORMA!O258</f>
        <v>0</v>
      </c>
      <c r="O165" s="538">
        <f>PROFORMA!P258</f>
        <v>0</v>
      </c>
      <c r="P165" s="538">
        <f>PROFORMA!Q258</f>
        <v>0</v>
      </c>
      <c r="Q165" s="538">
        <f>PROFORMA!R258</f>
        <v>0</v>
      </c>
      <c r="R165" s="538">
        <f>PROFORMA!S258</f>
        <v>0</v>
      </c>
      <c r="S165" s="538">
        <f>PROFORMA!T258</f>
        <v>0</v>
      </c>
      <c r="T165" s="538">
        <f>PROFORMA!U258</f>
        <v>0</v>
      </c>
      <c r="U165" s="538">
        <f>PROFORMA!V258</f>
        <v>0</v>
      </c>
      <c r="V165" s="538">
        <f>PROFORMA!W258</f>
        <v>0</v>
      </c>
      <c r="W165" s="538">
        <f>PROFORMA!X258</f>
        <v>256000</v>
      </c>
      <c r="X165" s="579">
        <f t="shared" si="151"/>
        <v>256000</v>
      </c>
      <c r="Y165" s="538">
        <f>PROFORMA!Y258</f>
        <v>0</v>
      </c>
      <c r="Z165" s="538">
        <f>PROFORMA!Z258</f>
        <v>0</v>
      </c>
      <c r="AA165" s="538">
        <f>PROFORMA!AA258</f>
        <v>0</v>
      </c>
      <c r="AB165" s="538">
        <f>PROFORMA!AB258</f>
        <v>0</v>
      </c>
      <c r="AC165" s="538">
        <f>PROFORMA!AC258</f>
        <v>0</v>
      </c>
      <c r="AD165" s="538">
        <f>PROFORMA!AD258</f>
        <v>0</v>
      </c>
      <c r="AE165" s="538">
        <f>PROFORMA!AE258</f>
        <v>0</v>
      </c>
      <c r="AF165" s="538">
        <f>PROFORMA!AG258</f>
        <v>0</v>
      </c>
      <c r="AG165" s="538">
        <f>PROFORMA!AH258</f>
        <v>0</v>
      </c>
      <c r="AH165" s="538">
        <f>PROFORMA!AI258</f>
        <v>0</v>
      </c>
      <c r="AI165" s="538">
        <f>PROFORMA!AJ258</f>
        <v>0</v>
      </c>
      <c r="AJ165" s="538">
        <f>PROFORMA!AK258</f>
        <v>0</v>
      </c>
      <c r="AK165" s="538">
        <f>PROFORMA!AL258</f>
        <v>0</v>
      </c>
      <c r="AL165" s="538">
        <f>PROFORMA!AM258</f>
        <v>526000</v>
      </c>
      <c r="AM165" s="538">
        <f>PROFORMA!AN258</f>
        <v>0</v>
      </c>
      <c r="AN165" s="538">
        <f>PROFORMA!AO258</f>
        <v>701000</v>
      </c>
      <c r="AO165" s="538">
        <f>PROFORMA!AP258</f>
        <v>0</v>
      </c>
      <c r="AP165" s="538">
        <f>PROFORMA!AQ258</f>
        <v>0</v>
      </c>
      <c r="AQ165" s="538">
        <f>PROFORMA!AR258</f>
        <v>0</v>
      </c>
      <c r="AR165" s="538">
        <f>PROFORMA!AS258</f>
        <v>350000</v>
      </c>
      <c r="AS165" s="538">
        <f>PROFORMA!AT258</f>
        <v>0</v>
      </c>
      <c r="AT165" s="582">
        <f t="shared" si="201"/>
        <v>1577000</v>
      </c>
      <c r="AU165" s="532">
        <f t="shared" si="202"/>
        <v>1833000</v>
      </c>
      <c r="AV165" s="532">
        <f t="shared" si="203"/>
        <v>17874000</v>
      </c>
      <c r="AW165" s="532"/>
      <c r="AX165" s="532">
        <f t="shared" si="152"/>
        <v>17874000</v>
      </c>
    </row>
    <row r="166" spans="1:50">
      <c r="A166" s="529">
        <v>163</v>
      </c>
      <c r="B166" s="795"/>
      <c r="C166" s="521" t="s">
        <v>238</v>
      </c>
      <c r="D166" s="545">
        <v>353</v>
      </c>
      <c r="E166" s="538">
        <f>PROFORMA!F259</f>
        <v>1409000</v>
      </c>
      <c r="F166" s="538">
        <f>PROFORMA!G259</f>
        <v>0</v>
      </c>
      <c r="G166" s="538">
        <f>PROFORMA!H259</f>
        <v>0</v>
      </c>
      <c r="H166" s="538">
        <f>PROFORMA!I259</f>
        <v>0</v>
      </c>
      <c r="I166" s="538">
        <f>PROFORMA!J259</f>
        <v>0</v>
      </c>
      <c r="J166" s="538">
        <f>PROFORMA!K259</f>
        <v>0</v>
      </c>
      <c r="K166" s="538">
        <f>PROFORMA!L259</f>
        <v>0</v>
      </c>
      <c r="L166" s="538">
        <f>PROFORMA!M259</f>
        <v>0</v>
      </c>
      <c r="M166" s="538">
        <f>PROFORMA!N259</f>
        <v>0</v>
      </c>
      <c r="N166" s="538">
        <f>PROFORMA!O259</f>
        <v>0</v>
      </c>
      <c r="O166" s="538">
        <f>PROFORMA!P259</f>
        <v>0</v>
      </c>
      <c r="P166" s="538">
        <f>PROFORMA!Q259</f>
        <v>0</v>
      </c>
      <c r="Q166" s="538">
        <f>PROFORMA!R259</f>
        <v>0</v>
      </c>
      <c r="R166" s="538">
        <f>PROFORMA!S259</f>
        <v>0</v>
      </c>
      <c r="S166" s="538">
        <f>PROFORMA!T259</f>
        <v>0</v>
      </c>
      <c r="T166" s="538">
        <f>PROFORMA!U259</f>
        <v>0</v>
      </c>
      <c r="U166" s="538">
        <f>PROFORMA!V259</f>
        <v>0</v>
      </c>
      <c r="V166" s="538">
        <f>PROFORMA!W259</f>
        <v>0</v>
      </c>
      <c r="W166" s="538">
        <f>PROFORMA!X259</f>
        <v>22000</v>
      </c>
      <c r="X166" s="579">
        <f t="shared" si="151"/>
        <v>22000</v>
      </c>
      <c r="Y166" s="538">
        <f>PROFORMA!Y259</f>
        <v>0</v>
      </c>
      <c r="Z166" s="538">
        <f>PROFORMA!Z259</f>
        <v>0</v>
      </c>
      <c r="AA166" s="538">
        <f>PROFORMA!AA259</f>
        <v>0</v>
      </c>
      <c r="AB166" s="538">
        <f>PROFORMA!AB259</f>
        <v>0</v>
      </c>
      <c r="AC166" s="538">
        <f>PROFORMA!AC259</f>
        <v>0</v>
      </c>
      <c r="AD166" s="538">
        <f>PROFORMA!AD259</f>
        <v>0</v>
      </c>
      <c r="AE166" s="538">
        <f>PROFORMA!AE259</f>
        <v>0</v>
      </c>
      <c r="AF166" s="538">
        <f>PROFORMA!AG259</f>
        <v>0</v>
      </c>
      <c r="AG166" s="538">
        <f>PROFORMA!AH259</f>
        <v>0</v>
      </c>
      <c r="AH166" s="538">
        <f>PROFORMA!AI259</f>
        <v>0</v>
      </c>
      <c r="AI166" s="538">
        <f>PROFORMA!AJ259</f>
        <v>0</v>
      </c>
      <c r="AJ166" s="538">
        <f>PROFORMA!AK259</f>
        <v>0</v>
      </c>
      <c r="AK166" s="538">
        <f>PROFORMA!AL259</f>
        <v>0</v>
      </c>
      <c r="AL166" s="538">
        <f>PROFORMA!AM259</f>
        <v>46000</v>
      </c>
      <c r="AM166" s="538">
        <f>PROFORMA!AN259</f>
        <v>0</v>
      </c>
      <c r="AN166" s="538">
        <f>PROFORMA!AO259</f>
        <v>62000</v>
      </c>
      <c r="AO166" s="538">
        <f>PROFORMA!AP259</f>
        <v>0</v>
      </c>
      <c r="AP166" s="538">
        <f>PROFORMA!AQ259</f>
        <v>0</v>
      </c>
      <c r="AQ166" s="538">
        <f>PROFORMA!AR259</f>
        <v>0</v>
      </c>
      <c r="AR166" s="538">
        <f>PROFORMA!AS259</f>
        <v>31000</v>
      </c>
      <c r="AS166" s="538">
        <f>PROFORMA!AT259</f>
        <v>0</v>
      </c>
      <c r="AT166" s="582">
        <f t="shared" si="201"/>
        <v>139000</v>
      </c>
      <c r="AU166" s="532">
        <f t="shared" si="202"/>
        <v>161000</v>
      </c>
      <c r="AV166" s="532">
        <f t="shared" si="203"/>
        <v>1570000</v>
      </c>
      <c r="AW166" s="532"/>
      <c r="AX166" s="532">
        <f t="shared" si="152"/>
        <v>1570000</v>
      </c>
    </row>
    <row r="167" spans="1:50">
      <c r="A167" s="529">
        <v>164</v>
      </c>
      <c r="B167" s="795"/>
      <c r="C167" s="521" t="s">
        <v>239</v>
      </c>
      <c r="D167" s="545">
        <v>354</v>
      </c>
      <c r="E167" s="538">
        <f>PROFORMA!F260</f>
        <v>10493000</v>
      </c>
      <c r="F167" s="538">
        <f>PROFORMA!G260</f>
        <v>0</v>
      </c>
      <c r="G167" s="538">
        <f>PROFORMA!H260</f>
        <v>0</v>
      </c>
      <c r="H167" s="538">
        <f>PROFORMA!I260</f>
        <v>0</v>
      </c>
      <c r="I167" s="538">
        <f>PROFORMA!J260</f>
        <v>0</v>
      </c>
      <c r="J167" s="538">
        <f>PROFORMA!K260</f>
        <v>0</v>
      </c>
      <c r="K167" s="538">
        <f>PROFORMA!L260</f>
        <v>0</v>
      </c>
      <c r="L167" s="538">
        <f>PROFORMA!M260</f>
        <v>0</v>
      </c>
      <c r="M167" s="538">
        <f>PROFORMA!N260</f>
        <v>0</v>
      </c>
      <c r="N167" s="538">
        <f>PROFORMA!O260</f>
        <v>0</v>
      </c>
      <c r="O167" s="538">
        <f>PROFORMA!P260</f>
        <v>0</v>
      </c>
      <c r="P167" s="538">
        <f>PROFORMA!Q260</f>
        <v>0</v>
      </c>
      <c r="Q167" s="538">
        <f>PROFORMA!R260</f>
        <v>0</v>
      </c>
      <c r="R167" s="538">
        <f>PROFORMA!S260</f>
        <v>0</v>
      </c>
      <c r="S167" s="538">
        <f>PROFORMA!T260</f>
        <v>0</v>
      </c>
      <c r="T167" s="538">
        <f>PROFORMA!U260</f>
        <v>0</v>
      </c>
      <c r="U167" s="538">
        <f>PROFORMA!V260</f>
        <v>0</v>
      </c>
      <c r="V167" s="538">
        <f>PROFORMA!W260</f>
        <v>0</v>
      </c>
      <c r="W167" s="538">
        <f>PROFORMA!X260</f>
        <v>167000</v>
      </c>
      <c r="X167" s="579">
        <f t="shared" si="151"/>
        <v>167000</v>
      </c>
      <c r="Y167" s="538">
        <f>PROFORMA!Y260</f>
        <v>0</v>
      </c>
      <c r="Z167" s="538">
        <f>PROFORMA!Z260</f>
        <v>0</v>
      </c>
      <c r="AA167" s="538">
        <f>PROFORMA!AA260</f>
        <v>0</v>
      </c>
      <c r="AB167" s="538">
        <f>PROFORMA!AB260</f>
        <v>0</v>
      </c>
      <c r="AC167" s="538">
        <f>PROFORMA!AC260</f>
        <v>0</v>
      </c>
      <c r="AD167" s="538">
        <f>PROFORMA!AD260</f>
        <v>0</v>
      </c>
      <c r="AE167" s="538">
        <f>PROFORMA!AE260</f>
        <v>0</v>
      </c>
      <c r="AF167" s="538">
        <f>PROFORMA!AG260</f>
        <v>0</v>
      </c>
      <c r="AG167" s="538">
        <f>PROFORMA!AH260</f>
        <v>0</v>
      </c>
      <c r="AH167" s="538">
        <f>PROFORMA!AI260</f>
        <v>0</v>
      </c>
      <c r="AI167" s="538">
        <f>PROFORMA!AJ260</f>
        <v>0</v>
      </c>
      <c r="AJ167" s="538">
        <f>PROFORMA!AK260</f>
        <v>0</v>
      </c>
      <c r="AK167" s="538">
        <f>PROFORMA!AL260</f>
        <v>0</v>
      </c>
      <c r="AL167" s="538">
        <f>PROFORMA!AM260</f>
        <v>343000</v>
      </c>
      <c r="AM167" s="538">
        <f>PROFORMA!AN260</f>
        <v>0</v>
      </c>
      <c r="AN167" s="538">
        <f>PROFORMA!AO260</f>
        <v>458000</v>
      </c>
      <c r="AO167" s="538">
        <f>PROFORMA!AP260</f>
        <v>0</v>
      </c>
      <c r="AP167" s="538">
        <f>PROFORMA!AQ260</f>
        <v>0</v>
      </c>
      <c r="AQ167" s="538">
        <f>PROFORMA!AR260</f>
        <v>0</v>
      </c>
      <c r="AR167" s="538">
        <f>PROFORMA!AS260</f>
        <v>229000</v>
      </c>
      <c r="AS167" s="538">
        <f>PROFORMA!AT260</f>
        <v>0</v>
      </c>
      <c r="AT167" s="582">
        <f t="shared" si="201"/>
        <v>1030000</v>
      </c>
      <c r="AU167" s="532">
        <f t="shared" si="202"/>
        <v>1197000</v>
      </c>
      <c r="AV167" s="532">
        <f t="shared" si="203"/>
        <v>11690000</v>
      </c>
      <c r="AW167" s="532"/>
      <c r="AX167" s="532">
        <f t="shared" si="152"/>
        <v>11690000</v>
      </c>
    </row>
    <row r="168" spans="1:50">
      <c r="A168" s="529">
        <v>165</v>
      </c>
      <c r="B168" s="795"/>
      <c r="C168" s="521" t="s">
        <v>240</v>
      </c>
      <c r="D168" s="545">
        <v>355</v>
      </c>
      <c r="E168" s="538">
        <f>PROFORMA!F261</f>
        <v>1326000</v>
      </c>
      <c r="F168" s="538">
        <f>PROFORMA!G261</f>
        <v>0</v>
      </c>
      <c r="G168" s="538">
        <f>PROFORMA!H261</f>
        <v>0</v>
      </c>
      <c r="H168" s="538">
        <f>PROFORMA!I261</f>
        <v>0</v>
      </c>
      <c r="I168" s="538">
        <f>PROFORMA!J261</f>
        <v>0</v>
      </c>
      <c r="J168" s="538">
        <f>PROFORMA!K261</f>
        <v>0</v>
      </c>
      <c r="K168" s="538">
        <f>PROFORMA!L261</f>
        <v>0</v>
      </c>
      <c r="L168" s="538">
        <f>PROFORMA!M261</f>
        <v>0</v>
      </c>
      <c r="M168" s="538">
        <f>PROFORMA!N261</f>
        <v>0</v>
      </c>
      <c r="N168" s="538">
        <f>PROFORMA!O261</f>
        <v>0</v>
      </c>
      <c r="O168" s="538">
        <f>PROFORMA!P261</f>
        <v>0</v>
      </c>
      <c r="P168" s="538">
        <f>PROFORMA!Q261</f>
        <v>0</v>
      </c>
      <c r="Q168" s="538">
        <f>PROFORMA!R261</f>
        <v>0</v>
      </c>
      <c r="R168" s="538">
        <f>PROFORMA!S261</f>
        <v>0</v>
      </c>
      <c r="S168" s="538">
        <f>PROFORMA!T261</f>
        <v>0</v>
      </c>
      <c r="T168" s="538">
        <f>PROFORMA!U261</f>
        <v>0</v>
      </c>
      <c r="U168" s="538">
        <f>PROFORMA!V261</f>
        <v>0</v>
      </c>
      <c r="V168" s="538">
        <f>PROFORMA!W261</f>
        <v>0</v>
      </c>
      <c r="W168" s="538">
        <f>PROFORMA!X261</f>
        <v>21000</v>
      </c>
      <c r="X168" s="579">
        <f t="shared" si="151"/>
        <v>21000</v>
      </c>
      <c r="Y168" s="538">
        <f>PROFORMA!Y261</f>
        <v>0</v>
      </c>
      <c r="Z168" s="538">
        <f>PROFORMA!Z261</f>
        <v>0</v>
      </c>
      <c r="AA168" s="538">
        <f>PROFORMA!AA261</f>
        <v>0</v>
      </c>
      <c r="AB168" s="538">
        <f>PROFORMA!AB261</f>
        <v>0</v>
      </c>
      <c r="AC168" s="538">
        <f>PROFORMA!AC261</f>
        <v>0</v>
      </c>
      <c r="AD168" s="538">
        <f>PROFORMA!AD261</f>
        <v>0</v>
      </c>
      <c r="AE168" s="538">
        <f>PROFORMA!AE261</f>
        <v>0</v>
      </c>
      <c r="AF168" s="538">
        <f>PROFORMA!AG261</f>
        <v>0</v>
      </c>
      <c r="AG168" s="538">
        <f>PROFORMA!AH261</f>
        <v>0</v>
      </c>
      <c r="AH168" s="538">
        <f>PROFORMA!AI261</f>
        <v>0</v>
      </c>
      <c r="AI168" s="538">
        <f>PROFORMA!AJ261</f>
        <v>0</v>
      </c>
      <c r="AJ168" s="538">
        <f>PROFORMA!AK261</f>
        <v>0</v>
      </c>
      <c r="AK168" s="538">
        <f>PROFORMA!AL261</f>
        <v>0</v>
      </c>
      <c r="AL168" s="538">
        <f>PROFORMA!AM261</f>
        <v>43000</v>
      </c>
      <c r="AM168" s="538">
        <f>PROFORMA!AN261</f>
        <v>0</v>
      </c>
      <c r="AN168" s="538">
        <f>PROFORMA!AO261</f>
        <v>58000</v>
      </c>
      <c r="AO168" s="538">
        <f>PROFORMA!AP261</f>
        <v>0</v>
      </c>
      <c r="AP168" s="538">
        <f>PROFORMA!AQ261</f>
        <v>0</v>
      </c>
      <c r="AQ168" s="538">
        <f>PROFORMA!AR261</f>
        <v>0</v>
      </c>
      <c r="AR168" s="538">
        <f>PROFORMA!AS261</f>
        <v>29000</v>
      </c>
      <c r="AS168" s="538">
        <f>PROFORMA!AT261</f>
        <v>0</v>
      </c>
      <c r="AT168" s="582">
        <f t="shared" si="201"/>
        <v>130000</v>
      </c>
      <c r="AU168" s="532">
        <f t="shared" si="202"/>
        <v>151000</v>
      </c>
      <c r="AV168" s="532">
        <f t="shared" si="203"/>
        <v>1477000</v>
      </c>
      <c r="AW168" s="532"/>
      <c r="AX168" s="532">
        <f t="shared" si="152"/>
        <v>1477000</v>
      </c>
    </row>
    <row r="169" spans="1:50">
      <c r="A169" s="529">
        <v>166</v>
      </c>
      <c r="B169" s="795"/>
      <c r="C169" s="521" t="s">
        <v>241</v>
      </c>
      <c r="D169" s="545">
        <v>356</v>
      </c>
      <c r="E169" s="538">
        <f>PROFORMA!F262</f>
        <v>373000</v>
      </c>
      <c r="F169" s="538">
        <f>PROFORMA!G262</f>
        <v>0</v>
      </c>
      <c r="G169" s="538">
        <f>PROFORMA!H262</f>
        <v>0</v>
      </c>
      <c r="H169" s="538">
        <f>PROFORMA!I262</f>
        <v>0</v>
      </c>
      <c r="I169" s="538">
        <f>PROFORMA!J262</f>
        <v>0</v>
      </c>
      <c r="J169" s="538">
        <f>PROFORMA!K262</f>
        <v>0</v>
      </c>
      <c r="K169" s="538">
        <f>PROFORMA!L262</f>
        <v>0</v>
      </c>
      <c r="L169" s="538">
        <f>PROFORMA!M262</f>
        <v>0</v>
      </c>
      <c r="M169" s="538">
        <f>PROFORMA!N262</f>
        <v>0</v>
      </c>
      <c r="N169" s="538">
        <f>PROFORMA!O262</f>
        <v>0</v>
      </c>
      <c r="O169" s="538">
        <f>PROFORMA!P262</f>
        <v>0</v>
      </c>
      <c r="P169" s="538">
        <f>PROFORMA!Q262</f>
        <v>0</v>
      </c>
      <c r="Q169" s="538">
        <f>PROFORMA!R262</f>
        <v>0</v>
      </c>
      <c r="R169" s="538">
        <f>PROFORMA!S262</f>
        <v>0</v>
      </c>
      <c r="S169" s="538">
        <f>PROFORMA!T262</f>
        <v>0</v>
      </c>
      <c r="T169" s="538">
        <f>PROFORMA!U262</f>
        <v>0</v>
      </c>
      <c r="U169" s="538">
        <f>PROFORMA!V262</f>
        <v>0</v>
      </c>
      <c r="V169" s="538">
        <f>PROFORMA!W262</f>
        <v>0</v>
      </c>
      <c r="W169" s="538">
        <f>PROFORMA!X262</f>
        <v>6000</v>
      </c>
      <c r="X169" s="579">
        <f t="shared" si="151"/>
        <v>6000</v>
      </c>
      <c r="Y169" s="538">
        <f>PROFORMA!Y262</f>
        <v>0</v>
      </c>
      <c r="Z169" s="538">
        <f>PROFORMA!Z262</f>
        <v>0</v>
      </c>
      <c r="AA169" s="538">
        <f>PROFORMA!AA262</f>
        <v>0</v>
      </c>
      <c r="AB169" s="538">
        <f>PROFORMA!AB262</f>
        <v>0</v>
      </c>
      <c r="AC169" s="538">
        <f>PROFORMA!AC262</f>
        <v>0</v>
      </c>
      <c r="AD169" s="538">
        <f>PROFORMA!AD262</f>
        <v>0</v>
      </c>
      <c r="AE169" s="538">
        <f>PROFORMA!AE262</f>
        <v>0</v>
      </c>
      <c r="AF169" s="538">
        <f>PROFORMA!AG262</f>
        <v>0</v>
      </c>
      <c r="AG169" s="538">
        <f>PROFORMA!AH262</f>
        <v>0</v>
      </c>
      <c r="AH169" s="538">
        <f>PROFORMA!AI262</f>
        <v>0</v>
      </c>
      <c r="AI169" s="538">
        <f>PROFORMA!AJ262</f>
        <v>0</v>
      </c>
      <c r="AJ169" s="538">
        <f>PROFORMA!AK262</f>
        <v>0</v>
      </c>
      <c r="AK169" s="538">
        <f>PROFORMA!AL262</f>
        <v>0</v>
      </c>
      <c r="AL169" s="538">
        <f>PROFORMA!AM262</f>
        <v>12000</v>
      </c>
      <c r="AM169" s="538">
        <f>PROFORMA!AN262</f>
        <v>0</v>
      </c>
      <c r="AN169" s="538">
        <f>PROFORMA!AO262</f>
        <v>16000</v>
      </c>
      <c r="AO169" s="538">
        <f>PROFORMA!AP262</f>
        <v>0</v>
      </c>
      <c r="AP169" s="538">
        <f>PROFORMA!AQ262</f>
        <v>0</v>
      </c>
      <c r="AQ169" s="538">
        <f>PROFORMA!AR262</f>
        <v>0</v>
      </c>
      <c r="AR169" s="538">
        <f>PROFORMA!AS262</f>
        <v>8000</v>
      </c>
      <c r="AS169" s="538">
        <f>PROFORMA!AT262</f>
        <v>0</v>
      </c>
      <c r="AT169" s="582">
        <f t="shared" si="201"/>
        <v>36000</v>
      </c>
      <c r="AU169" s="532">
        <f t="shared" si="202"/>
        <v>42000</v>
      </c>
      <c r="AV169" s="532">
        <f t="shared" si="203"/>
        <v>415000</v>
      </c>
      <c r="AW169" s="532"/>
      <c r="AX169" s="532">
        <f t="shared" si="152"/>
        <v>415000</v>
      </c>
    </row>
    <row r="170" spans="1:50">
      <c r="A170" s="529">
        <v>167</v>
      </c>
      <c r="B170" s="795"/>
      <c r="C170" s="521" t="s">
        <v>242</v>
      </c>
      <c r="D170" s="545">
        <v>357</v>
      </c>
      <c r="E170" s="574">
        <f>PROFORMA!F263</f>
        <v>2020000</v>
      </c>
      <c r="F170" s="574">
        <f>PROFORMA!G263</f>
        <v>0</v>
      </c>
      <c r="G170" s="574">
        <f>PROFORMA!H263</f>
        <v>0</v>
      </c>
      <c r="H170" s="574">
        <f>PROFORMA!I263</f>
        <v>0</v>
      </c>
      <c r="I170" s="574">
        <f>PROFORMA!J263</f>
        <v>0</v>
      </c>
      <c r="J170" s="574">
        <f>PROFORMA!K263</f>
        <v>0</v>
      </c>
      <c r="K170" s="574">
        <f>PROFORMA!L263</f>
        <v>0</v>
      </c>
      <c r="L170" s="574">
        <f>PROFORMA!M263</f>
        <v>0</v>
      </c>
      <c r="M170" s="574">
        <f>PROFORMA!N263</f>
        <v>0</v>
      </c>
      <c r="N170" s="574">
        <f>PROFORMA!O263</f>
        <v>0</v>
      </c>
      <c r="O170" s="574">
        <f>PROFORMA!P263</f>
        <v>0</v>
      </c>
      <c r="P170" s="574">
        <f>PROFORMA!Q263</f>
        <v>0</v>
      </c>
      <c r="Q170" s="574">
        <f>PROFORMA!R263</f>
        <v>0</v>
      </c>
      <c r="R170" s="574">
        <f>PROFORMA!S263</f>
        <v>0</v>
      </c>
      <c r="S170" s="574">
        <f>PROFORMA!T263</f>
        <v>0</v>
      </c>
      <c r="T170" s="574">
        <f>PROFORMA!U263</f>
        <v>0</v>
      </c>
      <c r="U170" s="574">
        <f>PROFORMA!V263</f>
        <v>0</v>
      </c>
      <c r="V170" s="574">
        <f>PROFORMA!W263</f>
        <v>0</v>
      </c>
      <c r="W170" s="574">
        <f>PROFORMA!X263</f>
        <v>32000</v>
      </c>
      <c r="X170" s="580">
        <f t="shared" si="151"/>
        <v>32000</v>
      </c>
      <c r="Y170" s="574">
        <f>PROFORMA!Y263</f>
        <v>0</v>
      </c>
      <c r="Z170" s="574">
        <f>PROFORMA!Z263</f>
        <v>0</v>
      </c>
      <c r="AA170" s="574">
        <f>PROFORMA!AA263</f>
        <v>0</v>
      </c>
      <c r="AB170" s="574">
        <f>PROFORMA!AB263</f>
        <v>0</v>
      </c>
      <c r="AC170" s="574">
        <f>PROFORMA!AC263</f>
        <v>0</v>
      </c>
      <c r="AD170" s="574">
        <f>PROFORMA!AD263</f>
        <v>0</v>
      </c>
      <c r="AE170" s="574">
        <f>PROFORMA!AE263</f>
        <v>0</v>
      </c>
      <c r="AF170" s="574">
        <f>PROFORMA!AG263</f>
        <v>0</v>
      </c>
      <c r="AG170" s="574">
        <f>PROFORMA!AH263</f>
        <v>0</v>
      </c>
      <c r="AH170" s="574">
        <f>PROFORMA!AI263</f>
        <v>0</v>
      </c>
      <c r="AI170" s="574">
        <f>PROFORMA!AJ263</f>
        <v>0</v>
      </c>
      <c r="AJ170" s="574">
        <f>PROFORMA!AK263</f>
        <v>0</v>
      </c>
      <c r="AK170" s="574">
        <f>PROFORMA!AL263</f>
        <v>0</v>
      </c>
      <c r="AL170" s="574">
        <f>PROFORMA!AM263</f>
        <v>66000</v>
      </c>
      <c r="AM170" s="574">
        <f>PROFORMA!AN263</f>
        <v>0</v>
      </c>
      <c r="AN170" s="574">
        <f>PROFORMA!AO263</f>
        <v>88000</v>
      </c>
      <c r="AO170" s="574">
        <f>PROFORMA!AP263</f>
        <v>0</v>
      </c>
      <c r="AP170" s="574">
        <f>PROFORMA!AQ263</f>
        <v>0</v>
      </c>
      <c r="AQ170" s="574">
        <f>PROFORMA!AR263</f>
        <v>0</v>
      </c>
      <c r="AR170" s="574">
        <f>PROFORMA!AS263</f>
        <v>44000</v>
      </c>
      <c r="AS170" s="574">
        <f>PROFORMA!AT263</f>
        <v>0</v>
      </c>
      <c r="AT170" s="583">
        <f t="shared" si="201"/>
        <v>198000</v>
      </c>
      <c r="AU170" s="581">
        <f t="shared" si="202"/>
        <v>230000</v>
      </c>
      <c r="AV170" s="581">
        <f t="shared" si="203"/>
        <v>2250000</v>
      </c>
      <c r="AW170" s="581"/>
      <c r="AX170" s="581">
        <f t="shared" si="152"/>
        <v>2250000</v>
      </c>
    </row>
    <row r="171" spans="1:50">
      <c r="A171" s="529">
        <v>168</v>
      </c>
      <c r="B171" s="523"/>
      <c r="C171" s="525" t="s">
        <v>1095</v>
      </c>
      <c r="D171" s="525"/>
      <c r="E171" s="539">
        <f>SUM(E163:E170)</f>
        <v>34499000</v>
      </c>
      <c r="F171" s="539">
        <f t="shared" ref="F171" si="204">SUM(F163:F170)</f>
        <v>0</v>
      </c>
      <c r="G171" s="539">
        <f t="shared" ref="G171:W171" si="205">SUM(G163:G170)</f>
        <v>0</v>
      </c>
      <c r="H171" s="539">
        <f t="shared" si="205"/>
        <v>0</v>
      </c>
      <c r="I171" s="539">
        <f t="shared" si="205"/>
        <v>0</v>
      </c>
      <c r="J171" s="539">
        <f t="shared" si="205"/>
        <v>0</v>
      </c>
      <c r="K171" s="539">
        <f t="shared" si="205"/>
        <v>0</v>
      </c>
      <c r="L171" s="539">
        <f t="shared" si="205"/>
        <v>0</v>
      </c>
      <c r="M171" s="539">
        <f t="shared" si="205"/>
        <v>0</v>
      </c>
      <c r="N171" s="539">
        <f t="shared" si="205"/>
        <v>0</v>
      </c>
      <c r="O171" s="539">
        <f t="shared" si="205"/>
        <v>0</v>
      </c>
      <c r="P171" s="539">
        <f t="shared" si="205"/>
        <v>0</v>
      </c>
      <c r="Q171" s="539">
        <f t="shared" si="205"/>
        <v>0</v>
      </c>
      <c r="R171" s="539">
        <f t="shared" si="205"/>
        <v>0</v>
      </c>
      <c r="S171" s="539">
        <f t="shared" si="205"/>
        <v>0</v>
      </c>
      <c r="T171" s="539">
        <f t="shared" si="205"/>
        <v>0</v>
      </c>
      <c r="U171" s="539">
        <f t="shared" si="205"/>
        <v>0</v>
      </c>
      <c r="V171" s="539">
        <f t="shared" si="205"/>
        <v>0</v>
      </c>
      <c r="W171" s="539">
        <f t="shared" si="205"/>
        <v>550000</v>
      </c>
      <c r="X171" s="579">
        <f t="shared" si="151"/>
        <v>550000</v>
      </c>
      <c r="Y171" s="539">
        <f t="shared" ref="Y171:AX171" si="206">SUM(Y163:Y170)</f>
        <v>0</v>
      </c>
      <c r="Z171" s="539">
        <f t="shared" ref="Z171:AF171" si="207">SUM(Z163:Z170)</f>
        <v>0</v>
      </c>
      <c r="AA171" s="539">
        <f t="shared" si="207"/>
        <v>0</v>
      </c>
      <c r="AB171" s="539">
        <f t="shared" si="207"/>
        <v>0</v>
      </c>
      <c r="AC171" s="539">
        <f t="shared" si="207"/>
        <v>0</v>
      </c>
      <c r="AD171" s="539">
        <f t="shared" si="207"/>
        <v>0</v>
      </c>
      <c r="AE171" s="539">
        <f t="shared" si="207"/>
        <v>0</v>
      </c>
      <c r="AF171" s="539">
        <f t="shared" si="207"/>
        <v>0</v>
      </c>
      <c r="AG171" s="539">
        <f t="shared" ref="AG171:AQ171" si="208">SUM(AG163:AG170)</f>
        <v>0</v>
      </c>
      <c r="AH171" s="539">
        <f t="shared" si="208"/>
        <v>0</v>
      </c>
      <c r="AI171" s="539">
        <f t="shared" si="208"/>
        <v>0</v>
      </c>
      <c r="AJ171" s="539">
        <f t="shared" si="208"/>
        <v>0</v>
      </c>
      <c r="AK171" s="539">
        <f t="shared" si="208"/>
        <v>0</v>
      </c>
      <c r="AL171" s="539">
        <f t="shared" si="208"/>
        <v>1129000</v>
      </c>
      <c r="AM171" s="539">
        <f t="shared" si="208"/>
        <v>0</v>
      </c>
      <c r="AN171" s="539">
        <f t="shared" si="208"/>
        <v>1507000</v>
      </c>
      <c r="AO171" s="539">
        <f t="shared" si="208"/>
        <v>0</v>
      </c>
      <c r="AP171" s="539">
        <f t="shared" si="208"/>
        <v>0</v>
      </c>
      <c r="AQ171" s="539">
        <f t="shared" si="208"/>
        <v>0</v>
      </c>
      <c r="AR171" s="539">
        <f t="shared" ref="AR171:AS171" si="209">SUM(AR163:AR170)</f>
        <v>753000</v>
      </c>
      <c r="AS171" s="539">
        <f t="shared" si="209"/>
        <v>0</v>
      </c>
      <c r="AT171" s="539">
        <f t="shared" si="206"/>
        <v>3389000</v>
      </c>
      <c r="AU171" s="539">
        <f t="shared" si="206"/>
        <v>3939000</v>
      </c>
      <c r="AV171" s="539">
        <f t="shared" si="206"/>
        <v>38438000</v>
      </c>
      <c r="AW171" s="539">
        <f t="shared" si="206"/>
        <v>0</v>
      </c>
      <c r="AX171" s="539">
        <f t="shared" si="206"/>
        <v>38438000</v>
      </c>
    </row>
    <row r="172" spans="1:50" ht="30" customHeight="1">
      <c r="A172" s="529">
        <v>169</v>
      </c>
      <c r="B172" s="795" t="s">
        <v>1098</v>
      </c>
      <c r="C172" s="521" t="s">
        <v>1096</v>
      </c>
      <c r="D172" s="545">
        <v>374</v>
      </c>
      <c r="E172" s="538">
        <f>PROFORMA!F267</f>
        <v>574000</v>
      </c>
      <c r="F172" s="538">
        <f>PROFORMA!G267</f>
        <v>0</v>
      </c>
      <c r="G172" s="538">
        <f>PROFORMA!H267</f>
        <v>0</v>
      </c>
      <c r="H172" s="538">
        <f>PROFORMA!I267</f>
        <v>0</v>
      </c>
      <c r="I172" s="538">
        <f>PROFORMA!J267</f>
        <v>0</v>
      </c>
      <c r="J172" s="538">
        <f>PROFORMA!K267</f>
        <v>0</v>
      </c>
      <c r="K172" s="538">
        <f>PROFORMA!L267</f>
        <v>0</v>
      </c>
      <c r="L172" s="538">
        <f>PROFORMA!M267</f>
        <v>0</v>
      </c>
      <c r="M172" s="538">
        <f>PROFORMA!N267</f>
        <v>0</v>
      </c>
      <c r="N172" s="538">
        <f>PROFORMA!O267</f>
        <v>0</v>
      </c>
      <c r="O172" s="538">
        <f>PROFORMA!P267</f>
        <v>0</v>
      </c>
      <c r="P172" s="538">
        <f>PROFORMA!Q267</f>
        <v>0</v>
      </c>
      <c r="Q172" s="538">
        <f>PROFORMA!R267</f>
        <v>0</v>
      </c>
      <c r="R172" s="538">
        <f>PROFORMA!S267</f>
        <v>0</v>
      </c>
      <c r="S172" s="538">
        <f>PROFORMA!T267</f>
        <v>0</v>
      </c>
      <c r="T172" s="538">
        <f>PROFORMA!U267</f>
        <v>0</v>
      </c>
      <c r="U172" s="538">
        <f>PROFORMA!V267</f>
        <v>0</v>
      </c>
      <c r="V172" s="538">
        <f>PROFORMA!W267</f>
        <v>0</v>
      </c>
      <c r="W172" s="538">
        <f>PROFORMA!X267</f>
        <v>19000</v>
      </c>
      <c r="X172" s="579">
        <f t="shared" si="151"/>
        <v>19000</v>
      </c>
      <c r="Y172" s="538">
        <f>PROFORMA!Y267</f>
        <v>0</v>
      </c>
      <c r="Z172" s="538">
        <f>PROFORMA!Z267</f>
        <v>0</v>
      </c>
      <c r="AA172" s="538">
        <f>PROFORMA!AA267</f>
        <v>0</v>
      </c>
      <c r="AB172" s="538">
        <f>PROFORMA!AB267</f>
        <v>0</v>
      </c>
      <c r="AC172" s="538">
        <f>PROFORMA!AC267</f>
        <v>0</v>
      </c>
      <c r="AD172" s="538">
        <f>PROFORMA!AD267</f>
        <v>0</v>
      </c>
      <c r="AE172" s="538">
        <f>PROFORMA!AE267</f>
        <v>0</v>
      </c>
      <c r="AF172" s="538">
        <f>PROFORMA!AG267</f>
        <v>0</v>
      </c>
      <c r="AG172" s="538">
        <f>PROFORMA!AH267</f>
        <v>0</v>
      </c>
      <c r="AH172" s="538">
        <f>PROFORMA!AI267</f>
        <v>0</v>
      </c>
      <c r="AI172" s="538">
        <f>PROFORMA!AJ267</f>
        <v>0</v>
      </c>
      <c r="AJ172" s="538">
        <f>PROFORMA!AK267</f>
        <v>0</v>
      </c>
      <c r="AK172" s="538">
        <f>PROFORMA!AL267</f>
        <v>0</v>
      </c>
      <c r="AL172" s="538">
        <f>PROFORMA!AM267</f>
        <v>19000</v>
      </c>
      <c r="AM172" s="538">
        <f>PROFORMA!AN267</f>
        <v>0</v>
      </c>
      <c r="AN172" s="538">
        <f>PROFORMA!AO267</f>
        <v>32000</v>
      </c>
      <c r="AO172" s="538">
        <f>PROFORMA!AP267</f>
        <v>0</v>
      </c>
      <c r="AP172" s="538">
        <f>PROFORMA!AQ267</f>
        <v>0</v>
      </c>
      <c r="AQ172" s="538">
        <f>PROFORMA!AR267</f>
        <v>0</v>
      </c>
      <c r="AR172" s="538">
        <f>PROFORMA!AS267</f>
        <v>13000</v>
      </c>
      <c r="AS172" s="538">
        <f>PROFORMA!AT267</f>
        <v>0</v>
      </c>
      <c r="AT172" s="582">
        <f t="shared" ref="AT172:AT183" si="210">SUM(Y172:AS172)</f>
        <v>64000</v>
      </c>
      <c r="AU172" s="532">
        <f t="shared" ref="AU172:AU183" si="211">X172+AT172</f>
        <v>83000</v>
      </c>
      <c r="AV172" s="532">
        <f t="shared" ref="AV172:AV183" si="212">E172+AU172</f>
        <v>657000</v>
      </c>
      <c r="AW172" s="532"/>
      <c r="AX172" s="532">
        <f t="shared" si="152"/>
        <v>657000</v>
      </c>
    </row>
    <row r="173" spans="1:50">
      <c r="A173" s="529">
        <v>170</v>
      </c>
      <c r="B173" s="795"/>
      <c r="C173" s="521" t="s">
        <v>1093</v>
      </c>
      <c r="D173" s="545">
        <v>375</v>
      </c>
      <c r="E173" s="538">
        <f>PROFORMA!F268</f>
        <v>931000</v>
      </c>
      <c r="F173" s="538">
        <f>PROFORMA!G268</f>
        <v>0</v>
      </c>
      <c r="G173" s="538">
        <f>PROFORMA!H268</f>
        <v>0</v>
      </c>
      <c r="H173" s="538">
        <f>PROFORMA!I268</f>
        <v>0</v>
      </c>
      <c r="I173" s="538">
        <f>PROFORMA!J268</f>
        <v>0</v>
      </c>
      <c r="J173" s="538">
        <f>PROFORMA!K268</f>
        <v>0</v>
      </c>
      <c r="K173" s="538">
        <f>PROFORMA!L268</f>
        <v>0</v>
      </c>
      <c r="L173" s="538">
        <f>PROFORMA!M268</f>
        <v>0</v>
      </c>
      <c r="M173" s="538">
        <f>PROFORMA!N268</f>
        <v>0</v>
      </c>
      <c r="N173" s="538">
        <f>PROFORMA!O268</f>
        <v>0</v>
      </c>
      <c r="O173" s="538">
        <f>PROFORMA!P268</f>
        <v>0</v>
      </c>
      <c r="P173" s="538">
        <f>PROFORMA!Q268</f>
        <v>0</v>
      </c>
      <c r="Q173" s="538">
        <f>PROFORMA!R268</f>
        <v>0</v>
      </c>
      <c r="R173" s="538">
        <f>PROFORMA!S268</f>
        <v>0</v>
      </c>
      <c r="S173" s="538">
        <f>PROFORMA!T268</f>
        <v>0</v>
      </c>
      <c r="T173" s="538">
        <f>PROFORMA!U268</f>
        <v>0</v>
      </c>
      <c r="U173" s="538">
        <f>PROFORMA!V268</f>
        <v>0</v>
      </c>
      <c r="V173" s="538">
        <f>PROFORMA!W268</f>
        <v>0</v>
      </c>
      <c r="W173" s="538">
        <f>PROFORMA!X268</f>
        <v>30000</v>
      </c>
      <c r="X173" s="579">
        <f t="shared" si="151"/>
        <v>30000</v>
      </c>
      <c r="Y173" s="538">
        <f>PROFORMA!Y268</f>
        <v>0</v>
      </c>
      <c r="Z173" s="538">
        <f>PROFORMA!Z268</f>
        <v>0</v>
      </c>
      <c r="AA173" s="538">
        <f>PROFORMA!AA268</f>
        <v>0</v>
      </c>
      <c r="AB173" s="538">
        <f>PROFORMA!AB268</f>
        <v>0</v>
      </c>
      <c r="AC173" s="538">
        <f>PROFORMA!AC268</f>
        <v>0</v>
      </c>
      <c r="AD173" s="538">
        <f>PROFORMA!AD268</f>
        <v>0</v>
      </c>
      <c r="AE173" s="538">
        <f>PROFORMA!AE268</f>
        <v>0</v>
      </c>
      <c r="AF173" s="538">
        <f>PROFORMA!AG268</f>
        <v>0</v>
      </c>
      <c r="AG173" s="538">
        <f>PROFORMA!AH268</f>
        <v>0</v>
      </c>
      <c r="AH173" s="538">
        <f>PROFORMA!AI268</f>
        <v>0</v>
      </c>
      <c r="AI173" s="538">
        <f>PROFORMA!AJ268</f>
        <v>0</v>
      </c>
      <c r="AJ173" s="538">
        <f>PROFORMA!AK268</f>
        <v>0</v>
      </c>
      <c r="AK173" s="538">
        <f>PROFORMA!AL268</f>
        <v>0</v>
      </c>
      <c r="AL173" s="538">
        <f>PROFORMA!AM268</f>
        <v>31000</v>
      </c>
      <c r="AM173" s="538">
        <f>PROFORMA!AN268</f>
        <v>0</v>
      </c>
      <c r="AN173" s="538">
        <f>PROFORMA!AO268</f>
        <v>52000</v>
      </c>
      <c r="AO173" s="538">
        <f>PROFORMA!AP268</f>
        <v>0</v>
      </c>
      <c r="AP173" s="538">
        <f>PROFORMA!AQ268</f>
        <v>0</v>
      </c>
      <c r="AQ173" s="538">
        <f>PROFORMA!AR268</f>
        <v>0</v>
      </c>
      <c r="AR173" s="538">
        <f>PROFORMA!AS268</f>
        <v>21000</v>
      </c>
      <c r="AS173" s="538">
        <f>PROFORMA!AT268</f>
        <v>0</v>
      </c>
      <c r="AT173" s="582">
        <f t="shared" si="210"/>
        <v>104000</v>
      </c>
      <c r="AU173" s="532">
        <f t="shared" si="211"/>
        <v>134000</v>
      </c>
      <c r="AV173" s="532">
        <f t="shared" si="212"/>
        <v>1065000</v>
      </c>
      <c r="AW173" s="532"/>
      <c r="AX173" s="532">
        <f t="shared" si="152"/>
        <v>1065000</v>
      </c>
    </row>
    <row r="174" spans="1:50">
      <c r="A174" s="529">
        <v>171</v>
      </c>
      <c r="B174" s="795"/>
      <c r="C174" s="521" t="s">
        <v>244</v>
      </c>
      <c r="D174" s="545">
        <v>376</v>
      </c>
      <c r="E174" s="538">
        <f>PROFORMA!F269</f>
        <v>320529000</v>
      </c>
      <c r="F174" s="538">
        <f>PROFORMA!G269</f>
        <v>0</v>
      </c>
      <c r="G174" s="538">
        <f>PROFORMA!H269</f>
        <v>0</v>
      </c>
      <c r="H174" s="538">
        <f>PROFORMA!I269</f>
        <v>0</v>
      </c>
      <c r="I174" s="538">
        <f>PROFORMA!J269</f>
        <v>0</v>
      </c>
      <c r="J174" s="538">
        <f>PROFORMA!K269</f>
        <v>0</v>
      </c>
      <c r="K174" s="538">
        <f>PROFORMA!L269</f>
        <v>0</v>
      </c>
      <c r="L174" s="538">
        <f>PROFORMA!M269</f>
        <v>0</v>
      </c>
      <c r="M174" s="538">
        <f>PROFORMA!N269</f>
        <v>0</v>
      </c>
      <c r="N174" s="538">
        <f>PROFORMA!O269</f>
        <v>0</v>
      </c>
      <c r="O174" s="538">
        <f>PROFORMA!P269</f>
        <v>0</v>
      </c>
      <c r="P174" s="538">
        <f>PROFORMA!Q269</f>
        <v>0</v>
      </c>
      <c r="Q174" s="538">
        <f>PROFORMA!R269</f>
        <v>0</v>
      </c>
      <c r="R174" s="538">
        <f>PROFORMA!S269</f>
        <v>0</v>
      </c>
      <c r="S174" s="538">
        <f>PROFORMA!T269</f>
        <v>0</v>
      </c>
      <c r="T174" s="538">
        <f>PROFORMA!U269</f>
        <v>0</v>
      </c>
      <c r="U174" s="538">
        <f>PROFORMA!V269</f>
        <v>0</v>
      </c>
      <c r="V174" s="538">
        <f>PROFORMA!W269</f>
        <v>0</v>
      </c>
      <c r="W174" s="538">
        <f>PROFORMA!X269</f>
        <v>10476000</v>
      </c>
      <c r="X174" s="579">
        <f t="shared" si="151"/>
        <v>10476000</v>
      </c>
      <c r="Y174" s="538">
        <f>PROFORMA!Y269</f>
        <v>0</v>
      </c>
      <c r="Z174" s="538">
        <f>PROFORMA!Z269</f>
        <v>0</v>
      </c>
      <c r="AA174" s="538">
        <f>PROFORMA!AA269</f>
        <v>0</v>
      </c>
      <c r="AB174" s="538">
        <f>PROFORMA!AB269</f>
        <v>0</v>
      </c>
      <c r="AC174" s="538">
        <f>PROFORMA!AC269</f>
        <v>0</v>
      </c>
      <c r="AD174" s="538">
        <f>PROFORMA!AD269</f>
        <v>0</v>
      </c>
      <c r="AE174" s="538">
        <f>PROFORMA!AE269</f>
        <v>0</v>
      </c>
      <c r="AF174" s="538">
        <f>PROFORMA!AG269</f>
        <v>0</v>
      </c>
      <c r="AG174" s="538">
        <f>PROFORMA!AH269</f>
        <v>0</v>
      </c>
      <c r="AH174" s="538">
        <f>PROFORMA!AI269</f>
        <v>0</v>
      </c>
      <c r="AI174" s="538">
        <f>PROFORMA!AJ269</f>
        <v>0</v>
      </c>
      <c r="AJ174" s="538">
        <f>PROFORMA!AK269</f>
        <v>0</v>
      </c>
      <c r="AK174" s="538">
        <f>PROFORMA!AL269</f>
        <v>0</v>
      </c>
      <c r="AL174" s="538">
        <f>PROFORMA!AM269</f>
        <v>10682000</v>
      </c>
      <c r="AM174" s="538">
        <f>PROFORMA!AN269</f>
        <v>0</v>
      </c>
      <c r="AN174" s="538">
        <f>PROFORMA!AO269</f>
        <v>17791000</v>
      </c>
      <c r="AO174" s="538">
        <f>PROFORMA!AP269</f>
        <v>0</v>
      </c>
      <c r="AP174" s="538">
        <f>PROFORMA!AQ269</f>
        <v>0</v>
      </c>
      <c r="AQ174" s="538">
        <f>PROFORMA!AR269</f>
        <v>0</v>
      </c>
      <c r="AR174" s="538">
        <f>PROFORMA!AS269</f>
        <v>7267000</v>
      </c>
      <c r="AS174" s="538">
        <f>PROFORMA!AT269</f>
        <v>0</v>
      </c>
      <c r="AT174" s="582">
        <f t="shared" si="210"/>
        <v>35740000</v>
      </c>
      <c r="AU174" s="532">
        <f t="shared" si="211"/>
        <v>46216000</v>
      </c>
      <c r="AV174" s="532">
        <f t="shared" si="212"/>
        <v>366745000</v>
      </c>
      <c r="AW174" s="532"/>
      <c r="AX174" s="532">
        <f t="shared" si="152"/>
        <v>366745000</v>
      </c>
    </row>
    <row r="175" spans="1:50" ht="31.5">
      <c r="A175" s="529">
        <v>172</v>
      </c>
      <c r="B175" s="795"/>
      <c r="C175" s="521" t="s">
        <v>1099</v>
      </c>
      <c r="D175" s="545">
        <v>378</v>
      </c>
      <c r="E175" s="538">
        <f>PROFORMA!F271</f>
        <v>4781000</v>
      </c>
      <c r="F175" s="538">
        <f>PROFORMA!G271</f>
        <v>0</v>
      </c>
      <c r="G175" s="538">
        <f>PROFORMA!H271</f>
        <v>0</v>
      </c>
      <c r="H175" s="538">
        <f>PROFORMA!I271</f>
        <v>0</v>
      </c>
      <c r="I175" s="538">
        <f>PROFORMA!J271</f>
        <v>0</v>
      </c>
      <c r="J175" s="538">
        <f>PROFORMA!K271</f>
        <v>0</v>
      </c>
      <c r="K175" s="538">
        <f>PROFORMA!L271</f>
        <v>0</v>
      </c>
      <c r="L175" s="538">
        <f>PROFORMA!M271</f>
        <v>0</v>
      </c>
      <c r="M175" s="538">
        <f>PROFORMA!N271</f>
        <v>0</v>
      </c>
      <c r="N175" s="538">
        <f>PROFORMA!O271</f>
        <v>0</v>
      </c>
      <c r="O175" s="538">
        <f>PROFORMA!P271</f>
        <v>0</v>
      </c>
      <c r="P175" s="538">
        <f>PROFORMA!Q271</f>
        <v>0</v>
      </c>
      <c r="Q175" s="538">
        <f>PROFORMA!R271</f>
        <v>0</v>
      </c>
      <c r="R175" s="538">
        <f>PROFORMA!S271</f>
        <v>0</v>
      </c>
      <c r="S175" s="538">
        <f>PROFORMA!T271</f>
        <v>0</v>
      </c>
      <c r="T175" s="538">
        <f>PROFORMA!U271</f>
        <v>0</v>
      </c>
      <c r="U175" s="538">
        <f>PROFORMA!V271</f>
        <v>0</v>
      </c>
      <c r="V175" s="538">
        <f>PROFORMA!W271</f>
        <v>0</v>
      </c>
      <c r="W175" s="538">
        <f>PROFORMA!X271</f>
        <v>156000</v>
      </c>
      <c r="X175" s="579">
        <f t="shared" si="151"/>
        <v>156000</v>
      </c>
      <c r="Y175" s="538">
        <f>PROFORMA!Y271</f>
        <v>0</v>
      </c>
      <c r="Z175" s="538">
        <f>PROFORMA!Z271</f>
        <v>0</v>
      </c>
      <c r="AA175" s="538">
        <f>PROFORMA!AA271</f>
        <v>0</v>
      </c>
      <c r="AB175" s="538">
        <f>PROFORMA!AB271</f>
        <v>0</v>
      </c>
      <c r="AC175" s="538">
        <f>PROFORMA!AC271</f>
        <v>0</v>
      </c>
      <c r="AD175" s="538">
        <f>PROFORMA!AD271</f>
        <v>0</v>
      </c>
      <c r="AE175" s="538">
        <f>PROFORMA!AE271</f>
        <v>0</v>
      </c>
      <c r="AF175" s="538">
        <f>PROFORMA!AG271</f>
        <v>0</v>
      </c>
      <c r="AG175" s="538">
        <f>PROFORMA!AH271</f>
        <v>0</v>
      </c>
      <c r="AH175" s="538">
        <f>PROFORMA!AI271</f>
        <v>0</v>
      </c>
      <c r="AI175" s="538">
        <f>PROFORMA!AJ271</f>
        <v>0</v>
      </c>
      <c r="AJ175" s="538">
        <f>PROFORMA!AK271</f>
        <v>0</v>
      </c>
      <c r="AK175" s="538">
        <f>PROFORMA!AL271</f>
        <v>0</v>
      </c>
      <c r="AL175" s="538">
        <f>PROFORMA!AM271</f>
        <v>159000</v>
      </c>
      <c r="AM175" s="538">
        <f>PROFORMA!AN271</f>
        <v>0</v>
      </c>
      <c r="AN175" s="538">
        <f>PROFORMA!AO271</f>
        <v>265000</v>
      </c>
      <c r="AO175" s="538">
        <f>PROFORMA!AP271</f>
        <v>0</v>
      </c>
      <c r="AP175" s="538">
        <f>PROFORMA!AQ271</f>
        <v>0</v>
      </c>
      <c r="AQ175" s="538">
        <f>PROFORMA!AR271</f>
        <v>0</v>
      </c>
      <c r="AR175" s="538">
        <f>PROFORMA!AS271</f>
        <v>108000</v>
      </c>
      <c r="AS175" s="538">
        <f>PROFORMA!AT271</f>
        <v>0</v>
      </c>
      <c r="AT175" s="582">
        <f t="shared" si="210"/>
        <v>532000</v>
      </c>
      <c r="AU175" s="532">
        <f t="shared" si="211"/>
        <v>688000</v>
      </c>
      <c r="AV175" s="532">
        <f t="shared" si="212"/>
        <v>5469000</v>
      </c>
      <c r="AW175" s="532"/>
      <c r="AX175" s="532">
        <f t="shared" si="152"/>
        <v>5469000</v>
      </c>
    </row>
    <row r="176" spans="1:50" ht="31.5">
      <c r="A176" s="529">
        <v>173</v>
      </c>
      <c r="B176" s="795"/>
      <c r="C176" s="521" t="s">
        <v>1100</v>
      </c>
      <c r="D176" s="545">
        <v>379</v>
      </c>
      <c r="E176" s="538">
        <f>PROFORMA!F272</f>
        <v>1945000</v>
      </c>
      <c r="F176" s="538">
        <f>PROFORMA!G272</f>
        <v>0</v>
      </c>
      <c r="G176" s="538">
        <f>PROFORMA!H272</f>
        <v>0</v>
      </c>
      <c r="H176" s="538">
        <f>PROFORMA!I272</f>
        <v>0</v>
      </c>
      <c r="I176" s="538">
        <f>PROFORMA!J272</f>
        <v>0</v>
      </c>
      <c r="J176" s="538">
        <f>PROFORMA!K272</f>
        <v>0</v>
      </c>
      <c r="K176" s="538">
        <f>PROFORMA!L272</f>
        <v>0</v>
      </c>
      <c r="L176" s="538">
        <f>PROFORMA!M272</f>
        <v>0</v>
      </c>
      <c r="M176" s="538">
        <f>PROFORMA!N272</f>
        <v>0</v>
      </c>
      <c r="N176" s="538">
        <f>PROFORMA!O272</f>
        <v>0</v>
      </c>
      <c r="O176" s="538">
        <f>PROFORMA!P272</f>
        <v>0</v>
      </c>
      <c r="P176" s="538">
        <f>PROFORMA!Q272</f>
        <v>0</v>
      </c>
      <c r="Q176" s="538">
        <f>PROFORMA!R272</f>
        <v>0</v>
      </c>
      <c r="R176" s="538">
        <f>PROFORMA!S272</f>
        <v>0</v>
      </c>
      <c r="S176" s="538">
        <f>PROFORMA!T272</f>
        <v>0</v>
      </c>
      <c r="T176" s="538">
        <f>PROFORMA!U272</f>
        <v>0</v>
      </c>
      <c r="U176" s="538">
        <f>PROFORMA!V272</f>
        <v>0</v>
      </c>
      <c r="V176" s="538">
        <f>PROFORMA!W272</f>
        <v>0</v>
      </c>
      <c r="W176" s="538">
        <f>PROFORMA!X272</f>
        <v>64000</v>
      </c>
      <c r="X176" s="579">
        <f t="shared" si="151"/>
        <v>64000</v>
      </c>
      <c r="Y176" s="538">
        <f>PROFORMA!Y272</f>
        <v>0</v>
      </c>
      <c r="Z176" s="538">
        <f>PROFORMA!Z272</f>
        <v>0</v>
      </c>
      <c r="AA176" s="538">
        <f>PROFORMA!AA272</f>
        <v>0</v>
      </c>
      <c r="AB176" s="538">
        <f>PROFORMA!AB272</f>
        <v>0</v>
      </c>
      <c r="AC176" s="538">
        <f>PROFORMA!AC272</f>
        <v>0</v>
      </c>
      <c r="AD176" s="538">
        <f>PROFORMA!AD272</f>
        <v>0</v>
      </c>
      <c r="AE176" s="538">
        <f>PROFORMA!AE272</f>
        <v>0</v>
      </c>
      <c r="AF176" s="538">
        <f>PROFORMA!AG272</f>
        <v>0</v>
      </c>
      <c r="AG176" s="538">
        <f>PROFORMA!AH272</f>
        <v>0</v>
      </c>
      <c r="AH176" s="538">
        <f>PROFORMA!AI272</f>
        <v>0</v>
      </c>
      <c r="AI176" s="538">
        <f>PROFORMA!AJ272</f>
        <v>0</v>
      </c>
      <c r="AJ176" s="538">
        <f>PROFORMA!AK272</f>
        <v>0</v>
      </c>
      <c r="AK176" s="538">
        <f>PROFORMA!AL272</f>
        <v>0</v>
      </c>
      <c r="AL176" s="538">
        <f>PROFORMA!AM272</f>
        <v>65000</v>
      </c>
      <c r="AM176" s="538">
        <f>PROFORMA!AN272</f>
        <v>0</v>
      </c>
      <c r="AN176" s="538">
        <f>PROFORMA!AO272</f>
        <v>108000</v>
      </c>
      <c r="AO176" s="538">
        <f>PROFORMA!AP272</f>
        <v>0</v>
      </c>
      <c r="AP176" s="538">
        <f>PROFORMA!AQ272</f>
        <v>0</v>
      </c>
      <c r="AQ176" s="538">
        <f>PROFORMA!AR272</f>
        <v>0</v>
      </c>
      <c r="AR176" s="538">
        <f>PROFORMA!AS272</f>
        <v>44000</v>
      </c>
      <c r="AS176" s="538">
        <f>PROFORMA!AT272</f>
        <v>0</v>
      </c>
      <c r="AT176" s="582">
        <f t="shared" si="210"/>
        <v>217000</v>
      </c>
      <c r="AU176" s="532">
        <f t="shared" si="211"/>
        <v>281000</v>
      </c>
      <c r="AV176" s="532">
        <f t="shared" si="212"/>
        <v>2226000</v>
      </c>
      <c r="AW176" s="532"/>
      <c r="AX176" s="532">
        <f t="shared" si="152"/>
        <v>2226000</v>
      </c>
    </row>
    <row r="177" spans="1:50">
      <c r="A177" s="529">
        <v>174</v>
      </c>
      <c r="B177" s="795"/>
      <c r="C177" s="521" t="s">
        <v>91</v>
      </c>
      <c r="D177" s="545">
        <v>380</v>
      </c>
      <c r="E177" s="538">
        <f>PROFORMA!F273</f>
        <v>232926000</v>
      </c>
      <c r="F177" s="538">
        <f>PROFORMA!G273</f>
        <v>0</v>
      </c>
      <c r="G177" s="538">
        <f>PROFORMA!H273</f>
        <v>0</v>
      </c>
      <c r="H177" s="538">
        <f>PROFORMA!I273</f>
        <v>0</v>
      </c>
      <c r="I177" s="538">
        <f>PROFORMA!J273</f>
        <v>0</v>
      </c>
      <c r="J177" s="538">
        <f>PROFORMA!K273</f>
        <v>0</v>
      </c>
      <c r="K177" s="538">
        <f>PROFORMA!L273</f>
        <v>0</v>
      </c>
      <c r="L177" s="538">
        <f>PROFORMA!M273</f>
        <v>0</v>
      </c>
      <c r="M177" s="538">
        <f>PROFORMA!N273</f>
        <v>0</v>
      </c>
      <c r="N177" s="538">
        <f>PROFORMA!O273</f>
        <v>0</v>
      </c>
      <c r="O177" s="538">
        <f>PROFORMA!P273</f>
        <v>0</v>
      </c>
      <c r="P177" s="538">
        <f>PROFORMA!Q273</f>
        <v>0</v>
      </c>
      <c r="Q177" s="538">
        <f>PROFORMA!R273</f>
        <v>0</v>
      </c>
      <c r="R177" s="538">
        <f>PROFORMA!S273</f>
        <v>0</v>
      </c>
      <c r="S177" s="538">
        <f>PROFORMA!T273</f>
        <v>0</v>
      </c>
      <c r="T177" s="538">
        <f>PROFORMA!U273</f>
        <v>0</v>
      </c>
      <c r="U177" s="538">
        <f>PROFORMA!V273</f>
        <v>0</v>
      </c>
      <c r="V177" s="538">
        <f>PROFORMA!W273</f>
        <v>0</v>
      </c>
      <c r="W177" s="538">
        <f>PROFORMA!X273</f>
        <v>7612000</v>
      </c>
      <c r="X177" s="579">
        <f t="shared" si="151"/>
        <v>7612000</v>
      </c>
      <c r="Y177" s="538">
        <f>PROFORMA!Y273</f>
        <v>0</v>
      </c>
      <c r="Z177" s="538">
        <f>PROFORMA!Z273</f>
        <v>0</v>
      </c>
      <c r="AA177" s="538">
        <f>PROFORMA!AA273</f>
        <v>0</v>
      </c>
      <c r="AB177" s="538">
        <f>PROFORMA!AB273</f>
        <v>0</v>
      </c>
      <c r="AC177" s="538">
        <f>PROFORMA!AC273</f>
        <v>0</v>
      </c>
      <c r="AD177" s="538">
        <f>PROFORMA!AD273</f>
        <v>0</v>
      </c>
      <c r="AE177" s="538">
        <f>PROFORMA!AE273</f>
        <v>0</v>
      </c>
      <c r="AF177" s="538">
        <f>PROFORMA!AG273</f>
        <v>0</v>
      </c>
      <c r="AG177" s="538">
        <f>PROFORMA!AH273</f>
        <v>0</v>
      </c>
      <c r="AH177" s="538">
        <f>PROFORMA!AI273</f>
        <v>0</v>
      </c>
      <c r="AI177" s="538">
        <f>PROFORMA!AJ273</f>
        <v>0</v>
      </c>
      <c r="AJ177" s="538">
        <f>PROFORMA!AK273</f>
        <v>0</v>
      </c>
      <c r="AK177" s="538">
        <f>PROFORMA!AL273</f>
        <v>0</v>
      </c>
      <c r="AL177" s="538">
        <f>PROFORMA!AM273</f>
        <v>7763000</v>
      </c>
      <c r="AM177" s="538">
        <f>PROFORMA!AN273</f>
        <v>0</v>
      </c>
      <c r="AN177" s="538">
        <f>PROFORMA!AO273</f>
        <v>12928000</v>
      </c>
      <c r="AO177" s="538">
        <f>PROFORMA!AP273</f>
        <v>0</v>
      </c>
      <c r="AP177" s="538">
        <f>PROFORMA!AQ273</f>
        <v>0</v>
      </c>
      <c r="AQ177" s="538">
        <f>PROFORMA!AR273</f>
        <v>0</v>
      </c>
      <c r="AR177" s="538">
        <f>PROFORMA!AS273</f>
        <v>5280000</v>
      </c>
      <c r="AS177" s="538">
        <f>PROFORMA!AT273</f>
        <v>0</v>
      </c>
      <c r="AT177" s="582">
        <f t="shared" si="210"/>
        <v>25971000</v>
      </c>
      <c r="AU177" s="532">
        <f t="shared" si="211"/>
        <v>33583000</v>
      </c>
      <c r="AV177" s="532">
        <f t="shared" si="212"/>
        <v>266509000</v>
      </c>
      <c r="AW177" s="532"/>
      <c r="AX177" s="532">
        <f t="shared" si="152"/>
        <v>266509000</v>
      </c>
    </row>
    <row r="178" spans="1:50">
      <c r="A178" s="529">
        <v>175</v>
      </c>
      <c r="B178" s="795"/>
      <c r="C178" s="521" t="s">
        <v>8</v>
      </c>
      <c r="D178" s="545">
        <v>381</v>
      </c>
      <c r="E178" s="538">
        <f>PROFORMA!F274</f>
        <v>85804000</v>
      </c>
      <c r="F178" s="538">
        <f>PROFORMA!G274</f>
        <v>0</v>
      </c>
      <c r="G178" s="538">
        <f>PROFORMA!H274</f>
        <v>0</v>
      </c>
      <c r="H178" s="538">
        <f>PROFORMA!I274</f>
        <v>0</v>
      </c>
      <c r="I178" s="538">
        <f>PROFORMA!J274</f>
        <v>0</v>
      </c>
      <c r="J178" s="538">
        <f>PROFORMA!K274</f>
        <v>0</v>
      </c>
      <c r="K178" s="538">
        <f>PROFORMA!L274</f>
        <v>0</v>
      </c>
      <c r="L178" s="538">
        <f>PROFORMA!M274</f>
        <v>0</v>
      </c>
      <c r="M178" s="538">
        <f>PROFORMA!N274</f>
        <v>0</v>
      </c>
      <c r="N178" s="538">
        <f>PROFORMA!O274</f>
        <v>0</v>
      </c>
      <c r="O178" s="538">
        <f>PROFORMA!P274</f>
        <v>0</v>
      </c>
      <c r="P178" s="538">
        <f>PROFORMA!Q274</f>
        <v>0</v>
      </c>
      <c r="Q178" s="538">
        <f>PROFORMA!R274</f>
        <v>0</v>
      </c>
      <c r="R178" s="538">
        <f>PROFORMA!S274</f>
        <v>0</v>
      </c>
      <c r="S178" s="538">
        <f>PROFORMA!T274</f>
        <v>0</v>
      </c>
      <c r="T178" s="538">
        <f>PROFORMA!U274</f>
        <v>0</v>
      </c>
      <c r="U178" s="538">
        <f>PROFORMA!V274</f>
        <v>0</v>
      </c>
      <c r="V178" s="538">
        <f>PROFORMA!W274</f>
        <v>0</v>
      </c>
      <c r="W178" s="538">
        <f>PROFORMA!X274</f>
        <v>2804000</v>
      </c>
      <c r="X178" s="579">
        <f t="shared" si="151"/>
        <v>2804000</v>
      </c>
      <c r="Y178" s="538">
        <f>PROFORMA!Y274</f>
        <v>0</v>
      </c>
      <c r="Z178" s="538">
        <f>PROFORMA!Z274</f>
        <v>0</v>
      </c>
      <c r="AA178" s="538">
        <f>PROFORMA!AA274</f>
        <v>0</v>
      </c>
      <c r="AB178" s="538">
        <f>PROFORMA!AB274</f>
        <v>0</v>
      </c>
      <c r="AC178" s="538">
        <f>PROFORMA!AC274</f>
        <v>0</v>
      </c>
      <c r="AD178" s="538">
        <f>PROFORMA!AD274</f>
        <v>0</v>
      </c>
      <c r="AE178" s="538">
        <f>PROFORMA!AE274</f>
        <v>0</v>
      </c>
      <c r="AF178" s="538">
        <f>PROFORMA!AG274</f>
        <v>0</v>
      </c>
      <c r="AG178" s="538">
        <f>PROFORMA!AH274</f>
        <v>0</v>
      </c>
      <c r="AH178" s="538">
        <f>PROFORMA!AI274</f>
        <v>0</v>
      </c>
      <c r="AI178" s="538">
        <f>PROFORMA!AJ274</f>
        <v>0</v>
      </c>
      <c r="AJ178" s="538">
        <f>PROFORMA!AK274</f>
        <v>0</v>
      </c>
      <c r="AK178" s="538">
        <f>PROFORMA!AL274</f>
        <v>0</v>
      </c>
      <c r="AL178" s="538">
        <f>PROFORMA!AM274</f>
        <v>2860000</v>
      </c>
      <c r="AM178" s="538">
        <f>PROFORMA!AN274</f>
        <v>0</v>
      </c>
      <c r="AN178" s="538">
        <f>PROFORMA!AO274</f>
        <v>4762000</v>
      </c>
      <c r="AO178" s="538">
        <f>PROFORMA!AP274</f>
        <v>0</v>
      </c>
      <c r="AP178" s="538">
        <f>PROFORMA!AQ274</f>
        <v>0</v>
      </c>
      <c r="AQ178" s="538">
        <f>PROFORMA!AR274</f>
        <v>0</v>
      </c>
      <c r="AR178" s="538">
        <f>PROFORMA!AS274</f>
        <v>1945000</v>
      </c>
      <c r="AS178" s="538">
        <f>PROFORMA!AT274</f>
        <v>0</v>
      </c>
      <c r="AT178" s="582">
        <f t="shared" si="210"/>
        <v>9567000</v>
      </c>
      <c r="AU178" s="532">
        <f t="shared" si="211"/>
        <v>12371000</v>
      </c>
      <c r="AV178" s="532">
        <f t="shared" si="212"/>
        <v>98175000</v>
      </c>
      <c r="AW178" s="532"/>
      <c r="AX178" s="532">
        <f t="shared" si="152"/>
        <v>98175000</v>
      </c>
    </row>
    <row r="179" spans="1:50">
      <c r="A179" s="529">
        <v>176</v>
      </c>
      <c r="B179" s="795"/>
      <c r="C179" s="521" t="s">
        <v>1101</v>
      </c>
      <c r="D179" s="545">
        <v>382</v>
      </c>
      <c r="E179" s="538">
        <f>PROFORMA!F275</f>
        <v>0</v>
      </c>
      <c r="F179" s="538">
        <f>PROFORMA!G275</f>
        <v>0</v>
      </c>
      <c r="G179" s="538">
        <f>PROFORMA!H275</f>
        <v>0</v>
      </c>
      <c r="H179" s="538">
        <f>PROFORMA!I275</f>
        <v>0</v>
      </c>
      <c r="I179" s="538">
        <f>PROFORMA!J275</f>
        <v>0</v>
      </c>
      <c r="J179" s="538">
        <f>PROFORMA!K275</f>
        <v>0</v>
      </c>
      <c r="K179" s="538">
        <f>PROFORMA!L275</f>
        <v>0</v>
      </c>
      <c r="L179" s="538">
        <f>PROFORMA!M275</f>
        <v>0</v>
      </c>
      <c r="M179" s="538">
        <f>PROFORMA!N275</f>
        <v>0</v>
      </c>
      <c r="N179" s="538">
        <f>PROFORMA!O275</f>
        <v>0</v>
      </c>
      <c r="O179" s="538">
        <f>PROFORMA!P275</f>
        <v>0</v>
      </c>
      <c r="P179" s="538">
        <f>PROFORMA!Q275</f>
        <v>0</v>
      </c>
      <c r="Q179" s="538">
        <f>PROFORMA!R275</f>
        <v>0</v>
      </c>
      <c r="R179" s="538">
        <f>PROFORMA!S275</f>
        <v>0</v>
      </c>
      <c r="S179" s="538">
        <f>PROFORMA!T275</f>
        <v>0</v>
      </c>
      <c r="T179" s="538">
        <f>PROFORMA!U275</f>
        <v>0</v>
      </c>
      <c r="U179" s="538">
        <f>PROFORMA!V275</f>
        <v>0</v>
      </c>
      <c r="V179" s="538">
        <f>PROFORMA!W275</f>
        <v>0</v>
      </c>
      <c r="W179" s="538">
        <f>PROFORMA!X275</f>
        <v>0</v>
      </c>
      <c r="X179" s="579">
        <f t="shared" si="151"/>
        <v>0</v>
      </c>
      <c r="Y179" s="538">
        <f>PROFORMA!Y275</f>
        <v>0</v>
      </c>
      <c r="Z179" s="538">
        <f>PROFORMA!Z275</f>
        <v>0</v>
      </c>
      <c r="AA179" s="538">
        <f>PROFORMA!AA275</f>
        <v>0</v>
      </c>
      <c r="AB179" s="538">
        <f>PROFORMA!AB275</f>
        <v>0</v>
      </c>
      <c r="AC179" s="538">
        <f>PROFORMA!AC275</f>
        <v>0</v>
      </c>
      <c r="AD179" s="538">
        <f>PROFORMA!AD275</f>
        <v>0</v>
      </c>
      <c r="AE179" s="538">
        <f>PROFORMA!AE275</f>
        <v>0</v>
      </c>
      <c r="AF179" s="538">
        <f>PROFORMA!AG275</f>
        <v>0</v>
      </c>
      <c r="AG179" s="538">
        <f>PROFORMA!AH275</f>
        <v>0</v>
      </c>
      <c r="AH179" s="538">
        <f>PROFORMA!AI275</f>
        <v>0</v>
      </c>
      <c r="AI179" s="538">
        <f>PROFORMA!AJ275</f>
        <v>0</v>
      </c>
      <c r="AJ179" s="538">
        <f>PROFORMA!AK275</f>
        <v>0</v>
      </c>
      <c r="AK179" s="538">
        <f>PROFORMA!AL275</f>
        <v>0</v>
      </c>
      <c r="AL179" s="538">
        <f>PROFORMA!AM275</f>
        <v>0</v>
      </c>
      <c r="AM179" s="538">
        <f>PROFORMA!AN275</f>
        <v>0</v>
      </c>
      <c r="AN179" s="538">
        <f>PROFORMA!AO275</f>
        <v>0</v>
      </c>
      <c r="AO179" s="538">
        <f>PROFORMA!AP275</f>
        <v>0</v>
      </c>
      <c r="AP179" s="538">
        <f>PROFORMA!AQ275</f>
        <v>0</v>
      </c>
      <c r="AQ179" s="538">
        <f>PROFORMA!AR275</f>
        <v>0</v>
      </c>
      <c r="AR179" s="538">
        <f>PROFORMA!AS275</f>
        <v>0</v>
      </c>
      <c r="AS179" s="538">
        <f>PROFORMA!AT275</f>
        <v>0</v>
      </c>
      <c r="AT179" s="582">
        <f t="shared" si="210"/>
        <v>0</v>
      </c>
      <c r="AU179" s="532">
        <f t="shared" si="211"/>
        <v>0</v>
      </c>
      <c r="AV179" s="532">
        <f t="shared" si="212"/>
        <v>0</v>
      </c>
      <c r="AW179" s="532"/>
      <c r="AX179" s="532">
        <f t="shared" si="152"/>
        <v>0</v>
      </c>
    </row>
    <row r="180" spans="1:50">
      <c r="A180" s="529">
        <v>177</v>
      </c>
      <c r="B180" s="795"/>
      <c r="C180" s="521" t="s">
        <v>1102</v>
      </c>
      <c r="D180" s="545">
        <v>383</v>
      </c>
      <c r="E180" s="538">
        <f>PROFORMA!F276</f>
        <v>0</v>
      </c>
      <c r="F180" s="538">
        <f>PROFORMA!G276</f>
        <v>0</v>
      </c>
      <c r="G180" s="538">
        <f>PROFORMA!H276</f>
        <v>0</v>
      </c>
      <c r="H180" s="538">
        <f>PROFORMA!I276</f>
        <v>0</v>
      </c>
      <c r="I180" s="538">
        <f>PROFORMA!J276</f>
        <v>0</v>
      </c>
      <c r="J180" s="538">
        <f>PROFORMA!K276</f>
        <v>0</v>
      </c>
      <c r="K180" s="538">
        <f>PROFORMA!L276</f>
        <v>0</v>
      </c>
      <c r="L180" s="538">
        <f>PROFORMA!M276</f>
        <v>0</v>
      </c>
      <c r="M180" s="538">
        <f>PROFORMA!N276</f>
        <v>0</v>
      </c>
      <c r="N180" s="538">
        <f>PROFORMA!O276</f>
        <v>0</v>
      </c>
      <c r="O180" s="538">
        <f>PROFORMA!P276</f>
        <v>0</v>
      </c>
      <c r="P180" s="538">
        <f>PROFORMA!Q276</f>
        <v>0</v>
      </c>
      <c r="Q180" s="538">
        <f>PROFORMA!R276</f>
        <v>0</v>
      </c>
      <c r="R180" s="538">
        <f>PROFORMA!S276</f>
        <v>0</v>
      </c>
      <c r="S180" s="538">
        <f>PROFORMA!T276</f>
        <v>0</v>
      </c>
      <c r="T180" s="538">
        <f>PROFORMA!U276</f>
        <v>0</v>
      </c>
      <c r="U180" s="538">
        <f>PROFORMA!V276</f>
        <v>0</v>
      </c>
      <c r="V180" s="538">
        <f>PROFORMA!W276</f>
        <v>0</v>
      </c>
      <c r="W180" s="538">
        <f>PROFORMA!X276</f>
        <v>0</v>
      </c>
      <c r="X180" s="579">
        <f t="shared" si="151"/>
        <v>0</v>
      </c>
      <c r="Y180" s="538">
        <f>PROFORMA!Y276</f>
        <v>0</v>
      </c>
      <c r="Z180" s="538">
        <f>PROFORMA!Z276</f>
        <v>0</v>
      </c>
      <c r="AA180" s="538">
        <f>PROFORMA!AA276</f>
        <v>0</v>
      </c>
      <c r="AB180" s="538">
        <f>PROFORMA!AB276</f>
        <v>0</v>
      </c>
      <c r="AC180" s="538">
        <f>PROFORMA!AC276</f>
        <v>0</v>
      </c>
      <c r="AD180" s="538">
        <f>PROFORMA!AD276</f>
        <v>0</v>
      </c>
      <c r="AE180" s="538">
        <f>PROFORMA!AE276</f>
        <v>0</v>
      </c>
      <c r="AF180" s="538">
        <f>PROFORMA!AG276</f>
        <v>0</v>
      </c>
      <c r="AG180" s="538">
        <f>PROFORMA!AH276</f>
        <v>0</v>
      </c>
      <c r="AH180" s="538">
        <f>PROFORMA!AI276</f>
        <v>0</v>
      </c>
      <c r="AI180" s="538">
        <f>PROFORMA!AJ276</f>
        <v>0</v>
      </c>
      <c r="AJ180" s="538">
        <f>PROFORMA!AK276</f>
        <v>0</v>
      </c>
      <c r="AK180" s="538">
        <f>PROFORMA!AL276</f>
        <v>0</v>
      </c>
      <c r="AL180" s="538">
        <f>PROFORMA!AM276</f>
        <v>0</v>
      </c>
      <c r="AM180" s="538">
        <f>PROFORMA!AN276</f>
        <v>0</v>
      </c>
      <c r="AN180" s="538">
        <f>PROFORMA!AO276</f>
        <v>0</v>
      </c>
      <c r="AO180" s="538">
        <f>PROFORMA!AP276</f>
        <v>0</v>
      </c>
      <c r="AP180" s="538">
        <f>PROFORMA!AQ276</f>
        <v>0</v>
      </c>
      <c r="AQ180" s="538">
        <f>PROFORMA!AR276</f>
        <v>0</v>
      </c>
      <c r="AR180" s="538">
        <f>PROFORMA!AS276</f>
        <v>0</v>
      </c>
      <c r="AS180" s="538">
        <f>PROFORMA!AT276</f>
        <v>0</v>
      </c>
      <c r="AT180" s="582">
        <f t="shared" si="210"/>
        <v>0</v>
      </c>
      <c r="AU180" s="532">
        <f t="shared" si="211"/>
        <v>0</v>
      </c>
      <c r="AV180" s="532">
        <f t="shared" si="212"/>
        <v>0</v>
      </c>
      <c r="AW180" s="532"/>
      <c r="AX180" s="532">
        <f t="shared" si="152"/>
        <v>0</v>
      </c>
    </row>
    <row r="181" spans="1:50">
      <c r="A181" s="529">
        <v>178</v>
      </c>
      <c r="B181" s="795"/>
      <c r="C181" s="521" t="s">
        <v>1103</v>
      </c>
      <c r="D181" s="545">
        <v>384</v>
      </c>
      <c r="E181" s="538">
        <f>PROFORMA!F277</f>
        <v>0</v>
      </c>
      <c r="F181" s="538">
        <f>PROFORMA!G277</f>
        <v>0</v>
      </c>
      <c r="G181" s="538">
        <f>PROFORMA!H277</f>
        <v>0</v>
      </c>
      <c r="H181" s="538">
        <f>PROFORMA!I277</f>
        <v>0</v>
      </c>
      <c r="I181" s="538">
        <f>PROFORMA!J277</f>
        <v>0</v>
      </c>
      <c r="J181" s="538">
        <f>PROFORMA!K277</f>
        <v>0</v>
      </c>
      <c r="K181" s="538">
        <f>PROFORMA!L277</f>
        <v>0</v>
      </c>
      <c r="L181" s="538">
        <f>PROFORMA!M277</f>
        <v>0</v>
      </c>
      <c r="M181" s="538">
        <f>PROFORMA!N277</f>
        <v>0</v>
      </c>
      <c r="N181" s="538">
        <f>PROFORMA!O277</f>
        <v>0</v>
      </c>
      <c r="O181" s="538">
        <f>PROFORMA!P277</f>
        <v>0</v>
      </c>
      <c r="P181" s="538">
        <f>PROFORMA!Q277</f>
        <v>0</v>
      </c>
      <c r="Q181" s="538">
        <f>PROFORMA!R277</f>
        <v>0</v>
      </c>
      <c r="R181" s="538">
        <f>PROFORMA!S277</f>
        <v>0</v>
      </c>
      <c r="S181" s="538">
        <f>PROFORMA!T277</f>
        <v>0</v>
      </c>
      <c r="T181" s="538">
        <f>PROFORMA!U277</f>
        <v>0</v>
      </c>
      <c r="U181" s="538">
        <f>PROFORMA!V277</f>
        <v>0</v>
      </c>
      <c r="V181" s="538">
        <f>PROFORMA!W277</f>
        <v>0</v>
      </c>
      <c r="W181" s="538">
        <f>PROFORMA!X277</f>
        <v>0</v>
      </c>
      <c r="X181" s="579">
        <f t="shared" si="151"/>
        <v>0</v>
      </c>
      <c r="Y181" s="538">
        <f>PROFORMA!Y277</f>
        <v>0</v>
      </c>
      <c r="Z181" s="538">
        <f>PROFORMA!Z277</f>
        <v>0</v>
      </c>
      <c r="AA181" s="538">
        <f>PROFORMA!AA277</f>
        <v>0</v>
      </c>
      <c r="AB181" s="538">
        <f>PROFORMA!AB277</f>
        <v>0</v>
      </c>
      <c r="AC181" s="538">
        <f>PROFORMA!AC277</f>
        <v>0</v>
      </c>
      <c r="AD181" s="538">
        <f>PROFORMA!AD277</f>
        <v>0</v>
      </c>
      <c r="AE181" s="538">
        <f>PROFORMA!AE277</f>
        <v>0</v>
      </c>
      <c r="AF181" s="538">
        <f>PROFORMA!AG277</f>
        <v>0</v>
      </c>
      <c r="AG181" s="538">
        <f>PROFORMA!AH277</f>
        <v>0</v>
      </c>
      <c r="AH181" s="538">
        <f>PROFORMA!AI277</f>
        <v>0</v>
      </c>
      <c r="AI181" s="538">
        <f>PROFORMA!AJ277</f>
        <v>0</v>
      </c>
      <c r="AJ181" s="538">
        <f>PROFORMA!AK277</f>
        <v>0</v>
      </c>
      <c r="AK181" s="538">
        <f>PROFORMA!AL277</f>
        <v>0</v>
      </c>
      <c r="AL181" s="538">
        <f>PROFORMA!AM277</f>
        <v>0</v>
      </c>
      <c r="AM181" s="538">
        <f>PROFORMA!AN277</f>
        <v>0</v>
      </c>
      <c r="AN181" s="538">
        <f>PROFORMA!AO277</f>
        <v>0</v>
      </c>
      <c r="AO181" s="538">
        <f>PROFORMA!AP277</f>
        <v>0</v>
      </c>
      <c r="AP181" s="538">
        <f>PROFORMA!AQ277</f>
        <v>0</v>
      </c>
      <c r="AQ181" s="538">
        <f>PROFORMA!AR277</f>
        <v>0</v>
      </c>
      <c r="AR181" s="538">
        <f>PROFORMA!AS277</f>
        <v>0</v>
      </c>
      <c r="AS181" s="538">
        <f>PROFORMA!AT277</f>
        <v>0</v>
      </c>
      <c r="AT181" s="582">
        <f t="shared" si="210"/>
        <v>0</v>
      </c>
      <c r="AU181" s="532">
        <f t="shared" si="211"/>
        <v>0</v>
      </c>
      <c r="AV181" s="532">
        <f t="shared" si="212"/>
        <v>0</v>
      </c>
      <c r="AW181" s="532"/>
      <c r="AX181" s="532">
        <f t="shared" si="152"/>
        <v>0</v>
      </c>
    </row>
    <row r="182" spans="1:50" ht="31.5">
      <c r="A182" s="529">
        <v>179</v>
      </c>
      <c r="B182" s="795"/>
      <c r="C182" s="521" t="s">
        <v>1104</v>
      </c>
      <c r="D182" s="545">
        <v>385</v>
      </c>
      <c r="E182" s="538">
        <f>PROFORMA!F278</f>
        <v>3032000</v>
      </c>
      <c r="F182" s="538">
        <f>PROFORMA!G278</f>
        <v>0</v>
      </c>
      <c r="G182" s="538">
        <f>PROFORMA!H278</f>
        <v>0</v>
      </c>
      <c r="H182" s="538">
        <f>PROFORMA!I278</f>
        <v>0</v>
      </c>
      <c r="I182" s="538">
        <f>PROFORMA!J278</f>
        <v>0</v>
      </c>
      <c r="J182" s="538">
        <f>PROFORMA!K278</f>
        <v>0</v>
      </c>
      <c r="K182" s="538">
        <f>PROFORMA!L278</f>
        <v>0</v>
      </c>
      <c r="L182" s="538">
        <f>PROFORMA!M278</f>
        <v>0</v>
      </c>
      <c r="M182" s="538">
        <f>PROFORMA!N278</f>
        <v>0</v>
      </c>
      <c r="N182" s="538">
        <f>PROFORMA!O278</f>
        <v>0</v>
      </c>
      <c r="O182" s="538">
        <f>PROFORMA!P278</f>
        <v>0</v>
      </c>
      <c r="P182" s="538">
        <f>PROFORMA!Q278</f>
        <v>0</v>
      </c>
      <c r="Q182" s="538">
        <f>PROFORMA!R278</f>
        <v>0</v>
      </c>
      <c r="R182" s="538">
        <f>PROFORMA!S278</f>
        <v>0</v>
      </c>
      <c r="S182" s="538">
        <f>PROFORMA!T278</f>
        <v>0</v>
      </c>
      <c r="T182" s="538">
        <f>PROFORMA!U278</f>
        <v>0</v>
      </c>
      <c r="U182" s="538">
        <f>PROFORMA!V278</f>
        <v>0</v>
      </c>
      <c r="V182" s="538">
        <f>PROFORMA!W278</f>
        <v>0</v>
      </c>
      <c r="W182" s="538">
        <f>PROFORMA!X278</f>
        <v>99000</v>
      </c>
      <c r="X182" s="579">
        <f t="shared" si="151"/>
        <v>99000</v>
      </c>
      <c r="Y182" s="538">
        <f>PROFORMA!Y278</f>
        <v>0</v>
      </c>
      <c r="Z182" s="538">
        <f>PROFORMA!Z278</f>
        <v>0</v>
      </c>
      <c r="AA182" s="538">
        <f>PROFORMA!AA278</f>
        <v>0</v>
      </c>
      <c r="AB182" s="538">
        <f>PROFORMA!AB278</f>
        <v>0</v>
      </c>
      <c r="AC182" s="538">
        <f>PROFORMA!AC278</f>
        <v>0</v>
      </c>
      <c r="AD182" s="538">
        <f>PROFORMA!AD278</f>
        <v>0</v>
      </c>
      <c r="AE182" s="538">
        <f>PROFORMA!AE278</f>
        <v>0</v>
      </c>
      <c r="AF182" s="538">
        <f>PROFORMA!AG278</f>
        <v>0</v>
      </c>
      <c r="AG182" s="538">
        <f>PROFORMA!AH278</f>
        <v>0</v>
      </c>
      <c r="AH182" s="538">
        <f>PROFORMA!AI278</f>
        <v>0</v>
      </c>
      <c r="AI182" s="538">
        <f>PROFORMA!AJ278</f>
        <v>0</v>
      </c>
      <c r="AJ182" s="538">
        <f>PROFORMA!AK278</f>
        <v>0</v>
      </c>
      <c r="AK182" s="538">
        <f>PROFORMA!AL278</f>
        <v>0</v>
      </c>
      <c r="AL182" s="538">
        <f>PROFORMA!AM278</f>
        <v>101000</v>
      </c>
      <c r="AM182" s="538">
        <f>PROFORMA!AN278</f>
        <v>0</v>
      </c>
      <c r="AN182" s="538">
        <f>PROFORMA!AO278</f>
        <v>168000</v>
      </c>
      <c r="AO182" s="538">
        <f>PROFORMA!AP278</f>
        <v>0</v>
      </c>
      <c r="AP182" s="538">
        <f>PROFORMA!AQ278</f>
        <v>0</v>
      </c>
      <c r="AQ182" s="538">
        <f>PROFORMA!AR278</f>
        <v>0</v>
      </c>
      <c r="AR182" s="538">
        <f>PROFORMA!AS278</f>
        <v>69000</v>
      </c>
      <c r="AS182" s="538">
        <f>PROFORMA!AT278</f>
        <v>0</v>
      </c>
      <c r="AT182" s="582">
        <f t="shared" si="210"/>
        <v>338000</v>
      </c>
      <c r="AU182" s="532">
        <f t="shared" si="211"/>
        <v>437000</v>
      </c>
      <c r="AV182" s="532">
        <f t="shared" si="212"/>
        <v>3469000</v>
      </c>
      <c r="AW182" s="532"/>
      <c r="AX182" s="532">
        <f t="shared" si="152"/>
        <v>3469000</v>
      </c>
    </row>
    <row r="183" spans="1:50">
      <c r="A183" s="529">
        <v>180</v>
      </c>
      <c r="B183" s="795"/>
      <c r="C183" s="521" t="s">
        <v>1094</v>
      </c>
      <c r="D183" s="545">
        <v>387</v>
      </c>
      <c r="E183" s="574">
        <f>PROFORMA!F279</f>
        <v>0</v>
      </c>
      <c r="F183" s="574">
        <f>PROFORMA!G279</f>
        <v>0</v>
      </c>
      <c r="G183" s="574">
        <f>PROFORMA!H279</f>
        <v>0</v>
      </c>
      <c r="H183" s="574">
        <f>PROFORMA!I279</f>
        <v>0</v>
      </c>
      <c r="I183" s="574">
        <f>PROFORMA!J279</f>
        <v>0</v>
      </c>
      <c r="J183" s="574">
        <f>PROFORMA!K279</f>
        <v>0</v>
      </c>
      <c r="K183" s="574">
        <f>PROFORMA!L279</f>
        <v>0</v>
      </c>
      <c r="L183" s="574">
        <f>PROFORMA!M279</f>
        <v>0</v>
      </c>
      <c r="M183" s="574">
        <f>PROFORMA!N279</f>
        <v>0</v>
      </c>
      <c r="N183" s="574">
        <f>PROFORMA!O279</f>
        <v>0</v>
      </c>
      <c r="O183" s="574">
        <f>PROFORMA!P279</f>
        <v>0</v>
      </c>
      <c r="P183" s="574">
        <f>PROFORMA!Q279</f>
        <v>0</v>
      </c>
      <c r="Q183" s="574">
        <f>PROFORMA!R279</f>
        <v>0</v>
      </c>
      <c r="R183" s="574">
        <f>PROFORMA!S279</f>
        <v>0</v>
      </c>
      <c r="S183" s="574">
        <f>PROFORMA!T279</f>
        <v>0</v>
      </c>
      <c r="T183" s="574">
        <f>PROFORMA!U279</f>
        <v>0</v>
      </c>
      <c r="U183" s="574">
        <f>PROFORMA!V279</f>
        <v>0</v>
      </c>
      <c r="V183" s="574">
        <f>PROFORMA!W279</f>
        <v>0</v>
      </c>
      <c r="W183" s="574">
        <f>PROFORMA!X279</f>
        <v>0</v>
      </c>
      <c r="X183" s="580">
        <f t="shared" si="151"/>
        <v>0</v>
      </c>
      <c r="Y183" s="574">
        <f>PROFORMA!Y279</f>
        <v>0</v>
      </c>
      <c r="Z183" s="574">
        <f>PROFORMA!Z279</f>
        <v>0</v>
      </c>
      <c r="AA183" s="574">
        <f>PROFORMA!AA279</f>
        <v>0</v>
      </c>
      <c r="AB183" s="574">
        <f>PROFORMA!AB279</f>
        <v>0</v>
      </c>
      <c r="AC183" s="574">
        <f>PROFORMA!AC279</f>
        <v>0</v>
      </c>
      <c r="AD183" s="574">
        <f>PROFORMA!AD279</f>
        <v>0</v>
      </c>
      <c r="AE183" s="574">
        <f>PROFORMA!AE279</f>
        <v>0</v>
      </c>
      <c r="AF183" s="574">
        <f>PROFORMA!AG279</f>
        <v>0</v>
      </c>
      <c r="AG183" s="574">
        <f>PROFORMA!AH279</f>
        <v>0</v>
      </c>
      <c r="AH183" s="574">
        <f>PROFORMA!AI279</f>
        <v>0</v>
      </c>
      <c r="AI183" s="574">
        <f>PROFORMA!AJ279</f>
        <v>0</v>
      </c>
      <c r="AJ183" s="574">
        <f>PROFORMA!AK279</f>
        <v>0</v>
      </c>
      <c r="AK183" s="574">
        <f>PROFORMA!AL279</f>
        <v>0</v>
      </c>
      <c r="AL183" s="574">
        <f>PROFORMA!AM279</f>
        <v>0</v>
      </c>
      <c r="AM183" s="574">
        <f>PROFORMA!AN279</f>
        <v>0</v>
      </c>
      <c r="AN183" s="574">
        <f>PROFORMA!AO279</f>
        <v>0</v>
      </c>
      <c r="AO183" s="574">
        <f>PROFORMA!AP279</f>
        <v>0</v>
      </c>
      <c r="AP183" s="574">
        <f>PROFORMA!AQ279</f>
        <v>0</v>
      </c>
      <c r="AQ183" s="574">
        <f>PROFORMA!AR279</f>
        <v>0</v>
      </c>
      <c r="AR183" s="574">
        <f>PROFORMA!AS279</f>
        <v>0</v>
      </c>
      <c r="AS183" s="574">
        <f>PROFORMA!AT279</f>
        <v>0</v>
      </c>
      <c r="AT183" s="583">
        <f t="shared" si="210"/>
        <v>0</v>
      </c>
      <c r="AU183" s="581">
        <f t="shared" si="211"/>
        <v>0</v>
      </c>
      <c r="AV183" s="581">
        <f t="shared" si="212"/>
        <v>0</v>
      </c>
      <c r="AW183" s="581"/>
      <c r="AX183" s="581">
        <f t="shared" si="152"/>
        <v>0</v>
      </c>
    </row>
    <row r="184" spans="1:50">
      <c r="A184" s="529">
        <v>181</v>
      </c>
      <c r="B184" s="523"/>
      <c r="C184" s="525" t="s">
        <v>1105</v>
      </c>
      <c r="D184" s="525"/>
      <c r="E184" s="539">
        <f>SUM(E172:E183)</f>
        <v>650522000</v>
      </c>
      <c r="F184" s="539">
        <f t="shared" ref="F184" si="213">SUM(F172:F183)</f>
        <v>0</v>
      </c>
      <c r="G184" s="539">
        <f t="shared" ref="G184:W184" si="214">SUM(G172:G183)</f>
        <v>0</v>
      </c>
      <c r="H184" s="539">
        <f t="shared" si="214"/>
        <v>0</v>
      </c>
      <c r="I184" s="539">
        <f t="shared" si="214"/>
        <v>0</v>
      </c>
      <c r="J184" s="539">
        <f t="shared" si="214"/>
        <v>0</v>
      </c>
      <c r="K184" s="539">
        <f t="shared" si="214"/>
        <v>0</v>
      </c>
      <c r="L184" s="539">
        <f t="shared" si="214"/>
        <v>0</v>
      </c>
      <c r="M184" s="539">
        <f t="shared" si="214"/>
        <v>0</v>
      </c>
      <c r="N184" s="539">
        <f t="shared" si="214"/>
        <v>0</v>
      </c>
      <c r="O184" s="539">
        <f t="shared" si="214"/>
        <v>0</v>
      </c>
      <c r="P184" s="539">
        <f t="shared" si="214"/>
        <v>0</v>
      </c>
      <c r="Q184" s="539">
        <f t="shared" si="214"/>
        <v>0</v>
      </c>
      <c r="R184" s="539">
        <f t="shared" si="214"/>
        <v>0</v>
      </c>
      <c r="S184" s="539">
        <f t="shared" si="214"/>
        <v>0</v>
      </c>
      <c r="T184" s="539">
        <f t="shared" si="214"/>
        <v>0</v>
      </c>
      <c r="U184" s="539">
        <f t="shared" si="214"/>
        <v>0</v>
      </c>
      <c r="V184" s="539">
        <f t="shared" si="214"/>
        <v>0</v>
      </c>
      <c r="W184" s="539">
        <f t="shared" si="214"/>
        <v>21260000</v>
      </c>
      <c r="X184" s="579">
        <f t="shared" si="151"/>
        <v>21260000</v>
      </c>
      <c r="Y184" s="539">
        <f t="shared" ref="Y184:AX184" si="215">SUM(Y172:Y183)</f>
        <v>0</v>
      </c>
      <c r="Z184" s="539">
        <f t="shared" ref="Z184:AF184" si="216">SUM(Z172:Z183)</f>
        <v>0</v>
      </c>
      <c r="AA184" s="539">
        <f t="shared" si="216"/>
        <v>0</v>
      </c>
      <c r="AB184" s="539">
        <f t="shared" si="216"/>
        <v>0</v>
      </c>
      <c r="AC184" s="539">
        <f t="shared" si="216"/>
        <v>0</v>
      </c>
      <c r="AD184" s="539">
        <f t="shared" si="216"/>
        <v>0</v>
      </c>
      <c r="AE184" s="539">
        <f t="shared" si="216"/>
        <v>0</v>
      </c>
      <c r="AF184" s="539">
        <f t="shared" si="216"/>
        <v>0</v>
      </c>
      <c r="AG184" s="539">
        <f t="shared" ref="AG184:AQ184" si="217">SUM(AG172:AG183)</f>
        <v>0</v>
      </c>
      <c r="AH184" s="539">
        <f t="shared" si="217"/>
        <v>0</v>
      </c>
      <c r="AI184" s="539">
        <f t="shared" si="217"/>
        <v>0</v>
      </c>
      <c r="AJ184" s="539">
        <f t="shared" si="217"/>
        <v>0</v>
      </c>
      <c r="AK184" s="539">
        <f t="shared" si="217"/>
        <v>0</v>
      </c>
      <c r="AL184" s="539">
        <f t="shared" si="217"/>
        <v>21680000</v>
      </c>
      <c r="AM184" s="539">
        <f t="shared" si="217"/>
        <v>0</v>
      </c>
      <c r="AN184" s="539">
        <f t="shared" si="217"/>
        <v>36106000</v>
      </c>
      <c r="AO184" s="539">
        <f t="shared" si="217"/>
        <v>0</v>
      </c>
      <c r="AP184" s="539">
        <f t="shared" si="217"/>
        <v>0</v>
      </c>
      <c r="AQ184" s="539">
        <f t="shared" si="217"/>
        <v>0</v>
      </c>
      <c r="AR184" s="539">
        <f t="shared" ref="AR184:AS184" si="218">SUM(AR172:AR183)</f>
        <v>14747000</v>
      </c>
      <c r="AS184" s="539">
        <f t="shared" si="218"/>
        <v>0</v>
      </c>
      <c r="AT184" s="539">
        <f t="shared" si="215"/>
        <v>72533000</v>
      </c>
      <c r="AU184" s="539">
        <f t="shared" si="215"/>
        <v>93793000</v>
      </c>
      <c r="AV184" s="539">
        <f t="shared" si="215"/>
        <v>744315000</v>
      </c>
      <c r="AW184" s="539">
        <f t="shared" si="215"/>
        <v>0</v>
      </c>
      <c r="AX184" s="539">
        <f t="shared" si="215"/>
        <v>744315000</v>
      </c>
    </row>
    <row r="185" spans="1:50" ht="30" customHeight="1">
      <c r="A185" s="529">
        <v>182</v>
      </c>
      <c r="B185" s="795" t="s">
        <v>1106</v>
      </c>
      <c r="C185" s="521" t="s">
        <v>1096</v>
      </c>
      <c r="D185" s="545">
        <v>389</v>
      </c>
      <c r="E185" s="538">
        <f>PROFORMA!F283</f>
        <v>5185000</v>
      </c>
      <c r="F185" s="538">
        <f>PROFORMA!G283</f>
        <v>0</v>
      </c>
      <c r="G185" s="538">
        <f>PROFORMA!H283</f>
        <v>0</v>
      </c>
      <c r="H185" s="538">
        <f>PROFORMA!I283</f>
        <v>0</v>
      </c>
      <c r="I185" s="538">
        <f>PROFORMA!J283</f>
        <v>0</v>
      </c>
      <c r="J185" s="538">
        <f>PROFORMA!K283</f>
        <v>0</v>
      </c>
      <c r="K185" s="538">
        <f>PROFORMA!L283</f>
        <v>0</v>
      </c>
      <c r="L185" s="538">
        <f>PROFORMA!M283</f>
        <v>0</v>
      </c>
      <c r="M185" s="538">
        <f>PROFORMA!N283</f>
        <v>0</v>
      </c>
      <c r="N185" s="538">
        <f>PROFORMA!O283</f>
        <v>0</v>
      </c>
      <c r="O185" s="538">
        <f>PROFORMA!P283</f>
        <v>0</v>
      </c>
      <c r="P185" s="538">
        <f>PROFORMA!Q283</f>
        <v>0</v>
      </c>
      <c r="Q185" s="538">
        <f>PROFORMA!R283</f>
        <v>0</v>
      </c>
      <c r="R185" s="538">
        <f>PROFORMA!S283</f>
        <v>0</v>
      </c>
      <c r="S185" s="538">
        <f>PROFORMA!T283</f>
        <v>0</v>
      </c>
      <c r="T185" s="538">
        <f>PROFORMA!U283</f>
        <v>0</v>
      </c>
      <c r="U185" s="538">
        <f>PROFORMA!V283</f>
        <v>0</v>
      </c>
      <c r="V185" s="538">
        <f>PROFORMA!W283</f>
        <v>0</v>
      </c>
      <c r="W185" s="538">
        <f>PROFORMA!X283</f>
        <v>129000</v>
      </c>
      <c r="X185" s="579">
        <f t="shared" si="151"/>
        <v>129000</v>
      </c>
      <c r="Y185" s="538">
        <f>PROFORMA!Y283</f>
        <v>0</v>
      </c>
      <c r="Z185" s="538">
        <f>PROFORMA!Z283</f>
        <v>0</v>
      </c>
      <c r="AA185" s="538">
        <f>PROFORMA!AA283</f>
        <v>0</v>
      </c>
      <c r="AB185" s="538">
        <f>PROFORMA!AB283</f>
        <v>0</v>
      </c>
      <c r="AC185" s="538">
        <f>PROFORMA!AC283</f>
        <v>0</v>
      </c>
      <c r="AD185" s="538">
        <f>PROFORMA!AD283</f>
        <v>0</v>
      </c>
      <c r="AE185" s="538">
        <f>PROFORMA!AE283</f>
        <v>0</v>
      </c>
      <c r="AF185" s="538">
        <f>PROFORMA!AG283</f>
        <v>0</v>
      </c>
      <c r="AG185" s="538">
        <f>PROFORMA!AH283</f>
        <v>0</v>
      </c>
      <c r="AH185" s="538">
        <f>PROFORMA!AI283</f>
        <v>0</v>
      </c>
      <c r="AI185" s="538">
        <f>PROFORMA!AJ283</f>
        <v>0</v>
      </c>
      <c r="AJ185" s="538">
        <f>PROFORMA!AK283</f>
        <v>0</v>
      </c>
      <c r="AK185" s="538">
        <f>PROFORMA!AL283</f>
        <v>0</v>
      </c>
      <c r="AL185" s="538">
        <f>PROFORMA!AM283</f>
        <v>86000</v>
      </c>
      <c r="AM185" s="538">
        <f>PROFORMA!AN283</f>
        <v>0</v>
      </c>
      <c r="AN185" s="538">
        <f>PROFORMA!AO283</f>
        <v>99000</v>
      </c>
      <c r="AO185" s="538">
        <f>PROFORMA!AP283</f>
        <v>0</v>
      </c>
      <c r="AP185" s="538">
        <f>PROFORMA!AQ283</f>
        <v>0</v>
      </c>
      <c r="AQ185" s="538">
        <f>PROFORMA!AR283</f>
        <v>0</v>
      </c>
      <c r="AR185" s="538">
        <f>PROFORMA!AS283</f>
        <v>53000</v>
      </c>
      <c r="AS185" s="538">
        <f>PROFORMA!AT283</f>
        <v>0</v>
      </c>
      <c r="AT185" s="582">
        <f t="shared" ref="AT185:AT194" si="219">SUM(Y185:AS185)</f>
        <v>238000</v>
      </c>
      <c r="AU185" s="532">
        <f t="shared" ref="AU185:AU194" si="220">X185+AT185</f>
        <v>367000</v>
      </c>
      <c r="AV185" s="532">
        <f t="shared" ref="AV185:AV194" si="221">E185+AU185</f>
        <v>5552000</v>
      </c>
      <c r="AW185" s="532"/>
      <c r="AX185" s="532">
        <f t="shared" si="152"/>
        <v>5552000</v>
      </c>
    </row>
    <row r="186" spans="1:50">
      <c r="A186" s="529">
        <v>183</v>
      </c>
      <c r="B186" s="795"/>
      <c r="C186" s="521" t="s">
        <v>1093</v>
      </c>
      <c r="D186" s="545">
        <v>390</v>
      </c>
      <c r="E186" s="538">
        <f>PROFORMA!F284</f>
        <v>48957000</v>
      </c>
      <c r="F186" s="538">
        <f>PROFORMA!G284</f>
        <v>0</v>
      </c>
      <c r="G186" s="538">
        <f>PROFORMA!H284</f>
        <v>0</v>
      </c>
      <c r="H186" s="538">
        <f>PROFORMA!I284</f>
        <v>0</v>
      </c>
      <c r="I186" s="538">
        <f>PROFORMA!J284</f>
        <v>0</v>
      </c>
      <c r="J186" s="538">
        <f>PROFORMA!K284</f>
        <v>0</v>
      </c>
      <c r="K186" s="538">
        <f>PROFORMA!L284</f>
        <v>0</v>
      </c>
      <c r="L186" s="538">
        <f>PROFORMA!M284</f>
        <v>0</v>
      </c>
      <c r="M186" s="538">
        <f>PROFORMA!N284</f>
        <v>0</v>
      </c>
      <c r="N186" s="538">
        <f>PROFORMA!O284</f>
        <v>0</v>
      </c>
      <c r="O186" s="538">
        <f>PROFORMA!P284</f>
        <v>0</v>
      </c>
      <c r="P186" s="538">
        <f>PROFORMA!Q284</f>
        <v>0</v>
      </c>
      <c r="Q186" s="538">
        <f>PROFORMA!R284</f>
        <v>0</v>
      </c>
      <c r="R186" s="538">
        <f>PROFORMA!S284</f>
        <v>0</v>
      </c>
      <c r="S186" s="538">
        <f>PROFORMA!T284</f>
        <v>0</v>
      </c>
      <c r="T186" s="538">
        <f>PROFORMA!U284</f>
        <v>0</v>
      </c>
      <c r="U186" s="538">
        <f>PROFORMA!V284</f>
        <v>0</v>
      </c>
      <c r="V186" s="538">
        <f>PROFORMA!W284</f>
        <v>0</v>
      </c>
      <c r="W186" s="538">
        <f>PROFORMA!X284</f>
        <v>1222000</v>
      </c>
      <c r="X186" s="579">
        <f t="shared" si="151"/>
        <v>1222000</v>
      </c>
      <c r="Y186" s="538">
        <f>PROFORMA!Y284</f>
        <v>0</v>
      </c>
      <c r="Z186" s="538">
        <f>PROFORMA!Z284</f>
        <v>0</v>
      </c>
      <c r="AA186" s="538">
        <f>PROFORMA!AA284</f>
        <v>0</v>
      </c>
      <c r="AB186" s="538">
        <f>PROFORMA!AB284</f>
        <v>0</v>
      </c>
      <c r="AC186" s="538">
        <f>PROFORMA!AC284</f>
        <v>0</v>
      </c>
      <c r="AD186" s="538">
        <f>PROFORMA!AD284</f>
        <v>0</v>
      </c>
      <c r="AE186" s="538">
        <f>PROFORMA!AE284</f>
        <v>0</v>
      </c>
      <c r="AF186" s="538">
        <f>PROFORMA!AG284</f>
        <v>0</v>
      </c>
      <c r="AG186" s="538">
        <f>PROFORMA!AH284</f>
        <v>0</v>
      </c>
      <c r="AH186" s="538">
        <f>PROFORMA!AI284</f>
        <v>0</v>
      </c>
      <c r="AI186" s="538">
        <f>PROFORMA!AJ284</f>
        <v>0</v>
      </c>
      <c r="AJ186" s="538">
        <f>PROFORMA!AK284</f>
        <v>0</v>
      </c>
      <c r="AK186" s="538">
        <f>PROFORMA!AL284</f>
        <v>0</v>
      </c>
      <c r="AL186" s="538">
        <f>PROFORMA!AM284</f>
        <v>811000</v>
      </c>
      <c r="AM186" s="538">
        <f>PROFORMA!AN284</f>
        <v>0</v>
      </c>
      <c r="AN186" s="538">
        <f>PROFORMA!AO284</f>
        <v>938000</v>
      </c>
      <c r="AO186" s="538">
        <f>PROFORMA!AP284</f>
        <v>0</v>
      </c>
      <c r="AP186" s="538">
        <f>PROFORMA!AQ284</f>
        <v>0</v>
      </c>
      <c r="AQ186" s="538">
        <f>PROFORMA!AR284</f>
        <v>0</v>
      </c>
      <c r="AR186" s="538">
        <f>PROFORMA!AS284</f>
        <v>499000</v>
      </c>
      <c r="AS186" s="538">
        <f>PROFORMA!AT284</f>
        <v>0</v>
      </c>
      <c r="AT186" s="582">
        <f t="shared" si="219"/>
        <v>2248000</v>
      </c>
      <c r="AU186" s="532">
        <f t="shared" si="220"/>
        <v>3470000</v>
      </c>
      <c r="AV186" s="532">
        <f t="shared" si="221"/>
        <v>52427000</v>
      </c>
      <c r="AW186" s="532"/>
      <c r="AX186" s="532">
        <f t="shared" si="152"/>
        <v>52427000</v>
      </c>
    </row>
    <row r="187" spans="1:50">
      <c r="A187" s="529">
        <v>184</v>
      </c>
      <c r="B187" s="795"/>
      <c r="C187" s="521" t="s">
        <v>1107</v>
      </c>
      <c r="D187" s="545">
        <v>391</v>
      </c>
      <c r="E187" s="538">
        <f>PROFORMA!F285</f>
        <v>12141000</v>
      </c>
      <c r="F187" s="538">
        <f>PROFORMA!G285</f>
        <v>0</v>
      </c>
      <c r="G187" s="538">
        <f>PROFORMA!H285</f>
        <v>0</v>
      </c>
      <c r="H187" s="538">
        <f>PROFORMA!I285</f>
        <v>0</v>
      </c>
      <c r="I187" s="538">
        <f>PROFORMA!J285</f>
        <v>0</v>
      </c>
      <c r="J187" s="538">
        <f>PROFORMA!K285</f>
        <v>0</v>
      </c>
      <c r="K187" s="538">
        <f>PROFORMA!L285</f>
        <v>0</v>
      </c>
      <c r="L187" s="538">
        <f>PROFORMA!M285</f>
        <v>0</v>
      </c>
      <c r="M187" s="538">
        <f>PROFORMA!N285</f>
        <v>0</v>
      </c>
      <c r="N187" s="538">
        <f>PROFORMA!O285</f>
        <v>0</v>
      </c>
      <c r="O187" s="538">
        <f>PROFORMA!P285</f>
        <v>0</v>
      </c>
      <c r="P187" s="538">
        <f>PROFORMA!Q285</f>
        <v>0</v>
      </c>
      <c r="Q187" s="538">
        <f>PROFORMA!R285</f>
        <v>0</v>
      </c>
      <c r="R187" s="538">
        <f>PROFORMA!S285</f>
        <v>0</v>
      </c>
      <c r="S187" s="538">
        <f>PROFORMA!T285</f>
        <v>0</v>
      </c>
      <c r="T187" s="538">
        <f>PROFORMA!U285</f>
        <v>0</v>
      </c>
      <c r="U187" s="538">
        <f>PROFORMA!V285</f>
        <v>0</v>
      </c>
      <c r="V187" s="538">
        <f>PROFORMA!W285</f>
        <v>0</v>
      </c>
      <c r="W187" s="538">
        <f>PROFORMA!X285</f>
        <v>303000</v>
      </c>
      <c r="X187" s="579">
        <f t="shared" si="151"/>
        <v>303000</v>
      </c>
      <c r="Y187" s="538">
        <f>PROFORMA!Y285</f>
        <v>0</v>
      </c>
      <c r="Z187" s="538">
        <f>PROFORMA!Z285</f>
        <v>0</v>
      </c>
      <c r="AA187" s="538">
        <f>PROFORMA!AA285</f>
        <v>0</v>
      </c>
      <c r="AB187" s="538">
        <f>PROFORMA!AB285</f>
        <v>0</v>
      </c>
      <c r="AC187" s="538">
        <f>PROFORMA!AC285</f>
        <v>0</v>
      </c>
      <c r="AD187" s="538">
        <f>PROFORMA!AD285</f>
        <v>0</v>
      </c>
      <c r="AE187" s="538">
        <f>PROFORMA!AE285</f>
        <v>0</v>
      </c>
      <c r="AF187" s="538">
        <f>PROFORMA!AG285</f>
        <v>0</v>
      </c>
      <c r="AG187" s="538">
        <f>PROFORMA!AH285</f>
        <v>0</v>
      </c>
      <c r="AH187" s="538">
        <f>PROFORMA!AI285</f>
        <v>0</v>
      </c>
      <c r="AI187" s="538">
        <f>PROFORMA!AJ285</f>
        <v>0</v>
      </c>
      <c r="AJ187" s="538">
        <f>PROFORMA!AK285</f>
        <v>0</v>
      </c>
      <c r="AK187" s="538">
        <f>PROFORMA!AL285</f>
        <v>0</v>
      </c>
      <c r="AL187" s="538">
        <f>PROFORMA!AM285</f>
        <v>201000</v>
      </c>
      <c r="AM187" s="538">
        <f>PROFORMA!AN285</f>
        <v>0</v>
      </c>
      <c r="AN187" s="538">
        <f>PROFORMA!AO285</f>
        <v>233000</v>
      </c>
      <c r="AO187" s="538">
        <f>PROFORMA!AP285</f>
        <v>0</v>
      </c>
      <c r="AP187" s="538">
        <f>PROFORMA!AQ285</f>
        <v>0</v>
      </c>
      <c r="AQ187" s="538">
        <f>PROFORMA!AR285</f>
        <v>0</v>
      </c>
      <c r="AR187" s="538">
        <f>PROFORMA!AS285</f>
        <v>123000</v>
      </c>
      <c r="AS187" s="538">
        <f>PROFORMA!AT285</f>
        <v>0</v>
      </c>
      <c r="AT187" s="582">
        <f t="shared" si="219"/>
        <v>557000</v>
      </c>
      <c r="AU187" s="532">
        <f t="shared" si="220"/>
        <v>860000</v>
      </c>
      <c r="AV187" s="532">
        <f t="shared" si="221"/>
        <v>13001000</v>
      </c>
      <c r="AW187" s="532"/>
      <c r="AX187" s="532">
        <f t="shared" si="152"/>
        <v>13001000</v>
      </c>
    </row>
    <row r="188" spans="1:50">
      <c r="A188" s="529">
        <v>185</v>
      </c>
      <c r="B188" s="795"/>
      <c r="C188" s="521" t="s">
        <v>1108</v>
      </c>
      <c r="D188" s="545">
        <v>392</v>
      </c>
      <c r="E188" s="538">
        <f>PROFORMA!F286</f>
        <v>14284000</v>
      </c>
      <c r="F188" s="538">
        <f>PROFORMA!G286</f>
        <v>0</v>
      </c>
      <c r="G188" s="538">
        <f>PROFORMA!H286</f>
        <v>0</v>
      </c>
      <c r="H188" s="538">
        <f>PROFORMA!I286</f>
        <v>0</v>
      </c>
      <c r="I188" s="538">
        <f>PROFORMA!J286</f>
        <v>0</v>
      </c>
      <c r="J188" s="538">
        <f>PROFORMA!K286</f>
        <v>0</v>
      </c>
      <c r="K188" s="538">
        <f>PROFORMA!L286</f>
        <v>0</v>
      </c>
      <c r="L188" s="538">
        <f>PROFORMA!M286</f>
        <v>0</v>
      </c>
      <c r="M188" s="538">
        <f>PROFORMA!N286</f>
        <v>0</v>
      </c>
      <c r="N188" s="538">
        <f>PROFORMA!O286</f>
        <v>0</v>
      </c>
      <c r="O188" s="538">
        <f>PROFORMA!P286</f>
        <v>0</v>
      </c>
      <c r="P188" s="538">
        <f>PROFORMA!Q286</f>
        <v>0</v>
      </c>
      <c r="Q188" s="538">
        <f>PROFORMA!R286</f>
        <v>0</v>
      </c>
      <c r="R188" s="538">
        <f>PROFORMA!S286</f>
        <v>0</v>
      </c>
      <c r="S188" s="538">
        <f>PROFORMA!T286</f>
        <v>0</v>
      </c>
      <c r="T188" s="538">
        <f>PROFORMA!U286</f>
        <v>0</v>
      </c>
      <c r="U188" s="538">
        <f>PROFORMA!V286</f>
        <v>0</v>
      </c>
      <c r="V188" s="538">
        <f>PROFORMA!W286</f>
        <v>0</v>
      </c>
      <c r="W188" s="538">
        <f>PROFORMA!X286</f>
        <v>356000</v>
      </c>
      <c r="X188" s="579">
        <f t="shared" si="151"/>
        <v>356000</v>
      </c>
      <c r="Y188" s="538">
        <f>PROFORMA!Y286</f>
        <v>0</v>
      </c>
      <c r="Z188" s="538">
        <f>PROFORMA!Z286</f>
        <v>0</v>
      </c>
      <c r="AA188" s="538">
        <f>PROFORMA!AA286</f>
        <v>0</v>
      </c>
      <c r="AB188" s="538">
        <f>PROFORMA!AB286</f>
        <v>0</v>
      </c>
      <c r="AC188" s="538">
        <f>PROFORMA!AC286</f>
        <v>0</v>
      </c>
      <c r="AD188" s="538">
        <f>PROFORMA!AD286</f>
        <v>0</v>
      </c>
      <c r="AE188" s="538">
        <f>PROFORMA!AE286</f>
        <v>0</v>
      </c>
      <c r="AF188" s="538">
        <f>PROFORMA!AG286</f>
        <v>0</v>
      </c>
      <c r="AG188" s="538">
        <f>PROFORMA!AH286</f>
        <v>0</v>
      </c>
      <c r="AH188" s="538">
        <f>PROFORMA!AI286</f>
        <v>0</v>
      </c>
      <c r="AI188" s="538">
        <f>PROFORMA!AJ286</f>
        <v>0</v>
      </c>
      <c r="AJ188" s="538">
        <f>PROFORMA!AK286</f>
        <v>0</v>
      </c>
      <c r="AK188" s="538">
        <f>PROFORMA!AL286</f>
        <v>0</v>
      </c>
      <c r="AL188" s="538">
        <f>PROFORMA!AM286</f>
        <v>237000</v>
      </c>
      <c r="AM188" s="538">
        <f>PROFORMA!AN286</f>
        <v>0</v>
      </c>
      <c r="AN188" s="538">
        <f>PROFORMA!AO286</f>
        <v>274000</v>
      </c>
      <c r="AO188" s="538">
        <f>PROFORMA!AP286</f>
        <v>0</v>
      </c>
      <c r="AP188" s="538">
        <f>PROFORMA!AQ286</f>
        <v>0</v>
      </c>
      <c r="AQ188" s="538">
        <f>PROFORMA!AR286</f>
        <v>0</v>
      </c>
      <c r="AR188" s="538">
        <f>PROFORMA!AS286</f>
        <v>145000</v>
      </c>
      <c r="AS188" s="538">
        <f>PROFORMA!AT286</f>
        <v>0</v>
      </c>
      <c r="AT188" s="582">
        <f t="shared" si="219"/>
        <v>656000</v>
      </c>
      <c r="AU188" s="532">
        <f t="shared" si="220"/>
        <v>1012000</v>
      </c>
      <c r="AV188" s="532">
        <f t="shared" si="221"/>
        <v>15296000</v>
      </c>
      <c r="AW188" s="532"/>
      <c r="AX188" s="532">
        <f t="shared" si="152"/>
        <v>15296000</v>
      </c>
    </row>
    <row r="189" spans="1:50">
      <c r="A189" s="529">
        <v>186</v>
      </c>
      <c r="B189" s="795"/>
      <c r="C189" s="521" t="s">
        <v>1109</v>
      </c>
      <c r="D189" s="545">
        <v>393</v>
      </c>
      <c r="E189" s="538">
        <f>PROFORMA!F287</f>
        <v>1127000</v>
      </c>
      <c r="F189" s="538">
        <f>PROFORMA!G287</f>
        <v>0</v>
      </c>
      <c r="G189" s="538">
        <f>PROFORMA!H287</f>
        <v>0</v>
      </c>
      <c r="H189" s="538">
        <f>PROFORMA!I287</f>
        <v>0</v>
      </c>
      <c r="I189" s="538">
        <f>PROFORMA!J287</f>
        <v>0</v>
      </c>
      <c r="J189" s="538">
        <f>PROFORMA!K287</f>
        <v>0</v>
      </c>
      <c r="K189" s="538">
        <f>PROFORMA!L287</f>
        <v>0</v>
      </c>
      <c r="L189" s="538">
        <f>PROFORMA!M287</f>
        <v>0</v>
      </c>
      <c r="M189" s="538">
        <f>PROFORMA!N287</f>
        <v>0</v>
      </c>
      <c r="N189" s="538">
        <f>PROFORMA!O287</f>
        <v>0</v>
      </c>
      <c r="O189" s="538">
        <f>PROFORMA!P287</f>
        <v>0</v>
      </c>
      <c r="P189" s="538">
        <f>PROFORMA!Q287</f>
        <v>0</v>
      </c>
      <c r="Q189" s="538">
        <f>PROFORMA!R287</f>
        <v>0</v>
      </c>
      <c r="R189" s="538">
        <f>PROFORMA!S287</f>
        <v>0</v>
      </c>
      <c r="S189" s="538">
        <f>PROFORMA!T287</f>
        <v>0</v>
      </c>
      <c r="T189" s="538">
        <f>PROFORMA!U287</f>
        <v>0</v>
      </c>
      <c r="U189" s="538">
        <f>PROFORMA!V287</f>
        <v>0</v>
      </c>
      <c r="V189" s="538">
        <f>PROFORMA!W287</f>
        <v>0</v>
      </c>
      <c r="W189" s="538">
        <f>PROFORMA!X287</f>
        <v>28000</v>
      </c>
      <c r="X189" s="579">
        <f t="shared" si="151"/>
        <v>28000</v>
      </c>
      <c r="Y189" s="538">
        <f>PROFORMA!Y287</f>
        <v>0</v>
      </c>
      <c r="Z189" s="538">
        <f>PROFORMA!Z287</f>
        <v>0</v>
      </c>
      <c r="AA189" s="538">
        <f>PROFORMA!AA287</f>
        <v>0</v>
      </c>
      <c r="AB189" s="538">
        <f>PROFORMA!AB287</f>
        <v>0</v>
      </c>
      <c r="AC189" s="538">
        <f>PROFORMA!AC287</f>
        <v>0</v>
      </c>
      <c r="AD189" s="538">
        <f>PROFORMA!AD287</f>
        <v>0</v>
      </c>
      <c r="AE189" s="538">
        <f>PROFORMA!AE287</f>
        <v>0</v>
      </c>
      <c r="AF189" s="538">
        <f>PROFORMA!AG287</f>
        <v>0</v>
      </c>
      <c r="AG189" s="538">
        <f>PROFORMA!AH287</f>
        <v>0</v>
      </c>
      <c r="AH189" s="538">
        <f>PROFORMA!AI287</f>
        <v>0</v>
      </c>
      <c r="AI189" s="538">
        <f>PROFORMA!AJ287</f>
        <v>0</v>
      </c>
      <c r="AJ189" s="538">
        <f>PROFORMA!AK287</f>
        <v>0</v>
      </c>
      <c r="AK189" s="538">
        <f>PROFORMA!AL287</f>
        <v>0</v>
      </c>
      <c r="AL189" s="538">
        <f>PROFORMA!AM287</f>
        <v>19000</v>
      </c>
      <c r="AM189" s="538">
        <f>PROFORMA!AN287</f>
        <v>0</v>
      </c>
      <c r="AN189" s="538">
        <f>PROFORMA!AO287</f>
        <v>22000</v>
      </c>
      <c r="AO189" s="538">
        <f>PROFORMA!AP287</f>
        <v>0</v>
      </c>
      <c r="AP189" s="538">
        <f>PROFORMA!AQ287</f>
        <v>0</v>
      </c>
      <c r="AQ189" s="538">
        <f>PROFORMA!AR287</f>
        <v>0</v>
      </c>
      <c r="AR189" s="538">
        <f>PROFORMA!AS287</f>
        <v>11000</v>
      </c>
      <c r="AS189" s="538">
        <f>PROFORMA!AT287</f>
        <v>0</v>
      </c>
      <c r="AT189" s="582">
        <f t="shared" si="219"/>
        <v>52000</v>
      </c>
      <c r="AU189" s="532">
        <f t="shared" si="220"/>
        <v>80000</v>
      </c>
      <c r="AV189" s="532">
        <f t="shared" si="221"/>
        <v>1207000</v>
      </c>
      <c r="AW189" s="532"/>
      <c r="AX189" s="532">
        <f t="shared" si="152"/>
        <v>1207000</v>
      </c>
    </row>
    <row r="190" spans="1:50" ht="15.6" customHeight="1">
      <c r="A190" s="529">
        <v>187</v>
      </c>
      <c r="B190" s="795"/>
      <c r="C190" s="521" t="s">
        <v>1110</v>
      </c>
      <c r="D190" s="545">
        <v>394</v>
      </c>
      <c r="E190" s="538">
        <f>PROFORMA!F288</f>
        <v>8317000</v>
      </c>
      <c r="F190" s="538">
        <f>PROFORMA!G288</f>
        <v>0</v>
      </c>
      <c r="G190" s="538">
        <f>PROFORMA!H288</f>
        <v>0</v>
      </c>
      <c r="H190" s="538">
        <f>PROFORMA!I288</f>
        <v>0</v>
      </c>
      <c r="I190" s="538">
        <f>PROFORMA!J288</f>
        <v>0</v>
      </c>
      <c r="J190" s="538">
        <f>PROFORMA!K288</f>
        <v>0</v>
      </c>
      <c r="K190" s="538">
        <f>PROFORMA!L288</f>
        <v>0</v>
      </c>
      <c r="L190" s="538">
        <f>PROFORMA!M288</f>
        <v>0</v>
      </c>
      <c r="M190" s="538">
        <f>PROFORMA!N288</f>
        <v>0</v>
      </c>
      <c r="N190" s="538">
        <f>PROFORMA!O288</f>
        <v>0</v>
      </c>
      <c r="O190" s="538">
        <f>PROFORMA!P288</f>
        <v>0</v>
      </c>
      <c r="P190" s="538">
        <f>PROFORMA!Q288</f>
        <v>0</v>
      </c>
      <c r="Q190" s="538">
        <f>PROFORMA!R288</f>
        <v>0</v>
      </c>
      <c r="R190" s="538">
        <f>PROFORMA!S288</f>
        <v>0</v>
      </c>
      <c r="S190" s="538">
        <f>PROFORMA!T288</f>
        <v>0</v>
      </c>
      <c r="T190" s="538">
        <f>PROFORMA!U288</f>
        <v>0</v>
      </c>
      <c r="U190" s="538">
        <f>PROFORMA!V288</f>
        <v>0</v>
      </c>
      <c r="V190" s="538">
        <f>PROFORMA!W288</f>
        <v>0</v>
      </c>
      <c r="W190" s="538">
        <f>PROFORMA!X288</f>
        <v>207000</v>
      </c>
      <c r="X190" s="579">
        <f t="shared" si="151"/>
        <v>207000</v>
      </c>
      <c r="Y190" s="538">
        <f>PROFORMA!Y288</f>
        <v>0</v>
      </c>
      <c r="Z190" s="538">
        <f>PROFORMA!Z288</f>
        <v>0</v>
      </c>
      <c r="AA190" s="538">
        <f>PROFORMA!AA288</f>
        <v>0</v>
      </c>
      <c r="AB190" s="538">
        <f>PROFORMA!AB288</f>
        <v>0</v>
      </c>
      <c r="AC190" s="538">
        <f>PROFORMA!AC288</f>
        <v>0</v>
      </c>
      <c r="AD190" s="538">
        <f>PROFORMA!AD288</f>
        <v>0</v>
      </c>
      <c r="AE190" s="538">
        <f>PROFORMA!AE288</f>
        <v>0</v>
      </c>
      <c r="AF190" s="538">
        <f>PROFORMA!AG288</f>
        <v>0</v>
      </c>
      <c r="AG190" s="538">
        <f>PROFORMA!AH288</f>
        <v>0</v>
      </c>
      <c r="AH190" s="538">
        <f>PROFORMA!AI288</f>
        <v>0</v>
      </c>
      <c r="AI190" s="538">
        <f>PROFORMA!AJ288</f>
        <v>0</v>
      </c>
      <c r="AJ190" s="538">
        <f>PROFORMA!AK288</f>
        <v>0</v>
      </c>
      <c r="AK190" s="538">
        <f>PROFORMA!AL288</f>
        <v>0</v>
      </c>
      <c r="AL190" s="538">
        <f>PROFORMA!AM288</f>
        <v>138000</v>
      </c>
      <c r="AM190" s="538">
        <f>PROFORMA!AN288</f>
        <v>0</v>
      </c>
      <c r="AN190" s="538">
        <f>PROFORMA!AO288</f>
        <v>159000</v>
      </c>
      <c r="AO190" s="538">
        <f>PROFORMA!AP288</f>
        <v>0</v>
      </c>
      <c r="AP190" s="538">
        <f>PROFORMA!AQ288</f>
        <v>0</v>
      </c>
      <c r="AQ190" s="538">
        <f>PROFORMA!AR288</f>
        <v>0</v>
      </c>
      <c r="AR190" s="538">
        <f>PROFORMA!AS288</f>
        <v>85000</v>
      </c>
      <c r="AS190" s="538">
        <f>PROFORMA!AT288</f>
        <v>0</v>
      </c>
      <c r="AT190" s="582">
        <f t="shared" si="219"/>
        <v>382000</v>
      </c>
      <c r="AU190" s="532">
        <f t="shared" si="220"/>
        <v>589000</v>
      </c>
      <c r="AV190" s="532">
        <f t="shared" si="221"/>
        <v>8906000</v>
      </c>
      <c r="AW190" s="532"/>
      <c r="AX190" s="532">
        <f t="shared" si="152"/>
        <v>8906000</v>
      </c>
    </row>
    <row r="191" spans="1:50">
      <c r="A191" s="529">
        <v>188</v>
      </c>
      <c r="B191" s="795"/>
      <c r="C191" s="521" t="s">
        <v>1111</v>
      </c>
      <c r="D191" s="545">
        <v>395</v>
      </c>
      <c r="E191" s="538">
        <f>PROFORMA!F289</f>
        <v>500000</v>
      </c>
      <c r="F191" s="538">
        <f>PROFORMA!G289</f>
        <v>0</v>
      </c>
      <c r="G191" s="538">
        <f>PROFORMA!H289</f>
        <v>0</v>
      </c>
      <c r="H191" s="538">
        <f>PROFORMA!I289</f>
        <v>0</v>
      </c>
      <c r="I191" s="538">
        <f>PROFORMA!J289</f>
        <v>0</v>
      </c>
      <c r="J191" s="538">
        <f>PROFORMA!K289</f>
        <v>0</v>
      </c>
      <c r="K191" s="538">
        <f>PROFORMA!L289</f>
        <v>0</v>
      </c>
      <c r="L191" s="538">
        <f>PROFORMA!M289</f>
        <v>0</v>
      </c>
      <c r="M191" s="538">
        <f>PROFORMA!N289</f>
        <v>0</v>
      </c>
      <c r="N191" s="538">
        <f>PROFORMA!O289</f>
        <v>0</v>
      </c>
      <c r="O191" s="538">
        <f>PROFORMA!P289</f>
        <v>0</v>
      </c>
      <c r="P191" s="538">
        <f>PROFORMA!Q289</f>
        <v>0</v>
      </c>
      <c r="Q191" s="538">
        <f>PROFORMA!R289</f>
        <v>0</v>
      </c>
      <c r="R191" s="538">
        <f>PROFORMA!S289</f>
        <v>0</v>
      </c>
      <c r="S191" s="538">
        <f>PROFORMA!T289</f>
        <v>0</v>
      </c>
      <c r="T191" s="538">
        <f>PROFORMA!U289</f>
        <v>0</v>
      </c>
      <c r="U191" s="538">
        <f>PROFORMA!V289</f>
        <v>0</v>
      </c>
      <c r="V191" s="538">
        <f>PROFORMA!W289</f>
        <v>0</v>
      </c>
      <c r="W191" s="538">
        <f>PROFORMA!X289</f>
        <v>12000</v>
      </c>
      <c r="X191" s="579">
        <f t="shared" si="151"/>
        <v>12000</v>
      </c>
      <c r="Y191" s="538">
        <f>PROFORMA!Y289</f>
        <v>0</v>
      </c>
      <c r="Z191" s="538">
        <f>PROFORMA!Z289</f>
        <v>0</v>
      </c>
      <c r="AA191" s="538">
        <f>PROFORMA!AA289</f>
        <v>0</v>
      </c>
      <c r="AB191" s="538">
        <f>PROFORMA!AB289</f>
        <v>0</v>
      </c>
      <c r="AC191" s="538">
        <f>PROFORMA!AC289</f>
        <v>0</v>
      </c>
      <c r="AD191" s="538">
        <f>PROFORMA!AD289</f>
        <v>0</v>
      </c>
      <c r="AE191" s="538">
        <f>PROFORMA!AE289</f>
        <v>0</v>
      </c>
      <c r="AF191" s="538">
        <f>PROFORMA!AG289</f>
        <v>0</v>
      </c>
      <c r="AG191" s="538">
        <f>PROFORMA!AH289</f>
        <v>0</v>
      </c>
      <c r="AH191" s="538">
        <f>PROFORMA!AI289</f>
        <v>0</v>
      </c>
      <c r="AI191" s="538">
        <f>PROFORMA!AJ289</f>
        <v>0</v>
      </c>
      <c r="AJ191" s="538">
        <f>PROFORMA!AK289</f>
        <v>0</v>
      </c>
      <c r="AK191" s="538">
        <f>PROFORMA!AL289</f>
        <v>0</v>
      </c>
      <c r="AL191" s="538">
        <f>PROFORMA!AM289</f>
        <v>8000</v>
      </c>
      <c r="AM191" s="538">
        <f>PROFORMA!AN289</f>
        <v>0</v>
      </c>
      <c r="AN191" s="538">
        <f>PROFORMA!AO289</f>
        <v>10000</v>
      </c>
      <c r="AO191" s="538">
        <f>PROFORMA!AP289</f>
        <v>0</v>
      </c>
      <c r="AP191" s="538">
        <f>PROFORMA!AQ289</f>
        <v>0</v>
      </c>
      <c r="AQ191" s="538">
        <f>PROFORMA!AR289</f>
        <v>0</v>
      </c>
      <c r="AR191" s="538">
        <f>PROFORMA!AS289</f>
        <v>5000</v>
      </c>
      <c r="AS191" s="538">
        <f>PROFORMA!AT289</f>
        <v>0</v>
      </c>
      <c r="AT191" s="582">
        <f t="shared" si="219"/>
        <v>23000</v>
      </c>
      <c r="AU191" s="532">
        <f t="shared" si="220"/>
        <v>35000</v>
      </c>
      <c r="AV191" s="532">
        <f t="shared" si="221"/>
        <v>535000</v>
      </c>
      <c r="AW191" s="532"/>
      <c r="AX191" s="532">
        <f t="shared" si="152"/>
        <v>535000</v>
      </c>
    </row>
    <row r="192" spans="1:50">
      <c r="A192" s="529">
        <v>189</v>
      </c>
      <c r="B192" s="795"/>
      <c r="C192" s="521" t="s">
        <v>1112</v>
      </c>
      <c r="D192" s="545">
        <v>396</v>
      </c>
      <c r="E192" s="538">
        <f>PROFORMA!F290</f>
        <v>3377000</v>
      </c>
      <c r="F192" s="538">
        <f>PROFORMA!G290</f>
        <v>0</v>
      </c>
      <c r="G192" s="538">
        <f>PROFORMA!H290</f>
        <v>0</v>
      </c>
      <c r="H192" s="538">
        <f>PROFORMA!I290</f>
        <v>0</v>
      </c>
      <c r="I192" s="538">
        <f>PROFORMA!J290</f>
        <v>0</v>
      </c>
      <c r="J192" s="538">
        <f>PROFORMA!K290</f>
        <v>0</v>
      </c>
      <c r="K192" s="538">
        <f>PROFORMA!L290</f>
        <v>0</v>
      </c>
      <c r="L192" s="538">
        <f>PROFORMA!M290</f>
        <v>0</v>
      </c>
      <c r="M192" s="538">
        <f>PROFORMA!N290</f>
        <v>0</v>
      </c>
      <c r="N192" s="538">
        <f>PROFORMA!O290</f>
        <v>0</v>
      </c>
      <c r="O192" s="538">
        <f>PROFORMA!P290</f>
        <v>0</v>
      </c>
      <c r="P192" s="538">
        <f>PROFORMA!Q290</f>
        <v>0</v>
      </c>
      <c r="Q192" s="538">
        <f>PROFORMA!R290</f>
        <v>0</v>
      </c>
      <c r="R192" s="538">
        <f>PROFORMA!S290</f>
        <v>0</v>
      </c>
      <c r="S192" s="538">
        <f>PROFORMA!T290</f>
        <v>0</v>
      </c>
      <c r="T192" s="538">
        <f>PROFORMA!U290</f>
        <v>0</v>
      </c>
      <c r="U192" s="538">
        <f>PROFORMA!V290</f>
        <v>0</v>
      </c>
      <c r="V192" s="538">
        <f>PROFORMA!W290</f>
        <v>0</v>
      </c>
      <c r="W192" s="538">
        <f>PROFORMA!X290</f>
        <v>84000</v>
      </c>
      <c r="X192" s="579">
        <f t="shared" si="151"/>
        <v>84000</v>
      </c>
      <c r="Y192" s="538">
        <f>PROFORMA!Y290</f>
        <v>0</v>
      </c>
      <c r="Z192" s="538">
        <f>PROFORMA!Z290</f>
        <v>0</v>
      </c>
      <c r="AA192" s="538">
        <f>PROFORMA!AA290</f>
        <v>0</v>
      </c>
      <c r="AB192" s="538">
        <f>PROFORMA!AB290</f>
        <v>0</v>
      </c>
      <c r="AC192" s="538">
        <f>PROFORMA!AC290</f>
        <v>0</v>
      </c>
      <c r="AD192" s="538">
        <f>PROFORMA!AD290</f>
        <v>0</v>
      </c>
      <c r="AE192" s="538">
        <f>PROFORMA!AE290</f>
        <v>0</v>
      </c>
      <c r="AF192" s="538">
        <f>PROFORMA!AG290</f>
        <v>0</v>
      </c>
      <c r="AG192" s="538">
        <f>PROFORMA!AH290</f>
        <v>0</v>
      </c>
      <c r="AH192" s="538">
        <f>PROFORMA!AI290</f>
        <v>0</v>
      </c>
      <c r="AI192" s="538">
        <f>PROFORMA!AJ290</f>
        <v>0</v>
      </c>
      <c r="AJ192" s="538">
        <f>PROFORMA!AK290</f>
        <v>0</v>
      </c>
      <c r="AK192" s="538">
        <f>PROFORMA!AL290</f>
        <v>0</v>
      </c>
      <c r="AL192" s="538">
        <f>PROFORMA!AM290</f>
        <v>56000</v>
      </c>
      <c r="AM192" s="538">
        <f>PROFORMA!AN290</f>
        <v>0</v>
      </c>
      <c r="AN192" s="538">
        <f>PROFORMA!AO290</f>
        <v>65000</v>
      </c>
      <c r="AO192" s="538">
        <f>PROFORMA!AP290</f>
        <v>0</v>
      </c>
      <c r="AP192" s="538">
        <f>PROFORMA!AQ290</f>
        <v>0</v>
      </c>
      <c r="AQ192" s="538">
        <f>PROFORMA!AR290</f>
        <v>0</v>
      </c>
      <c r="AR192" s="538">
        <f>PROFORMA!AS290</f>
        <v>34000</v>
      </c>
      <c r="AS192" s="538">
        <f>PROFORMA!AT290</f>
        <v>0</v>
      </c>
      <c r="AT192" s="582">
        <f t="shared" si="219"/>
        <v>155000</v>
      </c>
      <c r="AU192" s="532">
        <f t="shared" si="220"/>
        <v>239000</v>
      </c>
      <c r="AV192" s="532">
        <f t="shared" si="221"/>
        <v>3616000</v>
      </c>
      <c r="AW192" s="532"/>
      <c r="AX192" s="532">
        <f t="shared" si="152"/>
        <v>3616000</v>
      </c>
    </row>
    <row r="193" spans="1:50">
      <c r="A193" s="529">
        <v>190</v>
      </c>
      <c r="B193" s="795"/>
      <c r="C193" s="521" t="s">
        <v>1097</v>
      </c>
      <c r="D193" s="545">
        <v>397</v>
      </c>
      <c r="E193" s="538">
        <f>PROFORMA!F291</f>
        <v>18164000</v>
      </c>
      <c r="F193" s="538">
        <f>PROFORMA!G291</f>
        <v>0</v>
      </c>
      <c r="G193" s="538">
        <f>PROFORMA!H291</f>
        <v>0</v>
      </c>
      <c r="H193" s="538">
        <f>PROFORMA!I291</f>
        <v>0</v>
      </c>
      <c r="I193" s="538">
        <f>PROFORMA!J291</f>
        <v>0</v>
      </c>
      <c r="J193" s="538">
        <f>PROFORMA!K291</f>
        <v>0</v>
      </c>
      <c r="K193" s="538">
        <f>PROFORMA!L291</f>
        <v>0</v>
      </c>
      <c r="L193" s="538">
        <f>PROFORMA!M291</f>
        <v>0</v>
      </c>
      <c r="M193" s="538">
        <f>PROFORMA!N291</f>
        <v>0</v>
      </c>
      <c r="N193" s="538">
        <f>PROFORMA!O291</f>
        <v>0</v>
      </c>
      <c r="O193" s="538">
        <f>PROFORMA!P291</f>
        <v>0</v>
      </c>
      <c r="P193" s="538">
        <f>PROFORMA!Q291</f>
        <v>0</v>
      </c>
      <c r="Q193" s="538">
        <f>PROFORMA!R291</f>
        <v>0</v>
      </c>
      <c r="R193" s="538">
        <f>PROFORMA!S291</f>
        <v>0</v>
      </c>
      <c r="S193" s="538">
        <f>PROFORMA!T291</f>
        <v>0</v>
      </c>
      <c r="T193" s="538">
        <f>PROFORMA!U291</f>
        <v>0</v>
      </c>
      <c r="U193" s="538">
        <f>PROFORMA!V291</f>
        <v>0</v>
      </c>
      <c r="V193" s="538">
        <f>PROFORMA!W291</f>
        <v>0</v>
      </c>
      <c r="W193" s="538">
        <f>PROFORMA!X291</f>
        <v>453000</v>
      </c>
      <c r="X193" s="579">
        <f t="shared" si="151"/>
        <v>453000</v>
      </c>
      <c r="Y193" s="538">
        <f>PROFORMA!Y291</f>
        <v>0</v>
      </c>
      <c r="Z193" s="538">
        <f>PROFORMA!Z291</f>
        <v>0</v>
      </c>
      <c r="AA193" s="538">
        <f>PROFORMA!AA291</f>
        <v>0</v>
      </c>
      <c r="AB193" s="538">
        <f>PROFORMA!AB291</f>
        <v>0</v>
      </c>
      <c r="AC193" s="538">
        <f>PROFORMA!AC291</f>
        <v>0</v>
      </c>
      <c r="AD193" s="538">
        <f>PROFORMA!AD291</f>
        <v>0</v>
      </c>
      <c r="AE193" s="538">
        <f>PROFORMA!AE291</f>
        <v>0</v>
      </c>
      <c r="AF193" s="538">
        <f>PROFORMA!AG291</f>
        <v>0</v>
      </c>
      <c r="AG193" s="538">
        <f>PROFORMA!AH291</f>
        <v>0</v>
      </c>
      <c r="AH193" s="538">
        <f>PROFORMA!AI291</f>
        <v>0</v>
      </c>
      <c r="AI193" s="538">
        <f>PROFORMA!AJ291</f>
        <v>0</v>
      </c>
      <c r="AJ193" s="538">
        <f>PROFORMA!AK291</f>
        <v>0</v>
      </c>
      <c r="AK193" s="538">
        <f>PROFORMA!AL291</f>
        <v>0</v>
      </c>
      <c r="AL193" s="538">
        <f>PROFORMA!AM291</f>
        <v>301000</v>
      </c>
      <c r="AM193" s="538">
        <f>PROFORMA!AN291</f>
        <v>0</v>
      </c>
      <c r="AN193" s="538">
        <f>PROFORMA!AO291</f>
        <v>348000</v>
      </c>
      <c r="AO193" s="538">
        <f>PROFORMA!AP291</f>
        <v>0</v>
      </c>
      <c r="AP193" s="538">
        <f>PROFORMA!AQ291</f>
        <v>0</v>
      </c>
      <c r="AQ193" s="538">
        <f>PROFORMA!AR291</f>
        <v>0</v>
      </c>
      <c r="AR193" s="538">
        <f>PROFORMA!AS291</f>
        <v>185000</v>
      </c>
      <c r="AS193" s="538">
        <f>PROFORMA!AT291</f>
        <v>0</v>
      </c>
      <c r="AT193" s="582">
        <f t="shared" si="219"/>
        <v>834000</v>
      </c>
      <c r="AU193" s="532">
        <f t="shared" si="220"/>
        <v>1287000</v>
      </c>
      <c r="AV193" s="532">
        <f t="shared" si="221"/>
        <v>19451000</v>
      </c>
      <c r="AW193" s="532"/>
      <c r="AX193" s="532">
        <f t="shared" si="152"/>
        <v>19451000</v>
      </c>
    </row>
    <row r="194" spans="1:50">
      <c r="A194" s="529">
        <v>191</v>
      </c>
      <c r="B194" s="795"/>
      <c r="C194" s="521" t="s">
        <v>1113</v>
      </c>
      <c r="D194" s="545">
        <v>398</v>
      </c>
      <c r="E194" s="574">
        <f>PROFORMA!F292</f>
        <v>121000</v>
      </c>
      <c r="F194" s="574">
        <f>PROFORMA!G292</f>
        <v>0</v>
      </c>
      <c r="G194" s="574">
        <f>PROFORMA!H292</f>
        <v>0</v>
      </c>
      <c r="H194" s="574">
        <f>PROFORMA!I292</f>
        <v>0</v>
      </c>
      <c r="I194" s="574">
        <f>PROFORMA!J292</f>
        <v>0</v>
      </c>
      <c r="J194" s="574">
        <f>PROFORMA!K292</f>
        <v>0</v>
      </c>
      <c r="K194" s="574">
        <f>PROFORMA!L292</f>
        <v>0</v>
      </c>
      <c r="L194" s="574">
        <f>PROFORMA!M292</f>
        <v>0</v>
      </c>
      <c r="M194" s="574">
        <f>PROFORMA!N292</f>
        <v>0</v>
      </c>
      <c r="N194" s="574">
        <f>PROFORMA!O292</f>
        <v>0</v>
      </c>
      <c r="O194" s="574">
        <f>PROFORMA!P292</f>
        <v>0</v>
      </c>
      <c r="P194" s="574">
        <f>PROFORMA!Q292</f>
        <v>0</v>
      </c>
      <c r="Q194" s="574">
        <f>PROFORMA!R292</f>
        <v>0</v>
      </c>
      <c r="R194" s="574">
        <f>PROFORMA!S292</f>
        <v>0</v>
      </c>
      <c r="S194" s="574">
        <f>PROFORMA!T292</f>
        <v>0</v>
      </c>
      <c r="T194" s="574">
        <f>PROFORMA!U292</f>
        <v>0</v>
      </c>
      <c r="U194" s="574">
        <f>PROFORMA!V292</f>
        <v>0</v>
      </c>
      <c r="V194" s="574">
        <f>PROFORMA!W292</f>
        <v>0</v>
      </c>
      <c r="W194" s="574">
        <f>PROFORMA!X292</f>
        <v>3000</v>
      </c>
      <c r="X194" s="580">
        <f t="shared" si="151"/>
        <v>3000</v>
      </c>
      <c r="Y194" s="574">
        <f>PROFORMA!Y292</f>
        <v>0</v>
      </c>
      <c r="Z194" s="574">
        <f>PROFORMA!Z292</f>
        <v>0</v>
      </c>
      <c r="AA194" s="574">
        <f>PROFORMA!AA292</f>
        <v>0</v>
      </c>
      <c r="AB194" s="574">
        <f>PROFORMA!AB292</f>
        <v>0</v>
      </c>
      <c r="AC194" s="574">
        <f>PROFORMA!AC292</f>
        <v>0</v>
      </c>
      <c r="AD194" s="574">
        <f>PROFORMA!AD292</f>
        <v>0</v>
      </c>
      <c r="AE194" s="574">
        <f>PROFORMA!AE292</f>
        <v>0</v>
      </c>
      <c r="AF194" s="574">
        <f>PROFORMA!AG292</f>
        <v>0</v>
      </c>
      <c r="AG194" s="574">
        <f>PROFORMA!AH292</f>
        <v>0</v>
      </c>
      <c r="AH194" s="574">
        <f>PROFORMA!AI292</f>
        <v>0</v>
      </c>
      <c r="AI194" s="574">
        <f>PROFORMA!AJ292</f>
        <v>0</v>
      </c>
      <c r="AJ194" s="574">
        <f>PROFORMA!AK292</f>
        <v>0</v>
      </c>
      <c r="AK194" s="574">
        <f>PROFORMA!AL292</f>
        <v>0</v>
      </c>
      <c r="AL194" s="574">
        <f>PROFORMA!AM292</f>
        <v>2000</v>
      </c>
      <c r="AM194" s="574">
        <f>PROFORMA!AN292</f>
        <v>0</v>
      </c>
      <c r="AN194" s="574">
        <f>PROFORMA!AO292</f>
        <v>2000</v>
      </c>
      <c r="AO194" s="574">
        <f>PROFORMA!AP292</f>
        <v>0</v>
      </c>
      <c r="AP194" s="574">
        <f>PROFORMA!AQ292</f>
        <v>0</v>
      </c>
      <c r="AQ194" s="574">
        <f>PROFORMA!AR292</f>
        <v>0</v>
      </c>
      <c r="AR194" s="574">
        <f>PROFORMA!AS292</f>
        <v>1000</v>
      </c>
      <c r="AS194" s="574">
        <f>PROFORMA!AT292</f>
        <v>0</v>
      </c>
      <c r="AT194" s="583">
        <f t="shared" si="219"/>
        <v>5000</v>
      </c>
      <c r="AU194" s="581">
        <f t="shared" si="220"/>
        <v>8000</v>
      </c>
      <c r="AV194" s="581">
        <f t="shared" si="221"/>
        <v>129000</v>
      </c>
      <c r="AW194" s="581"/>
      <c r="AX194" s="581">
        <f t="shared" si="152"/>
        <v>129000</v>
      </c>
    </row>
    <row r="195" spans="1:50">
      <c r="A195" s="529">
        <v>192</v>
      </c>
      <c r="B195" s="523"/>
      <c r="C195" s="525" t="s">
        <v>1114</v>
      </c>
      <c r="D195" s="525"/>
      <c r="E195" s="539">
        <f>SUM(E185:E194)</f>
        <v>112173000</v>
      </c>
      <c r="F195" s="539">
        <f t="shared" ref="F195" si="222">SUM(F185:F194)</f>
        <v>0</v>
      </c>
      <c r="G195" s="539">
        <f t="shared" ref="G195:W195" si="223">SUM(G185:G194)</f>
        <v>0</v>
      </c>
      <c r="H195" s="539">
        <f t="shared" si="223"/>
        <v>0</v>
      </c>
      <c r="I195" s="539">
        <f t="shared" si="223"/>
        <v>0</v>
      </c>
      <c r="J195" s="539">
        <f t="shared" si="223"/>
        <v>0</v>
      </c>
      <c r="K195" s="539">
        <f t="shared" si="223"/>
        <v>0</v>
      </c>
      <c r="L195" s="539">
        <f t="shared" si="223"/>
        <v>0</v>
      </c>
      <c r="M195" s="539">
        <f t="shared" si="223"/>
        <v>0</v>
      </c>
      <c r="N195" s="539">
        <f t="shared" si="223"/>
        <v>0</v>
      </c>
      <c r="O195" s="539">
        <f t="shared" si="223"/>
        <v>0</v>
      </c>
      <c r="P195" s="539">
        <f t="shared" si="223"/>
        <v>0</v>
      </c>
      <c r="Q195" s="539">
        <f t="shared" si="223"/>
        <v>0</v>
      </c>
      <c r="R195" s="539">
        <f t="shared" si="223"/>
        <v>0</v>
      </c>
      <c r="S195" s="539">
        <f t="shared" si="223"/>
        <v>0</v>
      </c>
      <c r="T195" s="539">
        <f t="shared" si="223"/>
        <v>0</v>
      </c>
      <c r="U195" s="539">
        <f t="shared" si="223"/>
        <v>0</v>
      </c>
      <c r="V195" s="539">
        <f t="shared" si="223"/>
        <v>0</v>
      </c>
      <c r="W195" s="539">
        <f t="shared" si="223"/>
        <v>2797000</v>
      </c>
      <c r="X195" s="579">
        <f t="shared" si="151"/>
        <v>2797000</v>
      </c>
      <c r="Y195" s="539">
        <f t="shared" ref="Y195:AX195" si="224">SUM(Y185:Y194)</f>
        <v>0</v>
      </c>
      <c r="Z195" s="539">
        <f t="shared" ref="Z195:AF195" si="225">SUM(Z185:Z194)</f>
        <v>0</v>
      </c>
      <c r="AA195" s="539">
        <f t="shared" si="225"/>
        <v>0</v>
      </c>
      <c r="AB195" s="539">
        <f t="shared" si="225"/>
        <v>0</v>
      </c>
      <c r="AC195" s="539">
        <f t="shared" si="225"/>
        <v>0</v>
      </c>
      <c r="AD195" s="539">
        <f t="shared" si="225"/>
        <v>0</v>
      </c>
      <c r="AE195" s="539">
        <f t="shared" si="225"/>
        <v>0</v>
      </c>
      <c r="AF195" s="539">
        <f t="shared" si="225"/>
        <v>0</v>
      </c>
      <c r="AG195" s="539">
        <f t="shared" ref="AG195:AQ195" si="226">SUM(AG185:AG194)</f>
        <v>0</v>
      </c>
      <c r="AH195" s="539">
        <f t="shared" si="226"/>
        <v>0</v>
      </c>
      <c r="AI195" s="539">
        <f t="shared" si="226"/>
        <v>0</v>
      </c>
      <c r="AJ195" s="539">
        <f t="shared" si="226"/>
        <v>0</v>
      </c>
      <c r="AK195" s="539">
        <f t="shared" si="226"/>
        <v>0</v>
      </c>
      <c r="AL195" s="539">
        <f t="shared" si="226"/>
        <v>1859000</v>
      </c>
      <c r="AM195" s="539">
        <f t="shared" si="226"/>
        <v>0</v>
      </c>
      <c r="AN195" s="539">
        <f t="shared" si="226"/>
        <v>2150000</v>
      </c>
      <c r="AO195" s="539">
        <f t="shared" si="226"/>
        <v>0</v>
      </c>
      <c r="AP195" s="539">
        <f t="shared" si="226"/>
        <v>0</v>
      </c>
      <c r="AQ195" s="539">
        <f t="shared" si="226"/>
        <v>0</v>
      </c>
      <c r="AR195" s="539">
        <f t="shared" ref="AR195:AS195" si="227">SUM(AR185:AR194)</f>
        <v>1141000</v>
      </c>
      <c r="AS195" s="539">
        <f t="shared" si="227"/>
        <v>0</v>
      </c>
      <c r="AT195" s="539">
        <f t="shared" si="224"/>
        <v>5150000</v>
      </c>
      <c r="AU195" s="539">
        <f t="shared" si="224"/>
        <v>7947000</v>
      </c>
      <c r="AV195" s="539">
        <f t="shared" si="224"/>
        <v>120120000</v>
      </c>
      <c r="AW195" s="539">
        <f t="shared" si="224"/>
        <v>0</v>
      </c>
      <c r="AX195" s="539">
        <f t="shared" si="224"/>
        <v>120120000</v>
      </c>
    </row>
    <row r="196" spans="1:50">
      <c r="A196" s="529">
        <v>193</v>
      </c>
      <c r="B196" s="523"/>
      <c r="C196" s="564"/>
      <c r="D196" s="564"/>
      <c r="E196" s="539"/>
      <c r="F196" s="539"/>
      <c r="G196" s="539"/>
      <c r="H196" s="539"/>
      <c r="I196" s="539"/>
      <c r="J196" s="539"/>
      <c r="K196" s="539"/>
      <c r="L196" s="539"/>
      <c r="M196" s="539"/>
      <c r="N196" s="539"/>
      <c r="O196" s="539"/>
      <c r="P196" s="539"/>
      <c r="Q196" s="539"/>
      <c r="R196" s="539"/>
      <c r="S196" s="539"/>
      <c r="T196" s="539"/>
      <c r="U196" s="539"/>
      <c r="V196" s="539"/>
      <c r="W196" s="539"/>
      <c r="X196" s="579">
        <f t="shared" ref="X196:X251" si="228">SUM(F196:W196)</f>
        <v>0</v>
      </c>
      <c r="Y196" s="539"/>
      <c r="Z196" s="539"/>
      <c r="AA196" s="539"/>
      <c r="AB196" s="539"/>
      <c r="AC196" s="539"/>
      <c r="AD196" s="539"/>
      <c r="AE196" s="539"/>
      <c r="AF196" s="539"/>
      <c r="AG196" s="539"/>
      <c r="AH196" s="539"/>
      <c r="AI196" s="539"/>
      <c r="AJ196" s="539"/>
      <c r="AK196" s="539"/>
      <c r="AL196" s="539"/>
      <c r="AM196" s="539"/>
      <c r="AN196" s="539"/>
      <c r="AO196" s="539"/>
      <c r="AP196" s="539"/>
      <c r="AQ196" s="539"/>
      <c r="AR196" s="539"/>
      <c r="AS196" s="539"/>
      <c r="AT196" s="582">
        <f>SUM(Y196:AS196)</f>
        <v>0</v>
      </c>
      <c r="AU196" s="532">
        <f>X196+AT196</f>
        <v>0</v>
      </c>
      <c r="AV196" s="532">
        <f>E196+AU196</f>
        <v>0</v>
      </c>
      <c r="AW196" s="532"/>
      <c r="AX196" s="532">
        <f t="shared" si="152"/>
        <v>0</v>
      </c>
    </row>
    <row r="197" spans="1:50">
      <c r="A197" s="529">
        <v>194</v>
      </c>
      <c r="B197" s="500"/>
      <c r="C197" s="566" t="s">
        <v>1076</v>
      </c>
      <c r="D197" s="566"/>
      <c r="E197" s="539">
        <f>E195+E184+E171+E162</f>
        <v>846496000</v>
      </c>
      <c r="F197" s="539">
        <f t="shared" ref="F197" si="229">F195+F184+F171+F162</f>
        <v>0</v>
      </c>
      <c r="G197" s="539">
        <f t="shared" ref="G197:W197" si="230">G195+G184+G171+G162</f>
        <v>0</v>
      </c>
      <c r="H197" s="539">
        <f t="shared" si="230"/>
        <v>0</v>
      </c>
      <c r="I197" s="539">
        <f t="shared" si="230"/>
        <v>0</v>
      </c>
      <c r="J197" s="539">
        <f t="shared" si="230"/>
        <v>0</v>
      </c>
      <c r="K197" s="539">
        <f t="shared" si="230"/>
        <v>0</v>
      </c>
      <c r="L197" s="539">
        <f t="shared" si="230"/>
        <v>0</v>
      </c>
      <c r="M197" s="539">
        <f t="shared" si="230"/>
        <v>0</v>
      </c>
      <c r="N197" s="539">
        <f t="shared" si="230"/>
        <v>0</v>
      </c>
      <c r="O197" s="539">
        <f t="shared" si="230"/>
        <v>0</v>
      </c>
      <c r="P197" s="539">
        <f t="shared" si="230"/>
        <v>0</v>
      </c>
      <c r="Q197" s="539">
        <f t="shared" si="230"/>
        <v>0</v>
      </c>
      <c r="R197" s="539">
        <f t="shared" si="230"/>
        <v>0</v>
      </c>
      <c r="S197" s="539">
        <f t="shared" si="230"/>
        <v>0</v>
      </c>
      <c r="T197" s="539">
        <f t="shared" si="230"/>
        <v>0</v>
      </c>
      <c r="U197" s="539">
        <f t="shared" si="230"/>
        <v>0</v>
      </c>
      <c r="V197" s="539">
        <f t="shared" si="230"/>
        <v>0</v>
      </c>
      <c r="W197" s="539">
        <f t="shared" si="230"/>
        <v>24607000</v>
      </c>
      <c r="X197" s="579">
        <f t="shared" si="228"/>
        <v>24607000</v>
      </c>
      <c r="Y197" s="539">
        <f>Y195+Y184+Y171+Y162</f>
        <v>0</v>
      </c>
      <c r="Z197" s="539">
        <f t="shared" ref="Z197:AF197" si="231">Z195+Z184+Z171+Z162</f>
        <v>0</v>
      </c>
      <c r="AA197" s="539">
        <f t="shared" si="231"/>
        <v>0</v>
      </c>
      <c r="AB197" s="539">
        <f t="shared" si="231"/>
        <v>0</v>
      </c>
      <c r="AC197" s="539">
        <f t="shared" si="231"/>
        <v>0</v>
      </c>
      <c r="AD197" s="539">
        <f t="shared" si="231"/>
        <v>0</v>
      </c>
      <c r="AE197" s="539">
        <f t="shared" si="231"/>
        <v>0</v>
      </c>
      <c r="AF197" s="539">
        <f t="shared" si="231"/>
        <v>0</v>
      </c>
      <c r="AG197" s="539">
        <f t="shared" ref="AG197:AQ197" si="232">AG195+AG184+AG171+AG162</f>
        <v>0</v>
      </c>
      <c r="AH197" s="539">
        <f t="shared" si="232"/>
        <v>0</v>
      </c>
      <c r="AI197" s="539">
        <f t="shared" si="232"/>
        <v>0</v>
      </c>
      <c r="AJ197" s="539">
        <f t="shared" si="232"/>
        <v>0</v>
      </c>
      <c r="AK197" s="539">
        <f t="shared" si="232"/>
        <v>0</v>
      </c>
      <c r="AL197" s="539">
        <f t="shared" si="232"/>
        <v>24668000</v>
      </c>
      <c r="AM197" s="539">
        <f t="shared" si="232"/>
        <v>0</v>
      </c>
      <c r="AN197" s="539">
        <f t="shared" si="232"/>
        <v>39763000</v>
      </c>
      <c r="AO197" s="539">
        <f t="shared" si="232"/>
        <v>0</v>
      </c>
      <c r="AP197" s="539">
        <f t="shared" si="232"/>
        <v>0</v>
      </c>
      <c r="AQ197" s="539">
        <f t="shared" si="232"/>
        <v>0</v>
      </c>
      <c r="AR197" s="539">
        <f t="shared" ref="AR197:AS197" si="233">AR195+AR184+AR171+AR162</f>
        <v>16641000</v>
      </c>
      <c r="AS197" s="539">
        <f t="shared" si="233"/>
        <v>0</v>
      </c>
      <c r="AT197" s="539">
        <f t="shared" ref="AT197:AX197" si="234">AT195+AT184+AT171+AT162</f>
        <v>81072000</v>
      </c>
      <c r="AU197" s="539">
        <f t="shared" si="234"/>
        <v>105679000</v>
      </c>
      <c r="AV197" s="539">
        <f t="shared" si="234"/>
        <v>952175000</v>
      </c>
      <c r="AW197" s="539">
        <f t="shared" si="234"/>
        <v>0</v>
      </c>
      <c r="AX197" s="539">
        <f t="shared" si="234"/>
        <v>952175000</v>
      </c>
    </row>
    <row r="198" spans="1:50">
      <c r="A198" s="529">
        <v>195</v>
      </c>
      <c r="B198" s="500"/>
      <c r="C198" s="546"/>
      <c r="D198" s="546"/>
      <c r="E198" s="539"/>
      <c r="F198" s="539"/>
      <c r="G198" s="539"/>
      <c r="H198" s="539"/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39"/>
      <c r="T198" s="539"/>
      <c r="U198" s="539"/>
      <c r="V198" s="539"/>
      <c r="W198" s="539"/>
      <c r="X198" s="579">
        <f t="shared" si="228"/>
        <v>0</v>
      </c>
      <c r="Y198" s="539"/>
      <c r="Z198" s="539"/>
      <c r="AA198" s="539"/>
      <c r="AB198" s="539"/>
      <c r="AC198" s="539"/>
      <c r="AD198" s="539"/>
      <c r="AE198" s="539"/>
      <c r="AF198" s="539"/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39"/>
      <c r="AS198" s="539"/>
      <c r="AT198" s="582">
        <f t="shared" ref="AT198:AT206" si="235">SUM(Y198:AS198)</f>
        <v>0</v>
      </c>
      <c r="AU198" s="532">
        <f t="shared" ref="AU198:AU206" si="236">X198+AT198</f>
        <v>0</v>
      </c>
      <c r="AV198" s="532">
        <f t="shared" ref="AV198:AV206" si="237">E198+AU198</f>
        <v>0</v>
      </c>
      <c r="AW198" s="532"/>
      <c r="AX198" s="532">
        <f t="shared" ref="AX198:AX250" si="238">AV198+AW198</f>
        <v>0</v>
      </c>
    </row>
    <row r="199" spans="1:50">
      <c r="A199" s="529">
        <v>196</v>
      </c>
      <c r="B199" s="794" t="s">
        <v>632</v>
      </c>
      <c r="C199" s="550" t="s">
        <v>252</v>
      </c>
      <c r="D199" s="551">
        <v>350</v>
      </c>
      <c r="E199" s="557">
        <f>PROFORMA!F309</f>
        <v>22000</v>
      </c>
      <c r="F199" s="557">
        <f>PROFORMA!G309</f>
        <v>0</v>
      </c>
      <c r="G199" s="557">
        <f>PROFORMA!H309</f>
        <v>0</v>
      </c>
      <c r="H199" s="557">
        <f>PROFORMA!I309</f>
        <v>0</v>
      </c>
      <c r="I199" s="557">
        <f>PROFORMA!J309</f>
        <v>0</v>
      </c>
      <c r="J199" s="557">
        <f>PROFORMA!K309</f>
        <v>0</v>
      </c>
      <c r="K199" s="557">
        <f>PROFORMA!L309</f>
        <v>0</v>
      </c>
      <c r="L199" s="557">
        <f>PROFORMA!M309</f>
        <v>0</v>
      </c>
      <c r="M199" s="557">
        <f>PROFORMA!N309</f>
        <v>0</v>
      </c>
      <c r="N199" s="557">
        <f>PROFORMA!O309</f>
        <v>0</v>
      </c>
      <c r="O199" s="557">
        <f>PROFORMA!P309</f>
        <v>0</v>
      </c>
      <c r="P199" s="557">
        <f>PROFORMA!Q309</f>
        <v>0</v>
      </c>
      <c r="Q199" s="557">
        <f>PROFORMA!R309</f>
        <v>0</v>
      </c>
      <c r="R199" s="557">
        <f>PROFORMA!S309</f>
        <v>0</v>
      </c>
      <c r="S199" s="557">
        <f>PROFORMA!T309</f>
        <v>0</v>
      </c>
      <c r="T199" s="557">
        <f>PROFORMA!U309</f>
        <v>0</v>
      </c>
      <c r="U199" s="557">
        <f>PROFORMA!V309</f>
        <v>0</v>
      </c>
      <c r="V199" s="557">
        <f>PROFORMA!W309</f>
        <v>0</v>
      </c>
      <c r="W199" s="557">
        <f>PROFORMA!X309</f>
        <v>0</v>
      </c>
      <c r="X199" s="579">
        <f t="shared" si="228"/>
        <v>0</v>
      </c>
      <c r="Y199" s="557">
        <f>PROFORMA!Y309</f>
        <v>0</v>
      </c>
      <c r="Z199" s="557">
        <f>PROFORMA!Z309</f>
        <v>0</v>
      </c>
      <c r="AA199" s="557">
        <f>PROFORMA!AA309</f>
        <v>0</v>
      </c>
      <c r="AB199" s="557">
        <f>PROFORMA!AB309</f>
        <v>0</v>
      </c>
      <c r="AC199" s="557">
        <f>PROFORMA!AC309</f>
        <v>0</v>
      </c>
      <c r="AD199" s="557">
        <f>PROFORMA!AD309</f>
        <v>0</v>
      </c>
      <c r="AE199" s="557">
        <f>PROFORMA!AE309</f>
        <v>0</v>
      </c>
      <c r="AF199" s="557">
        <f>PROFORMA!AG309</f>
        <v>0</v>
      </c>
      <c r="AG199" s="557">
        <f>PROFORMA!AH309</f>
        <v>0</v>
      </c>
      <c r="AH199" s="557">
        <f>PROFORMA!AI309</f>
        <v>0</v>
      </c>
      <c r="AI199" s="557">
        <f>PROFORMA!AJ309</f>
        <v>0</v>
      </c>
      <c r="AJ199" s="557">
        <f>PROFORMA!AK309</f>
        <v>0</v>
      </c>
      <c r="AK199" s="557">
        <f>PROFORMA!AL309</f>
        <v>0</v>
      </c>
      <c r="AL199" s="557">
        <f>PROFORMA!AM309</f>
        <v>0</v>
      </c>
      <c r="AM199" s="557">
        <f>PROFORMA!AN309</f>
        <v>0</v>
      </c>
      <c r="AN199" s="557">
        <f>PROFORMA!AO309</f>
        <v>-1000</v>
      </c>
      <c r="AO199" s="557">
        <f>PROFORMA!AP309</f>
        <v>0</v>
      </c>
      <c r="AP199" s="557">
        <f>PROFORMA!AQ309</f>
        <v>0</v>
      </c>
      <c r="AQ199" s="557">
        <f>PROFORMA!AR309</f>
        <v>0</v>
      </c>
      <c r="AR199" s="557">
        <f>PROFORMA!AS309</f>
        <v>0</v>
      </c>
      <c r="AS199" s="557">
        <f>PROFORMA!AT309</f>
        <v>0</v>
      </c>
      <c r="AT199" s="582">
        <f t="shared" si="235"/>
        <v>-1000</v>
      </c>
      <c r="AU199" s="532">
        <f t="shared" si="236"/>
        <v>-1000</v>
      </c>
      <c r="AV199" s="532">
        <f t="shared" si="237"/>
        <v>21000</v>
      </c>
      <c r="AW199" s="532"/>
      <c r="AX199" s="532">
        <f t="shared" si="238"/>
        <v>21000</v>
      </c>
    </row>
    <row r="200" spans="1:50">
      <c r="A200" s="529">
        <v>197</v>
      </c>
      <c r="B200" s="794"/>
      <c r="C200" s="550" t="s">
        <v>253</v>
      </c>
      <c r="D200" s="551">
        <v>351</v>
      </c>
      <c r="E200" s="557">
        <f>PROFORMA!F310</f>
        <v>700000</v>
      </c>
      <c r="F200" s="557">
        <f>PROFORMA!G310</f>
        <v>0</v>
      </c>
      <c r="G200" s="557">
        <f>PROFORMA!H310</f>
        <v>0</v>
      </c>
      <c r="H200" s="557">
        <f>PROFORMA!I310</f>
        <v>0</v>
      </c>
      <c r="I200" s="557">
        <f>PROFORMA!J310</f>
        <v>0</v>
      </c>
      <c r="J200" s="557">
        <f>PROFORMA!K310</f>
        <v>0</v>
      </c>
      <c r="K200" s="557">
        <f>PROFORMA!L310</f>
        <v>0</v>
      </c>
      <c r="L200" s="557">
        <f>PROFORMA!M310</f>
        <v>0</v>
      </c>
      <c r="M200" s="557">
        <f>PROFORMA!N310</f>
        <v>0</v>
      </c>
      <c r="N200" s="557">
        <f>PROFORMA!O310</f>
        <v>0</v>
      </c>
      <c r="O200" s="557">
        <f>PROFORMA!P310</f>
        <v>0</v>
      </c>
      <c r="P200" s="557">
        <f>PROFORMA!Q310</f>
        <v>0</v>
      </c>
      <c r="Q200" s="557">
        <f>PROFORMA!R310</f>
        <v>0</v>
      </c>
      <c r="R200" s="557">
        <f>PROFORMA!S310</f>
        <v>0</v>
      </c>
      <c r="S200" s="557">
        <f>PROFORMA!T310</f>
        <v>0</v>
      </c>
      <c r="T200" s="557">
        <f>PROFORMA!U310</f>
        <v>0</v>
      </c>
      <c r="U200" s="557">
        <f>PROFORMA!V310</f>
        <v>0</v>
      </c>
      <c r="V200" s="557">
        <f>PROFORMA!W310</f>
        <v>0</v>
      </c>
      <c r="W200" s="557">
        <f>PROFORMA!X310</f>
        <v>-14000</v>
      </c>
      <c r="X200" s="579">
        <f t="shared" si="228"/>
        <v>-14000</v>
      </c>
      <c r="Y200" s="557">
        <f>PROFORMA!Y310</f>
        <v>0</v>
      </c>
      <c r="Z200" s="557">
        <f>PROFORMA!Z310</f>
        <v>0</v>
      </c>
      <c r="AA200" s="557">
        <f>PROFORMA!AA310</f>
        <v>0</v>
      </c>
      <c r="AB200" s="557">
        <f>PROFORMA!AB310</f>
        <v>0</v>
      </c>
      <c r="AC200" s="557">
        <f>PROFORMA!AC310</f>
        <v>0</v>
      </c>
      <c r="AD200" s="557">
        <f>PROFORMA!AD310</f>
        <v>0</v>
      </c>
      <c r="AE200" s="557">
        <f>PROFORMA!AE310</f>
        <v>0</v>
      </c>
      <c r="AF200" s="557">
        <f>PROFORMA!AG310</f>
        <v>0</v>
      </c>
      <c r="AG200" s="557">
        <f>PROFORMA!AH310</f>
        <v>0</v>
      </c>
      <c r="AH200" s="557">
        <f>PROFORMA!AI310</f>
        <v>0</v>
      </c>
      <c r="AI200" s="557">
        <f>PROFORMA!AJ310</f>
        <v>0</v>
      </c>
      <c r="AJ200" s="557">
        <f>PROFORMA!AK310</f>
        <v>0</v>
      </c>
      <c r="AK200" s="557">
        <f>PROFORMA!AL310</f>
        <v>0</v>
      </c>
      <c r="AL200" s="557">
        <f>PROFORMA!AM310</f>
        <v>-14000</v>
      </c>
      <c r="AM200" s="557">
        <f>PROFORMA!AN310</f>
        <v>0</v>
      </c>
      <c r="AN200" s="557">
        <f>PROFORMA!AO310</f>
        <v>-29000</v>
      </c>
      <c r="AO200" s="557">
        <f>PROFORMA!AP310</f>
        <v>0</v>
      </c>
      <c r="AP200" s="557">
        <f>PROFORMA!AQ310</f>
        <v>0</v>
      </c>
      <c r="AQ200" s="557">
        <f>PROFORMA!AR310</f>
        <v>0</v>
      </c>
      <c r="AR200" s="557">
        <f>PROFORMA!AS310</f>
        <v>-15000</v>
      </c>
      <c r="AS200" s="557">
        <f>PROFORMA!AT310</f>
        <v>0</v>
      </c>
      <c r="AT200" s="582">
        <f t="shared" si="235"/>
        <v>-58000</v>
      </c>
      <c r="AU200" s="532">
        <f t="shared" si="236"/>
        <v>-72000</v>
      </c>
      <c r="AV200" s="532">
        <f t="shared" si="237"/>
        <v>628000</v>
      </c>
      <c r="AW200" s="532"/>
      <c r="AX200" s="532">
        <f t="shared" si="238"/>
        <v>628000</v>
      </c>
    </row>
    <row r="201" spans="1:50">
      <c r="A201" s="529">
        <v>198</v>
      </c>
      <c r="B201" s="794"/>
      <c r="C201" s="550" t="s">
        <v>254</v>
      </c>
      <c r="D201" s="551">
        <v>352</v>
      </c>
      <c r="E201" s="557">
        <f>PROFORMA!F311</f>
        <v>7296000</v>
      </c>
      <c r="F201" s="557">
        <f>PROFORMA!G311</f>
        <v>0</v>
      </c>
      <c r="G201" s="557">
        <f>PROFORMA!H311</f>
        <v>0</v>
      </c>
      <c r="H201" s="557">
        <f>PROFORMA!I311</f>
        <v>0</v>
      </c>
      <c r="I201" s="557">
        <f>PROFORMA!J311</f>
        <v>0</v>
      </c>
      <c r="J201" s="557">
        <f>PROFORMA!K311</f>
        <v>0</v>
      </c>
      <c r="K201" s="557">
        <f>PROFORMA!L311</f>
        <v>0</v>
      </c>
      <c r="L201" s="557">
        <f>PROFORMA!M311</f>
        <v>0</v>
      </c>
      <c r="M201" s="557">
        <f>PROFORMA!N311</f>
        <v>0</v>
      </c>
      <c r="N201" s="557">
        <f>PROFORMA!O311</f>
        <v>0</v>
      </c>
      <c r="O201" s="557">
        <f>PROFORMA!P311</f>
        <v>0</v>
      </c>
      <c r="P201" s="557">
        <f>PROFORMA!Q311</f>
        <v>0</v>
      </c>
      <c r="Q201" s="557">
        <f>PROFORMA!R311</f>
        <v>0</v>
      </c>
      <c r="R201" s="557">
        <f>PROFORMA!S311</f>
        <v>0</v>
      </c>
      <c r="S201" s="557">
        <f>PROFORMA!T311</f>
        <v>0</v>
      </c>
      <c r="T201" s="557">
        <f>PROFORMA!U311</f>
        <v>0</v>
      </c>
      <c r="U201" s="557">
        <f>PROFORMA!V311</f>
        <v>0</v>
      </c>
      <c r="V201" s="557">
        <f>PROFORMA!W311</f>
        <v>0</v>
      </c>
      <c r="W201" s="557">
        <f>PROFORMA!X311</f>
        <v>-144000</v>
      </c>
      <c r="X201" s="579">
        <f t="shared" si="228"/>
        <v>-144000</v>
      </c>
      <c r="Y201" s="557">
        <f>PROFORMA!Y311</f>
        <v>0</v>
      </c>
      <c r="Z201" s="557">
        <f>PROFORMA!Z311</f>
        <v>0</v>
      </c>
      <c r="AA201" s="557">
        <f>PROFORMA!AA311</f>
        <v>0</v>
      </c>
      <c r="AB201" s="557">
        <f>PROFORMA!AB311</f>
        <v>0</v>
      </c>
      <c r="AC201" s="557">
        <f>PROFORMA!AC311</f>
        <v>0</v>
      </c>
      <c r="AD201" s="557">
        <f>PROFORMA!AD311</f>
        <v>0</v>
      </c>
      <c r="AE201" s="557">
        <f>PROFORMA!AE311</f>
        <v>0</v>
      </c>
      <c r="AF201" s="557">
        <f>PROFORMA!AG311</f>
        <v>0</v>
      </c>
      <c r="AG201" s="557">
        <f>PROFORMA!AH311</f>
        <v>0</v>
      </c>
      <c r="AH201" s="557">
        <f>PROFORMA!AI311</f>
        <v>0</v>
      </c>
      <c r="AI201" s="557">
        <f>PROFORMA!AJ311</f>
        <v>0</v>
      </c>
      <c r="AJ201" s="557">
        <f>PROFORMA!AK311</f>
        <v>0</v>
      </c>
      <c r="AK201" s="557">
        <f>PROFORMA!AL311</f>
        <v>0</v>
      </c>
      <c r="AL201" s="557">
        <f>PROFORMA!AM311</f>
        <v>-147000</v>
      </c>
      <c r="AM201" s="557">
        <f>PROFORMA!AN311</f>
        <v>0</v>
      </c>
      <c r="AN201" s="557">
        <f>PROFORMA!AO311</f>
        <v>-301000</v>
      </c>
      <c r="AO201" s="557">
        <f>PROFORMA!AP311</f>
        <v>0</v>
      </c>
      <c r="AP201" s="557">
        <f>PROFORMA!AQ311</f>
        <v>0</v>
      </c>
      <c r="AQ201" s="557">
        <f>PROFORMA!AR311</f>
        <v>0</v>
      </c>
      <c r="AR201" s="557">
        <f>PROFORMA!AS311</f>
        <v>-156000</v>
      </c>
      <c r="AS201" s="557">
        <f>PROFORMA!AT311</f>
        <v>0</v>
      </c>
      <c r="AT201" s="582">
        <f t="shared" si="235"/>
        <v>-604000</v>
      </c>
      <c r="AU201" s="532">
        <f t="shared" si="236"/>
        <v>-748000</v>
      </c>
      <c r="AV201" s="532">
        <f t="shared" si="237"/>
        <v>6548000</v>
      </c>
      <c r="AW201" s="532"/>
      <c r="AX201" s="532">
        <f t="shared" si="238"/>
        <v>6548000</v>
      </c>
    </row>
    <row r="202" spans="1:50">
      <c r="A202" s="529">
        <v>199</v>
      </c>
      <c r="B202" s="794"/>
      <c r="C202" s="550" t="s">
        <v>255</v>
      </c>
      <c r="D202" s="551">
        <v>353</v>
      </c>
      <c r="E202" s="557">
        <f>PROFORMA!F312</f>
        <v>468000</v>
      </c>
      <c r="F202" s="557">
        <f>PROFORMA!G312</f>
        <v>0</v>
      </c>
      <c r="G202" s="557">
        <f>PROFORMA!H312</f>
        <v>0</v>
      </c>
      <c r="H202" s="557">
        <f>PROFORMA!I312</f>
        <v>0</v>
      </c>
      <c r="I202" s="557">
        <f>PROFORMA!J312</f>
        <v>0</v>
      </c>
      <c r="J202" s="557">
        <f>PROFORMA!K312</f>
        <v>0</v>
      </c>
      <c r="K202" s="557">
        <f>PROFORMA!L312</f>
        <v>0</v>
      </c>
      <c r="L202" s="557">
        <f>PROFORMA!M312</f>
        <v>0</v>
      </c>
      <c r="M202" s="557">
        <f>PROFORMA!N312</f>
        <v>0</v>
      </c>
      <c r="N202" s="557">
        <f>PROFORMA!O312</f>
        <v>0</v>
      </c>
      <c r="O202" s="557">
        <f>PROFORMA!P312</f>
        <v>0</v>
      </c>
      <c r="P202" s="557">
        <f>PROFORMA!Q312</f>
        <v>0</v>
      </c>
      <c r="Q202" s="557">
        <f>PROFORMA!R312</f>
        <v>0</v>
      </c>
      <c r="R202" s="557">
        <f>PROFORMA!S312</f>
        <v>0</v>
      </c>
      <c r="S202" s="557">
        <f>PROFORMA!T312</f>
        <v>0</v>
      </c>
      <c r="T202" s="557">
        <f>PROFORMA!U312</f>
        <v>0</v>
      </c>
      <c r="U202" s="557">
        <f>PROFORMA!V312</f>
        <v>0</v>
      </c>
      <c r="V202" s="557">
        <f>PROFORMA!W312</f>
        <v>0</v>
      </c>
      <c r="W202" s="557">
        <f>PROFORMA!X312</f>
        <v>-9000</v>
      </c>
      <c r="X202" s="579">
        <f t="shared" si="228"/>
        <v>-9000</v>
      </c>
      <c r="Y202" s="557">
        <f>PROFORMA!Y312</f>
        <v>0</v>
      </c>
      <c r="Z202" s="557">
        <f>PROFORMA!Z312</f>
        <v>0</v>
      </c>
      <c r="AA202" s="557">
        <f>PROFORMA!AA312</f>
        <v>0</v>
      </c>
      <c r="AB202" s="557">
        <f>PROFORMA!AB312</f>
        <v>0</v>
      </c>
      <c r="AC202" s="557">
        <f>PROFORMA!AC312</f>
        <v>0</v>
      </c>
      <c r="AD202" s="557">
        <f>PROFORMA!AD312</f>
        <v>0</v>
      </c>
      <c r="AE202" s="557">
        <f>PROFORMA!AE312</f>
        <v>0</v>
      </c>
      <c r="AF202" s="557">
        <f>PROFORMA!AG312</f>
        <v>0</v>
      </c>
      <c r="AG202" s="557">
        <f>PROFORMA!AH312</f>
        <v>0</v>
      </c>
      <c r="AH202" s="557">
        <f>PROFORMA!AI312</f>
        <v>0</v>
      </c>
      <c r="AI202" s="557">
        <f>PROFORMA!AJ312</f>
        <v>0</v>
      </c>
      <c r="AJ202" s="557">
        <f>PROFORMA!AK312</f>
        <v>0</v>
      </c>
      <c r="AK202" s="557">
        <f>PROFORMA!AL312</f>
        <v>0</v>
      </c>
      <c r="AL202" s="557">
        <f>PROFORMA!AM312</f>
        <v>-9000</v>
      </c>
      <c r="AM202" s="557">
        <f>PROFORMA!AN312</f>
        <v>0</v>
      </c>
      <c r="AN202" s="557">
        <f>PROFORMA!AO312</f>
        <v>-19000</v>
      </c>
      <c r="AO202" s="557">
        <f>PROFORMA!AP312</f>
        <v>0</v>
      </c>
      <c r="AP202" s="557">
        <f>PROFORMA!AQ312</f>
        <v>0</v>
      </c>
      <c r="AQ202" s="557">
        <f>PROFORMA!AR312</f>
        <v>0</v>
      </c>
      <c r="AR202" s="557">
        <f>PROFORMA!AS312</f>
        <v>-10000</v>
      </c>
      <c r="AS202" s="557">
        <f>PROFORMA!AT312</f>
        <v>0</v>
      </c>
      <c r="AT202" s="582">
        <f t="shared" si="235"/>
        <v>-38000</v>
      </c>
      <c r="AU202" s="532">
        <f t="shared" si="236"/>
        <v>-47000</v>
      </c>
      <c r="AV202" s="532">
        <f t="shared" si="237"/>
        <v>421000</v>
      </c>
      <c r="AW202" s="532"/>
      <c r="AX202" s="532">
        <f t="shared" si="238"/>
        <v>421000</v>
      </c>
    </row>
    <row r="203" spans="1:50">
      <c r="A203" s="529">
        <v>200</v>
      </c>
      <c r="B203" s="794"/>
      <c r="C203" s="550" t="s">
        <v>256</v>
      </c>
      <c r="D203" s="551">
        <v>354</v>
      </c>
      <c r="E203" s="557">
        <f>PROFORMA!F313</f>
        <v>2978000</v>
      </c>
      <c r="F203" s="557">
        <f>PROFORMA!G313</f>
        <v>0</v>
      </c>
      <c r="G203" s="557">
        <f>PROFORMA!H313</f>
        <v>0</v>
      </c>
      <c r="H203" s="557">
        <f>PROFORMA!I313</f>
        <v>0</v>
      </c>
      <c r="I203" s="557">
        <f>PROFORMA!J313</f>
        <v>0</v>
      </c>
      <c r="J203" s="557">
        <f>PROFORMA!K313</f>
        <v>0</v>
      </c>
      <c r="K203" s="557">
        <f>PROFORMA!L313</f>
        <v>0</v>
      </c>
      <c r="L203" s="557">
        <f>PROFORMA!M313</f>
        <v>0</v>
      </c>
      <c r="M203" s="557">
        <f>PROFORMA!N313</f>
        <v>0</v>
      </c>
      <c r="N203" s="557">
        <f>PROFORMA!O313</f>
        <v>0</v>
      </c>
      <c r="O203" s="557">
        <f>PROFORMA!P313</f>
        <v>0</v>
      </c>
      <c r="P203" s="557">
        <f>PROFORMA!Q313</f>
        <v>0</v>
      </c>
      <c r="Q203" s="557">
        <f>PROFORMA!R313</f>
        <v>0</v>
      </c>
      <c r="R203" s="557">
        <f>PROFORMA!S313</f>
        <v>0</v>
      </c>
      <c r="S203" s="557">
        <f>PROFORMA!T313</f>
        <v>0</v>
      </c>
      <c r="T203" s="557">
        <f>PROFORMA!U313</f>
        <v>0</v>
      </c>
      <c r="U203" s="557">
        <f>PROFORMA!V313</f>
        <v>0</v>
      </c>
      <c r="V203" s="557">
        <f>PROFORMA!W313</f>
        <v>0</v>
      </c>
      <c r="W203" s="557">
        <f>PROFORMA!X313</f>
        <v>-58000</v>
      </c>
      <c r="X203" s="579">
        <f t="shared" si="228"/>
        <v>-58000</v>
      </c>
      <c r="Y203" s="557">
        <f>PROFORMA!Y313</f>
        <v>0</v>
      </c>
      <c r="Z203" s="557">
        <f>PROFORMA!Z313</f>
        <v>0</v>
      </c>
      <c r="AA203" s="557">
        <f>PROFORMA!AA313</f>
        <v>0</v>
      </c>
      <c r="AB203" s="557">
        <f>PROFORMA!AB313</f>
        <v>0</v>
      </c>
      <c r="AC203" s="557">
        <f>PROFORMA!AC313</f>
        <v>0</v>
      </c>
      <c r="AD203" s="557">
        <f>PROFORMA!AD313</f>
        <v>0</v>
      </c>
      <c r="AE203" s="557">
        <f>PROFORMA!AE313</f>
        <v>0</v>
      </c>
      <c r="AF203" s="557">
        <f>PROFORMA!AG313</f>
        <v>0</v>
      </c>
      <c r="AG203" s="557">
        <f>PROFORMA!AH313</f>
        <v>0</v>
      </c>
      <c r="AH203" s="557">
        <f>PROFORMA!AI313</f>
        <v>0</v>
      </c>
      <c r="AI203" s="557">
        <f>PROFORMA!AJ313</f>
        <v>0</v>
      </c>
      <c r="AJ203" s="557">
        <f>PROFORMA!AK313</f>
        <v>0</v>
      </c>
      <c r="AK203" s="557">
        <f>PROFORMA!AL313</f>
        <v>0</v>
      </c>
      <c r="AL203" s="557">
        <f>PROFORMA!AM313</f>
        <v>-60000</v>
      </c>
      <c r="AM203" s="557">
        <f>PROFORMA!AN313</f>
        <v>0</v>
      </c>
      <c r="AN203" s="557">
        <f>PROFORMA!AO313</f>
        <v>-123000</v>
      </c>
      <c r="AO203" s="557">
        <f>PROFORMA!AP313</f>
        <v>0</v>
      </c>
      <c r="AP203" s="557">
        <f>PROFORMA!AQ313</f>
        <v>0</v>
      </c>
      <c r="AQ203" s="557">
        <f>PROFORMA!AR313</f>
        <v>0</v>
      </c>
      <c r="AR203" s="557">
        <f>PROFORMA!AS313</f>
        <v>-63000</v>
      </c>
      <c r="AS203" s="557">
        <f>PROFORMA!AT313</f>
        <v>0</v>
      </c>
      <c r="AT203" s="582">
        <f t="shared" si="235"/>
        <v>-246000</v>
      </c>
      <c r="AU203" s="532">
        <f t="shared" si="236"/>
        <v>-304000</v>
      </c>
      <c r="AV203" s="532">
        <f t="shared" si="237"/>
        <v>2674000</v>
      </c>
      <c r="AW203" s="532"/>
      <c r="AX203" s="532">
        <f t="shared" si="238"/>
        <v>2674000</v>
      </c>
    </row>
    <row r="204" spans="1:50">
      <c r="A204" s="529">
        <v>201</v>
      </c>
      <c r="B204" s="794"/>
      <c r="C204" s="550" t="s">
        <v>257</v>
      </c>
      <c r="D204" s="551">
        <v>355</v>
      </c>
      <c r="E204" s="557">
        <f>PROFORMA!F314</f>
        <v>662000</v>
      </c>
      <c r="F204" s="557">
        <f>PROFORMA!G314</f>
        <v>0</v>
      </c>
      <c r="G204" s="557">
        <f>PROFORMA!H314</f>
        <v>0</v>
      </c>
      <c r="H204" s="557">
        <f>PROFORMA!I314</f>
        <v>0</v>
      </c>
      <c r="I204" s="557">
        <f>PROFORMA!J314</f>
        <v>0</v>
      </c>
      <c r="J204" s="557">
        <f>PROFORMA!K314</f>
        <v>0</v>
      </c>
      <c r="K204" s="557">
        <f>PROFORMA!L314</f>
        <v>0</v>
      </c>
      <c r="L204" s="557">
        <f>PROFORMA!M314</f>
        <v>0</v>
      </c>
      <c r="M204" s="557">
        <f>PROFORMA!N314</f>
        <v>0</v>
      </c>
      <c r="N204" s="557">
        <f>PROFORMA!O314</f>
        <v>0</v>
      </c>
      <c r="O204" s="557">
        <f>PROFORMA!P314</f>
        <v>0</v>
      </c>
      <c r="P204" s="557">
        <f>PROFORMA!Q314</f>
        <v>0</v>
      </c>
      <c r="Q204" s="557">
        <f>PROFORMA!R314</f>
        <v>0</v>
      </c>
      <c r="R204" s="557">
        <f>PROFORMA!S314</f>
        <v>0</v>
      </c>
      <c r="S204" s="557">
        <f>PROFORMA!T314</f>
        <v>0</v>
      </c>
      <c r="T204" s="557">
        <f>PROFORMA!U314</f>
        <v>0</v>
      </c>
      <c r="U204" s="557">
        <f>PROFORMA!V314</f>
        <v>0</v>
      </c>
      <c r="V204" s="557">
        <f>PROFORMA!W314</f>
        <v>0</v>
      </c>
      <c r="W204" s="557">
        <f>PROFORMA!X314</f>
        <v>-13000</v>
      </c>
      <c r="X204" s="579">
        <f t="shared" si="228"/>
        <v>-13000</v>
      </c>
      <c r="Y204" s="557">
        <f>PROFORMA!Y314</f>
        <v>0</v>
      </c>
      <c r="Z204" s="557">
        <f>PROFORMA!Z314</f>
        <v>0</v>
      </c>
      <c r="AA204" s="557">
        <f>PROFORMA!AA314</f>
        <v>0</v>
      </c>
      <c r="AB204" s="557">
        <f>PROFORMA!AB314</f>
        <v>0</v>
      </c>
      <c r="AC204" s="557">
        <f>PROFORMA!AC314</f>
        <v>0</v>
      </c>
      <c r="AD204" s="557">
        <f>PROFORMA!AD314</f>
        <v>0</v>
      </c>
      <c r="AE204" s="557">
        <f>PROFORMA!AE314</f>
        <v>0</v>
      </c>
      <c r="AF204" s="557">
        <f>PROFORMA!AG314</f>
        <v>0</v>
      </c>
      <c r="AG204" s="557">
        <f>PROFORMA!AH314</f>
        <v>0</v>
      </c>
      <c r="AH204" s="557">
        <f>PROFORMA!AI314</f>
        <v>0</v>
      </c>
      <c r="AI204" s="557">
        <f>PROFORMA!AJ314</f>
        <v>0</v>
      </c>
      <c r="AJ204" s="557">
        <f>PROFORMA!AK314</f>
        <v>0</v>
      </c>
      <c r="AK204" s="557">
        <f>PROFORMA!AL314</f>
        <v>0</v>
      </c>
      <c r="AL204" s="557">
        <f>PROFORMA!AM314</f>
        <v>-13000</v>
      </c>
      <c r="AM204" s="557">
        <f>PROFORMA!AN314</f>
        <v>0</v>
      </c>
      <c r="AN204" s="557">
        <f>PROFORMA!AO314</f>
        <v>-27000</v>
      </c>
      <c r="AO204" s="557">
        <f>PROFORMA!AP314</f>
        <v>0</v>
      </c>
      <c r="AP204" s="557">
        <f>PROFORMA!AQ314</f>
        <v>0</v>
      </c>
      <c r="AQ204" s="557">
        <f>PROFORMA!AR314</f>
        <v>0</v>
      </c>
      <c r="AR204" s="557">
        <f>PROFORMA!AS314</f>
        <v>-14000</v>
      </c>
      <c r="AS204" s="557">
        <f>PROFORMA!AT314</f>
        <v>0</v>
      </c>
      <c r="AT204" s="582">
        <f t="shared" si="235"/>
        <v>-54000</v>
      </c>
      <c r="AU204" s="532">
        <f t="shared" si="236"/>
        <v>-67000</v>
      </c>
      <c r="AV204" s="532">
        <f t="shared" si="237"/>
        <v>595000</v>
      </c>
      <c r="AW204" s="532"/>
      <c r="AX204" s="532">
        <f t="shared" si="238"/>
        <v>595000</v>
      </c>
    </row>
    <row r="205" spans="1:50">
      <c r="A205" s="529">
        <v>202</v>
      </c>
      <c r="B205" s="794"/>
      <c r="C205" s="550" t="s">
        <v>258</v>
      </c>
      <c r="D205" s="551">
        <v>356</v>
      </c>
      <c r="E205" s="557">
        <f>PROFORMA!F315</f>
        <v>278000</v>
      </c>
      <c r="F205" s="557">
        <f>PROFORMA!G315</f>
        <v>0</v>
      </c>
      <c r="G205" s="557">
        <f>PROFORMA!H315</f>
        <v>0</v>
      </c>
      <c r="H205" s="557">
        <f>PROFORMA!I315</f>
        <v>0</v>
      </c>
      <c r="I205" s="557">
        <f>PROFORMA!J315</f>
        <v>0</v>
      </c>
      <c r="J205" s="557">
        <f>PROFORMA!K315</f>
        <v>0</v>
      </c>
      <c r="K205" s="557">
        <f>PROFORMA!L315</f>
        <v>0</v>
      </c>
      <c r="L205" s="557">
        <f>PROFORMA!M315</f>
        <v>0</v>
      </c>
      <c r="M205" s="557">
        <f>PROFORMA!N315</f>
        <v>0</v>
      </c>
      <c r="N205" s="557">
        <f>PROFORMA!O315</f>
        <v>0</v>
      </c>
      <c r="O205" s="557">
        <f>PROFORMA!P315</f>
        <v>0</v>
      </c>
      <c r="P205" s="557">
        <f>PROFORMA!Q315</f>
        <v>0</v>
      </c>
      <c r="Q205" s="557">
        <f>PROFORMA!R315</f>
        <v>0</v>
      </c>
      <c r="R205" s="557">
        <f>PROFORMA!S315</f>
        <v>0</v>
      </c>
      <c r="S205" s="557">
        <f>PROFORMA!T315</f>
        <v>0</v>
      </c>
      <c r="T205" s="557">
        <f>PROFORMA!U315</f>
        <v>0</v>
      </c>
      <c r="U205" s="557">
        <f>PROFORMA!V315</f>
        <v>0</v>
      </c>
      <c r="V205" s="557">
        <f>PROFORMA!W315</f>
        <v>0</v>
      </c>
      <c r="W205" s="557">
        <f>PROFORMA!X315</f>
        <v>-5000</v>
      </c>
      <c r="X205" s="579">
        <f t="shared" si="228"/>
        <v>-5000</v>
      </c>
      <c r="Y205" s="557">
        <f>PROFORMA!Y315</f>
        <v>0</v>
      </c>
      <c r="Z205" s="557">
        <f>PROFORMA!Z315</f>
        <v>0</v>
      </c>
      <c r="AA205" s="557">
        <f>PROFORMA!AA315</f>
        <v>0</v>
      </c>
      <c r="AB205" s="557">
        <f>PROFORMA!AB315</f>
        <v>0</v>
      </c>
      <c r="AC205" s="557">
        <f>PROFORMA!AC315</f>
        <v>0</v>
      </c>
      <c r="AD205" s="557">
        <f>PROFORMA!AD315</f>
        <v>0</v>
      </c>
      <c r="AE205" s="557">
        <f>PROFORMA!AE315</f>
        <v>0</v>
      </c>
      <c r="AF205" s="557">
        <f>PROFORMA!AG315</f>
        <v>0</v>
      </c>
      <c r="AG205" s="557">
        <f>PROFORMA!AH315</f>
        <v>0</v>
      </c>
      <c r="AH205" s="557">
        <f>PROFORMA!AI315</f>
        <v>0</v>
      </c>
      <c r="AI205" s="557">
        <f>PROFORMA!AJ315</f>
        <v>0</v>
      </c>
      <c r="AJ205" s="557">
        <f>PROFORMA!AK315</f>
        <v>0</v>
      </c>
      <c r="AK205" s="557">
        <f>PROFORMA!AL315</f>
        <v>0</v>
      </c>
      <c r="AL205" s="557">
        <f>PROFORMA!AM315</f>
        <v>-6000</v>
      </c>
      <c r="AM205" s="557">
        <f>PROFORMA!AN315</f>
        <v>0</v>
      </c>
      <c r="AN205" s="557">
        <f>PROFORMA!AO315</f>
        <v>-11000</v>
      </c>
      <c r="AO205" s="557">
        <f>PROFORMA!AP315</f>
        <v>0</v>
      </c>
      <c r="AP205" s="557">
        <f>PROFORMA!AQ315</f>
        <v>0</v>
      </c>
      <c r="AQ205" s="557">
        <f>PROFORMA!AR315</f>
        <v>0</v>
      </c>
      <c r="AR205" s="557">
        <f>PROFORMA!AS315</f>
        <v>-6000</v>
      </c>
      <c r="AS205" s="557">
        <f>PROFORMA!AT315</f>
        <v>0</v>
      </c>
      <c r="AT205" s="582">
        <f t="shared" si="235"/>
        <v>-23000</v>
      </c>
      <c r="AU205" s="532">
        <f t="shared" si="236"/>
        <v>-28000</v>
      </c>
      <c r="AV205" s="532">
        <f t="shared" si="237"/>
        <v>250000</v>
      </c>
      <c r="AW205" s="532"/>
      <c r="AX205" s="532">
        <f t="shared" si="238"/>
        <v>250000</v>
      </c>
    </row>
    <row r="206" spans="1:50">
      <c r="A206" s="529">
        <v>203</v>
      </c>
      <c r="B206" s="794"/>
      <c r="C206" s="550" t="s">
        <v>259</v>
      </c>
      <c r="D206" s="551">
        <v>357</v>
      </c>
      <c r="E206" s="577">
        <f>PROFORMA!F316</f>
        <v>746000</v>
      </c>
      <c r="F206" s="577">
        <f>PROFORMA!G316</f>
        <v>0</v>
      </c>
      <c r="G206" s="577">
        <f>PROFORMA!H316</f>
        <v>0</v>
      </c>
      <c r="H206" s="577">
        <f>PROFORMA!I316</f>
        <v>0</v>
      </c>
      <c r="I206" s="577">
        <f>PROFORMA!J316</f>
        <v>0</v>
      </c>
      <c r="J206" s="577">
        <f>PROFORMA!K316</f>
        <v>0</v>
      </c>
      <c r="K206" s="577">
        <f>PROFORMA!L316</f>
        <v>0</v>
      </c>
      <c r="L206" s="577">
        <f>PROFORMA!M316</f>
        <v>0</v>
      </c>
      <c r="M206" s="577">
        <f>PROFORMA!N316</f>
        <v>0</v>
      </c>
      <c r="N206" s="577">
        <f>PROFORMA!O316</f>
        <v>0</v>
      </c>
      <c r="O206" s="577">
        <f>PROFORMA!P316</f>
        <v>0</v>
      </c>
      <c r="P206" s="577">
        <f>PROFORMA!Q316</f>
        <v>0</v>
      </c>
      <c r="Q206" s="577">
        <f>PROFORMA!R316</f>
        <v>0</v>
      </c>
      <c r="R206" s="577">
        <f>PROFORMA!S316</f>
        <v>0</v>
      </c>
      <c r="S206" s="577">
        <f>PROFORMA!T316</f>
        <v>0</v>
      </c>
      <c r="T206" s="577">
        <f>PROFORMA!U316</f>
        <v>0</v>
      </c>
      <c r="U206" s="577">
        <f>PROFORMA!V316</f>
        <v>0</v>
      </c>
      <c r="V206" s="577">
        <f>PROFORMA!W316</f>
        <v>0</v>
      </c>
      <c r="W206" s="577">
        <f>PROFORMA!X316</f>
        <v>-15000</v>
      </c>
      <c r="X206" s="580">
        <f t="shared" si="228"/>
        <v>-15000</v>
      </c>
      <c r="Y206" s="577">
        <f>PROFORMA!Y316</f>
        <v>0</v>
      </c>
      <c r="Z206" s="577">
        <f>PROFORMA!Z316</f>
        <v>0</v>
      </c>
      <c r="AA206" s="577">
        <f>PROFORMA!AA316</f>
        <v>0</v>
      </c>
      <c r="AB206" s="577">
        <f>PROFORMA!AB316</f>
        <v>0</v>
      </c>
      <c r="AC206" s="577">
        <f>PROFORMA!AC316</f>
        <v>0</v>
      </c>
      <c r="AD206" s="577">
        <f>PROFORMA!AD316</f>
        <v>0</v>
      </c>
      <c r="AE206" s="577">
        <f>PROFORMA!AE316</f>
        <v>0</v>
      </c>
      <c r="AF206" s="577">
        <f>PROFORMA!AG316</f>
        <v>0</v>
      </c>
      <c r="AG206" s="577">
        <f>PROFORMA!AH316</f>
        <v>0</v>
      </c>
      <c r="AH206" s="577">
        <f>PROFORMA!AI316</f>
        <v>0</v>
      </c>
      <c r="AI206" s="577">
        <f>PROFORMA!AJ316</f>
        <v>0</v>
      </c>
      <c r="AJ206" s="577">
        <f>PROFORMA!AK316</f>
        <v>0</v>
      </c>
      <c r="AK206" s="577">
        <f>PROFORMA!AL316</f>
        <v>0</v>
      </c>
      <c r="AL206" s="577">
        <f>PROFORMA!AM316</f>
        <v>-15000</v>
      </c>
      <c r="AM206" s="577">
        <f>PROFORMA!AN316</f>
        <v>0</v>
      </c>
      <c r="AN206" s="577">
        <f>PROFORMA!AO316</f>
        <v>-31000</v>
      </c>
      <c r="AO206" s="577">
        <f>PROFORMA!AP316</f>
        <v>0</v>
      </c>
      <c r="AP206" s="577">
        <f>PROFORMA!AQ316</f>
        <v>0</v>
      </c>
      <c r="AQ206" s="577">
        <f>PROFORMA!AR316</f>
        <v>0</v>
      </c>
      <c r="AR206" s="577">
        <f>PROFORMA!AS316</f>
        <v>-16000</v>
      </c>
      <c r="AS206" s="577">
        <f>PROFORMA!AT316</f>
        <v>0</v>
      </c>
      <c r="AT206" s="583">
        <f t="shared" si="235"/>
        <v>-62000</v>
      </c>
      <c r="AU206" s="581">
        <f t="shared" si="236"/>
        <v>-77000</v>
      </c>
      <c r="AV206" s="581">
        <f t="shared" si="237"/>
        <v>669000</v>
      </c>
      <c r="AW206" s="581"/>
      <c r="AX206" s="581">
        <f t="shared" si="238"/>
        <v>669000</v>
      </c>
    </row>
    <row r="207" spans="1:50">
      <c r="A207" s="529">
        <v>204</v>
      </c>
      <c r="B207" s="500"/>
      <c r="C207" s="525" t="s">
        <v>631</v>
      </c>
      <c r="D207" s="525"/>
      <c r="E207" s="539">
        <f>SUM(E199:E206)</f>
        <v>13150000</v>
      </c>
      <c r="F207" s="539">
        <f t="shared" ref="F207" si="239">SUM(F199:F206)</f>
        <v>0</v>
      </c>
      <c r="G207" s="539">
        <f t="shared" ref="G207:W207" si="240">SUM(G199:G206)</f>
        <v>0</v>
      </c>
      <c r="H207" s="539">
        <f t="shared" si="240"/>
        <v>0</v>
      </c>
      <c r="I207" s="539">
        <f t="shared" si="240"/>
        <v>0</v>
      </c>
      <c r="J207" s="539">
        <f t="shared" si="240"/>
        <v>0</v>
      </c>
      <c r="K207" s="539">
        <f t="shared" si="240"/>
        <v>0</v>
      </c>
      <c r="L207" s="539">
        <f t="shared" si="240"/>
        <v>0</v>
      </c>
      <c r="M207" s="539">
        <f t="shared" si="240"/>
        <v>0</v>
      </c>
      <c r="N207" s="539">
        <f t="shared" si="240"/>
        <v>0</v>
      </c>
      <c r="O207" s="539">
        <f t="shared" si="240"/>
        <v>0</v>
      </c>
      <c r="P207" s="539">
        <f t="shared" si="240"/>
        <v>0</v>
      </c>
      <c r="Q207" s="539">
        <f t="shared" si="240"/>
        <v>0</v>
      </c>
      <c r="R207" s="539">
        <f t="shared" si="240"/>
        <v>0</v>
      </c>
      <c r="S207" s="539">
        <f t="shared" si="240"/>
        <v>0</v>
      </c>
      <c r="T207" s="539">
        <f t="shared" si="240"/>
        <v>0</v>
      </c>
      <c r="U207" s="539">
        <f t="shared" si="240"/>
        <v>0</v>
      </c>
      <c r="V207" s="539">
        <f t="shared" si="240"/>
        <v>0</v>
      </c>
      <c r="W207" s="539">
        <f t="shared" si="240"/>
        <v>-258000</v>
      </c>
      <c r="X207" s="579">
        <f t="shared" si="228"/>
        <v>-258000</v>
      </c>
      <c r="Y207" s="539">
        <f t="shared" ref="Y207:AX207" si="241">SUM(Y199:Y206)</f>
        <v>0</v>
      </c>
      <c r="Z207" s="539">
        <f t="shared" ref="Z207:AF207" si="242">SUM(Z199:Z206)</f>
        <v>0</v>
      </c>
      <c r="AA207" s="539">
        <f t="shared" si="242"/>
        <v>0</v>
      </c>
      <c r="AB207" s="539">
        <f t="shared" si="242"/>
        <v>0</v>
      </c>
      <c r="AC207" s="539">
        <f t="shared" si="242"/>
        <v>0</v>
      </c>
      <c r="AD207" s="539">
        <f t="shared" si="242"/>
        <v>0</v>
      </c>
      <c r="AE207" s="539">
        <f t="shared" si="242"/>
        <v>0</v>
      </c>
      <c r="AF207" s="539">
        <f t="shared" si="242"/>
        <v>0</v>
      </c>
      <c r="AG207" s="539">
        <f t="shared" ref="AG207:AQ207" si="243">SUM(AG199:AG206)</f>
        <v>0</v>
      </c>
      <c r="AH207" s="539">
        <f t="shared" si="243"/>
        <v>0</v>
      </c>
      <c r="AI207" s="539">
        <f t="shared" si="243"/>
        <v>0</v>
      </c>
      <c r="AJ207" s="539">
        <f t="shared" si="243"/>
        <v>0</v>
      </c>
      <c r="AK207" s="539">
        <f t="shared" si="243"/>
        <v>0</v>
      </c>
      <c r="AL207" s="539">
        <f t="shared" si="243"/>
        <v>-264000</v>
      </c>
      <c r="AM207" s="539">
        <f t="shared" si="243"/>
        <v>0</v>
      </c>
      <c r="AN207" s="539">
        <f t="shared" si="243"/>
        <v>-542000</v>
      </c>
      <c r="AO207" s="539">
        <f t="shared" si="243"/>
        <v>0</v>
      </c>
      <c r="AP207" s="539">
        <f t="shared" si="243"/>
        <v>0</v>
      </c>
      <c r="AQ207" s="539">
        <f t="shared" si="243"/>
        <v>0</v>
      </c>
      <c r="AR207" s="539">
        <f t="shared" ref="AR207:AS207" si="244">SUM(AR199:AR206)</f>
        <v>-280000</v>
      </c>
      <c r="AS207" s="539">
        <f t="shared" si="244"/>
        <v>0</v>
      </c>
      <c r="AT207" s="539">
        <f t="shared" si="241"/>
        <v>-1086000</v>
      </c>
      <c r="AU207" s="539">
        <f t="shared" si="241"/>
        <v>-1344000</v>
      </c>
      <c r="AV207" s="539">
        <f t="shared" si="241"/>
        <v>11806000</v>
      </c>
      <c r="AW207" s="539">
        <f t="shared" si="241"/>
        <v>0</v>
      </c>
      <c r="AX207" s="539">
        <f t="shared" si="241"/>
        <v>11806000</v>
      </c>
    </row>
    <row r="208" spans="1:50">
      <c r="A208" s="529">
        <v>205</v>
      </c>
      <c r="B208" s="794" t="s">
        <v>1165</v>
      </c>
      <c r="C208" s="550" t="s">
        <v>252</v>
      </c>
      <c r="D208" s="551">
        <v>374</v>
      </c>
      <c r="E208" s="557">
        <f>PROFORMA!F320</f>
        <v>45000</v>
      </c>
      <c r="F208" s="557">
        <f>PROFORMA!G320</f>
        <v>0</v>
      </c>
      <c r="G208" s="557">
        <f>PROFORMA!H320</f>
        <v>0</v>
      </c>
      <c r="H208" s="557">
        <f>PROFORMA!I320</f>
        <v>0</v>
      </c>
      <c r="I208" s="557">
        <f>PROFORMA!J320</f>
        <v>0</v>
      </c>
      <c r="J208" s="557">
        <f>PROFORMA!K320</f>
        <v>0</v>
      </c>
      <c r="K208" s="557">
        <f>PROFORMA!L320</f>
        <v>0</v>
      </c>
      <c r="L208" s="557">
        <f>PROFORMA!M320</f>
        <v>0</v>
      </c>
      <c r="M208" s="557">
        <f>PROFORMA!N320</f>
        <v>0</v>
      </c>
      <c r="N208" s="557">
        <f>PROFORMA!O320</f>
        <v>0</v>
      </c>
      <c r="O208" s="557">
        <f>PROFORMA!P320</f>
        <v>0</v>
      </c>
      <c r="P208" s="557">
        <f>PROFORMA!Q320</f>
        <v>0</v>
      </c>
      <c r="Q208" s="557">
        <f>PROFORMA!R320</f>
        <v>0</v>
      </c>
      <c r="R208" s="557">
        <f>PROFORMA!S320</f>
        <v>0</v>
      </c>
      <c r="S208" s="557">
        <f>PROFORMA!T320</f>
        <v>0</v>
      </c>
      <c r="T208" s="557">
        <f>PROFORMA!U320</f>
        <v>0</v>
      </c>
      <c r="U208" s="557">
        <f>PROFORMA!V320</f>
        <v>0</v>
      </c>
      <c r="V208" s="557">
        <f>PROFORMA!W320</f>
        <v>0</v>
      </c>
      <c r="W208" s="557">
        <f>PROFORMA!X320</f>
        <v>-2000</v>
      </c>
      <c r="X208" s="579">
        <f t="shared" si="228"/>
        <v>-2000</v>
      </c>
      <c r="Y208" s="557">
        <f>PROFORMA!Y320</f>
        <v>0</v>
      </c>
      <c r="Z208" s="557">
        <f>PROFORMA!Z320</f>
        <v>0</v>
      </c>
      <c r="AA208" s="557">
        <f>PROFORMA!AA320</f>
        <v>0</v>
      </c>
      <c r="AB208" s="557">
        <f>PROFORMA!AB320</f>
        <v>0</v>
      </c>
      <c r="AC208" s="557">
        <f>PROFORMA!AC320</f>
        <v>0</v>
      </c>
      <c r="AD208" s="557">
        <f>PROFORMA!AD320</f>
        <v>0</v>
      </c>
      <c r="AE208" s="557">
        <f>PROFORMA!AE320</f>
        <v>0</v>
      </c>
      <c r="AF208" s="557">
        <f>PROFORMA!AG320</f>
        <v>0</v>
      </c>
      <c r="AG208" s="557">
        <f>PROFORMA!AH320</f>
        <v>0</v>
      </c>
      <c r="AH208" s="557">
        <f>PROFORMA!AI320</f>
        <v>0</v>
      </c>
      <c r="AI208" s="557">
        <f>PROFORMA!AJ320</f>
        <v>0</v>
      </c>
      <c r="AJ208" s="557">
        <f>PROFORMA!AK320</f>
        <v>0</v>
      </c>
      <c r="AK208" s="557">
        <f>PROFORMA!AL320</f>
        <v>0</v>
      </c>
      <c r="AL208" s="557">
        <f>PROFORMA!AM320</f>
        <v>-2000</v>
      </c>
      <c r="AM208" s="557">
        <f>PROFORMA!AN320</f>
        <v>0</v>
      </c>
      <c r="AN208" s="557">
        <f>PROFORMA!AO320</f>
        <v>-4000</v>
      </c>
      <c r="AO208" s="557">
        <f>PROFORMA!AP320</f>
        <v>0</v>
      </c>
      <c r="AP208" s="557">
        <f>PROFORMA!AQ320</f>
        <v>0</v>
      </c>
      <c r="AQ208" s="557">
        <f>PROFORMA!AR320</f>
        <v>0</v>
      </c>
      <c r="AR208" s="557">
        <f>PROFORMA!AS320</f>
        <v>-2000</v>
      </c>
      <c r="AS208" s="557">
        <f>PROFORMA!AT320</f>
        <v>0</v>
      </c>
      <c r="AT208" s="582">
        <f t="shared" ref="AT208:AT219" si="245">SUM(Y208:AS208)</f>
        <v>-8000</v>
      </c>
      <c r="AU208" s="532">
        <f t="shared" ref="AU208:AU219" si="246">X208+AT208</f>
        <v>-10000</v>
      </c>
      <c r="AV208" s="532">
        <f t="shared" ref="AV208:AV219" si="247">E208+AU208</f>
        <v>35000</v>
      </c>
      <c r="AW208" s="532"/>
      <c r="AX208" s="532">
        <f t="shared" si="238"/>
        <v>35000</v>
      </c>
    </row>
    <row r="209" spans="1:50">
      <c r="A209" s="529">
        <v>206</v>
      </c>
      <c r="B209" s="794"/>
      <c r="C209" s="550" t="s">
        <v>253</v>
      </c>
      <c r="D209" s="551">
        <v>375</v>
      </c>
      <c r="E209" s="557">
        <f>PROFORMA!F321</f>
        <v>205000</v>
      </c>
      <c r="F209" s="557">
        <f>PROFORMA!G321</f>
        <v>0</v>
      </c>
      <c r="G209" s="557">
        <f>PROFORMA!H321</f>
        <v>0</v>
      </c>
      <c r="H209" s="557">
        <f>PROFORMA!I321</f>
        <v>0</v>
      </c>
      <c r="I209" s="557">
        <f>PROFORMA!J321</f>
        <v>0</v>
      </c>
      <c r="J209" s="557">
        <f>PROFORMA!K321</f>
        <v>0</v>
      </c>
      <c r="K209" s="557">
        <f>PROFORMA!L321</f>
        <v>0</v>
      </c>
      <c r="L209" s="557">
        <f>PROFORMA!M321</f>
        <v>0</v>
      </c>
      <c r="M209" s="557">
        <f>PROFORMA!N321</f>
        <v>0</v>
      </c>
      <c r="N209" s="557">
        <f>PROFORMA!O321</f>
        <v>0</v>
      </c>
      <c r="O209" s="557">
        <f>PROFORMA!P321</f>
        <v>0</v>
      </c>
      <c r="P209" s="557">
        <f>PROFORMA!Q321</f>
        <v>0</v>
      </c>
      <c r="Q209" s="557">
        <f>PROFORMA!R321</f>
        <v>0</v>
      </c>
      <c r="R209" s="557">
        <f>PROFORMA!S321</f>
        <v>0</v>
      </c>
      <c r="S209" s="557">
        <f>PROFORMA!T321</f>
        <v>0</v>
      </c>
      <c r="T209" s="557">
        <f>PROFORMA!U321</f>
        <v>0</v>
      </c>
      <c r="U209" s="557">
        <f>PROFORMA!V321</f>
        <v>0</v>
      </c>
      <c r="V209" s="557">
        <f>PROFORMA!W321</f>
        <v>0</v>
      </c>
      <c r="W209" s="557">
        <f>PROFORMA!X321</f>
        <v>-8000</v>
      </c>
      <c r="X209" s="579">
        <f t="shared" si="228"/>
        <v>-8000</v>
      </c>
      <c r="Y209" s="557">
        <f>PROFORMA!Y321</f>
        <v>0</v>
      </c>
      <c r="Z209" s="557">
        <f>PROFORMA!Z321</f>
        <v>0</v>
      </c>
      <c r="AA209" s="557">
        <f>PROFORMA!AA321</f>
        <v>0</v>
      </c>
      <c r="AB209" s="557">
        <f>PROFORMA!AB321</f>
        <v>0</v>
      </c>
      <c r="AC209" s="557">
        <f>PROFORMA!AC321</f>
        <v>0</v>
      </c>
      <c r="AD209" s="557">
        <f>PROFORMA!AD321</f>
        <v>0</v>
      </c>
      <c r="AE209" s="557">
        <f>PROFORMA!AE321</f>
        <v>0</v>
      </c>
      <c r="AF209" s="557">
        <f>PROFORMA!AG321</f>
        <v>0</v>
      </c>
      <c r="AG209" s="557">
        <f>PROFORMA!AH321</f>
        <v>0</v>
      </c>
      <c r="AH209" s="557">
        <f>PROFORMA!AI321</f>
        <v>0</v>
      </c>
      <c r="AI209" s="557">
        <f>PROFORMA!AJ321</f>
        <v>0</v>
      </c>
      <c r="AJ209" s="557">
        <f>PROFORMA!AK321</f>
        <v>0</v>
      </c>
      <c r="AK209" s="557">
        <f>PROFORMA!AL321</f>
        <v>0</v>
      </c>
      <c r="AL209" s="557">
        <f>PROFORMA!AM321</f>
        <v>-8000</v>
      </c>
      <c r="AM209" s="557">
        <f>PROFORMA!AN321</f>
        <v>0</v>
      </c>
      <c r="AN209" s="557">
        <f>PROFORMA!AO321</f>
        <v>-16000</v>
      </c>
      <c r="AO209" s="557">
        <f>PROFORMA!AP321</f>
        <v>0</v>
      </c>
      <c r="AP209" s="557">
        <f>PROFORMA!AQ321</f>
        <v>0</v>
      </c>
      <c r="AQ209" s="557">
        <f>PROFORMA!AR321</f>
        <v>0</v>
      </c>
      <c r="AR209" s="557">
        <f>PROFORMA!AS321</f>
        <v>-9000</v>
      </c>
      <c r="AS209" s="557">
        <f>PROFORMA!AT321</f>
        <v>0</v>
      </c>
      <c r="AT209" s="582">
        <f t="shared" si="245"/>
        <v>-33000</v>
      </c>
      <c r="AU209" s="532">
        <f t="shared" si="246"/>
        <v>-41000</v>
      </c>
      <c r="AV209" s="532">
        <f t="shared" si="247"/>
        <v>164000</v>
      </c>
      <c r="AW209" s="532"/>
      <c r="AX209" s="532">
        <f t="shared" si="238"/>
        <v>164000</v>
      </c>
    </row>
    <row r="210" spans="1:50">
      <c r="A210" s="529">
        <v>207</v>
      </c>
      <c r="B210" s="794"/>
      <c r="C210" s="550" t="s">
        <v>260</v>
      </c>
      <c r="D210" s="551">
        <v>376</v>
      </c>
      <c r="E210" s="557">
        <f>PROFORMA!F322</f>
        <v>87617000</v>
      </c>
      <c r="F210" s="557">
        <f>PROFORMA!G322</f>
        <v>0</v>
      </c>
      <c r="G210" s="557">
        <f>PROFORMA!H322</f>
        <v>0</v>
      </c>
      <c r="H210" s="557">
        <f>PROFORMA!I322</f>
        <v>0</v>
      </c>
      <c r="I210" s="557">
        <f>PROFORMA!J322</f>
        <v>0</v>
      </c>
      <c r="J210" s="557">
        <f>PROFORMA!K322</f>
        <v>0</v>
      </c>
      <c r="K210" s="557">
        <f>PROFORMA!L322</f>
        <v>0</v>
      </c>
      <c r="L210" s="557">
        <f>PROFORMA!M322</f>
        <v>0</v>
      </c>
      <c r="M210" s="557">
        <f>PROFORMA!N322</f>
        <v>0</v>
      </c>
      <c r="N210" s="557">
        <f>PROFORMA!O322</f>
        <v>0</v>
      </c>
      <c r="O210" s="557">
        <f>PROFORMA!P322</f>
        <v>0</v>
      </c>
      <c r="P210" s="557">
        <f>PROFORMA!Q322</f>
        <v>0</v>
      </c>
      <c r="Q210" s="557">
        <f>PROFORMA!R322</f>
        <v>0</v>
      </c>
      <c r="R210" s="557">
        <f>PROFORMA!S322</f>
        <v>0</v>
      </c>
      <c r="S210" s="557">
        <f>PROFORMA!T322</f>
        <v>0</v>
      </c>
      <c r="T210" s="557">
        <f>PROFORMA!U322</f>
        <v>0</v>
      </c>
      <c r="U210" s="557">
        <f>PROFORMA!V322</f>
        <v>0</v>
      </c>
      <c r="V210" s="557">
        <f>PROFORMA!W322</f>
        <v>0</v>
      </c>
      <c r="W210" s="557">
        <f>PROFORMA!X322</f>
        <v>-3600000</v>
      </c>
      <c r="X210" s="579">
        <f t="shared" si="228"/>
        <v>-3600000</v>
      </c>
      <c r="Y210" s="557">
        <f>PROFORMA!Y322</f>
        <v>0</v>
      </c>
      <c r="Z210" s="557">
        <f>PROFORMA!Z322</f>
        <v>0</v>
      </c>
      <c r="AA210" s="557">
        <f>PROFORMA!AA322</f>
        <v>0</v>
      </c>
      <c r="AB210" s="557">
        <f>PROFORMA!AB322</f>
        <v>0</v>
      </c>
      <c r="AC210" s="557">
        <f>PROFORMA!AC322</f>
        <v>0</v>
      </c>
      <c r="AD210" s="557">
        <f>PROFORMA!AD322</f>
        <v>0</v>
      </c>
      <c r="AE210" s="557">
        <f>PROFORMA!AE322</f>
        <v>0</v>
      </c>
      <c r="AF210" s="557">
        <f>PROFORMA!AG322</f>
        <v>0</v>
      </c>
      <c r="AG210" s="557">
        <f>PROFORMA!AH322</f>
        <v>0</v>
      </c>
      <c r="AH210" s="557">
        <f>PROFORMA!AI322</f>
        <v>0</v>
      </c>
      <c r="AI210" s="557">
        <f>PROFORMA!AJ322</f>
        <v>0</v>
      </c>
      <c r="AJ210" s="557">
        <f>PROFORMA!AK322</f>
        <v>0</v>
      </c>
      <c r="AK210" s="557">
        <f>PROFORMA!AL322</f>
        <v>0</v>
      </c>
      <c r="AL210" s="557">
        <f>PROFORMA!AM322</f>
        <v>-3331000</v>
      </c>
      <c r="AM210" s="557">
        <f>PROFORMA!AN322</f>
        <v>0</v>
      </c>
      <c r="AN210" s="557">
        <f>PROFORMA!AO322</f>
        <v>-7018000</v>
      </c>
      <c r="AO210" s="557">
        <f>PROFORMA!AP322</f>
        <v>0</v>
      </c>
      <c r="AP210" s="557">
        <f>PROFORMA!AQ322</f>
        <v>0</v>
      </c>
      <c r="AQ210" s="557">
        <f>PROFORMA!AR322</f>
        <v>0</v>
      </c>
      <c r="AR210" s="557">
        <f>PROFORMA!AS322</f>
        <v>-3795000</v>
      </c>
      <c r="AS210" s="557">
        <f>PROFORMA!AT322</f>
        <v>0</v>
      </c>
      <c r="AT210" s="582">
        <f t="shared" si="245"/>
        <v>-14144000</v>
      </c>
      <c r="AU210" s="532">
        <f t="shared" si="246"/>
        <v>-17744000</v>
      </c>
      <c r="AV210" s="532">
        <f t="shared" si="247"/>
        <v>69873000</v>
      </c>
      <c r="AW210" s="532"/>
      <c r="AX210" s="532">
        <f t="shared" si="238"/>
        <v>69873000</v>
      </c>
    </row>
    <row r="211" spans="1:50">
      <c r="A211" s="529">
        <v>208</v>
      </c>
      <c r="B211" s="794"/>
      <c r="C211" s="550" t="s">
        <v>261</v>
      </c>
      <c r="D211" s="551">
        <v>378</v>
      </c>
      <c r="E211" s="557">
        <f>PROFORMA!F324</f>
        <v>1529000</v>
      </c>
      <c r="F211" s="557">
        <f>PROFORMA!G324</f>
        <v>0</v>
      </c>
      <c r="G211" s="557">
        <f>PROFORMA!H324</f>
        <v>0</v>
      </c>
      <c r="H211" s="557">
        <f>PROFORMA!I324</f>
        <v>0</v>
      </c>
      <c r="I211" s="557">
        <f>PROFORMA!J324</f>
        <v>0</v>
      </c>
      <c r="J211" s="557">
        <f>PROFORMA!K324</f>
        <v>0</v>
      </c>
      <c r="K211" s="557">
        <f>PROFORMA!L324</f>
        <v>0</v>
      </c>
      <c r="L211" s="557">
        <f>PROFORMA!M324</f>
        <v>0</v>
      </c>
      <c r="M211" s="557">
        <f>PROFORMA!N324</f>
        <v>0</v>
      </c>
      <c r="N211" s="557">
        <f>PROFORMA!O324</f>
        <v>0</v>
      </c>
      <c r="O211" s="557">
        <f>PROFORMA!P324</f>
        <v>0</v>
      </c>
      <c r="P211" s="557">
        <f>PROFORMA!Q324</f>
        <v>0</v>
      </c>
      <c r="Q211" s="557">
        <f>PROFORMA!R324</f>
        <v>0</v>
      </c>
      <c r="R211" s="557">
        <f>PROFORMA!S324</f>
        <v>0</v>
      </c>
      <c r="S211" s="557">
        <f>PROFORMA!T324</f>
        <v>0</v>
      </c>
      <c r="T211" s="557">
        <f>PROFORMA!U324</f>
        <v>0</v>
      </c>
      <c r="U211" s="557">
        <f>PROFORMA!V324</f>
        <v>0</v>
      </c>
      <c r="V211" s="557">
        <f>PROFORMA!W324</f>
        <v>0</v>
      </c>
      <c r="W211" s="557">
        <f>PROFORMA!X324</f>
        <v>-63000</v>
      </c>
      <c r="X211" s="579">
        <f t="shared" si="228"/>
        <v>-63000</v>
      </c>
      <c r="Y211" s="557">
        <f>PROFORMA!Y324</f>
        <v>0</v>
      </c>
      <c r="Z211" s="557">
        <f>PROFORMA!Z324</f>
        <v>0</v>
      </c>
      <c r="AA211" s="557">
        <f>PROFORMA!AA324</f>
        <v>0</v>
      </c>
      <c r="AB211" s="557">
        <f>PROFORMA!AB324</f>
        <v>0</v>
      </c>
      <c r="AC211" s="557">
        <f>PROFORMA!AC324</f>
        <v>0</v>
      </c>
      <c r="AD211" s="557">
        <f>PROFORMA!AD324</f>
        <v>0</v>
      </c>
      <c r="AE211" s="557">
        <f>PROFORMA!AE324</f>
        <v>0</v>
      </c>
      <c r="AF211" s="557">
        <f>PROFORMA!AG324</f>
        <v>0</v>
      </c>
      <c r="AG211" s="557">
        <f>PROFORMA!AH324</f>
        <v>0</v>
      </c>
      <c r="AH211" s="557">
        <f>PROFORMA!AI324</f>
        <v>0</v>
      </c>
      <c r="AI211" s="557">
        <f>PROFORMA!AJ324</f>
        <v>0</v>
      </c>
      <c r="AJ211" s="557">
        <f>PROFORMA!AK324</f>
        <v>0</v>
      </c>
      <c r="AK211" s="557">
        <f>PROFORMA!AL324</f>
        <v>0</v>
      </c>
      <c r="AL211" s="557">
        <f>PROFORMA!AM324</f>
        <v>-58000</v>
      </c>
      <c r="AM211" s="557">
        <f>PROFORMA!AN324</f>
        <v>0</v>
      </c>
      <c r="AN211" s="557">
        <f>PROFORMA!AO324</f>
        <v>-122000</v>
      </c>
      <c r="AO211" s="557">
        <f>PROFORMA!AP324</f>
        <v>0</v>
      </c>
      <c r="AP211" s="557">
        <f>PROFORMA!AQ324</f>
        <v>0</v>
      </c>
      <c r="AQ211" s="557">
        <f>PROFORMA!AR324</f>
        <v>0</v>
      </c>
      <c r="AR211" s="557">
        <f>PROFORMA!AS324</f>
        <v>-66000</v>
      </c>
      <c r="AS211" s="557">
        <f>PROFORMA!AT324</f>
        <v>0</v>
      </c>
      <c r="AT211" s="582">
        <f t="shared" si="245"/>
        <v>-246000</v>
      </c>
      <c r="AU211" s="532">
        <f t="shared" si="246"/>
        <v>-309000</v>
      </c>
      <c r="AV211" s="532">
        <f t="shared" si="247"/>
        <v>1220000</v>
      </c>
      <c r="AW211" s="532"/>
      <c r="AX211" s="532">
        <f t="shared" si="238"/>
        <v>1220000</v>
      </c>
    </row>
    <row r="212" spans="1:50">
      <c r="A212" s="529">
        <v>209</v>
      </c>
      <c r="B212" s="794"/>
      <c r="C212" s="550" t="s">
        <v>262</v>
      </c>
      <c r="D212" s="551">
        <v>379</v>
      </c>
      <c r="E212" s="557">
        <f>PROFORMA!F325</f>
        <v>602000</v>
      </c>
      <c r="F212" s="557">
        <f>PROFORMA!G325</f>
        <v>0</v>
      </c>
      <c r="G212" s="557">
        <f>PROFORMA!H325</f>
        <v>0</v>
      </c>
      <c r="H212" s="557">
        <f>PROFORMA!I325</f>
        <v>0</v>
      </c>
      <c r="I212" s="557">
        <f>PROFORMA!J325</f>
        <v>0</v>
      </c>
      <c r="J212" s="557">
        <f>PROFORMA!K325</f>
        <v>0</v>
      </c>
      <c r="K212" s="557">
        <f>PROFORMA!L325</f>
        <v>0</v>
      </c>
      <c r="L212" s="557">
        <f>PROFORMA!M325</f>
        <v>0</v>
      </c>
      <c r="M212" s="557">
        <f>PROFORMA!N325</f>
        <v>0</v>
      </c>
      <c r="N212" s="557">
        <f>PROFORMA!O325</f>
        <v>0</v>
      </c>
      <c r="O212" s="557">
        <f>PROFORMA!P325</f>
        <v>0</v>
      </c>
      <c r="P212" s="557">
        <f>PROFORMA!Q325</f>
        <v>0</v>
      </c>
      <c r="Q212" s="557">
        <f>PROFORMA!R325</f>
        <v>0</v>
      </c>
      <c r="R212" s="557">
        <f>PROFORMA!S325</f>
        <v>0</v>
      </c>
      <c r="S212" s="557">
        <f>PROFORMA!T325</f>
        <v>0</v>
      </c>
      <c r="T212" s="557">
        <f>PROFORMA!U325</f>
        <v>0</v>
      </c>
      <c r="U212" s="557">
        <f>PROFORMA!V325</f>
        <v>0</v>
      </c>
      <c r="V212" s="557">
        <f>PROFORMA!W325</f>
        <v>0</v>
      </c>
      <c r="W212" s="557">
        <f>PROFORMA!X325</f>
        <v>-25000</v>
      </c>
      <c r="X212" s="579">
        <f t="shared" si="228"/>
        <v>-25000</v>
      </c>
      <c r="Y212" s="557">
        <f>PROFORMA!Y325</f>
        <v>0</v>
      </c>
      <c r="Z212" s="557">
        <f>PROFORMA!Z325</f>
        <v>0</v>
      </c>
      <c r="AA212" s="557">
        <f>PROFORMA!AA325</f>
        <v>0</v>
      </c>
      <c r="AB212" s="557">
        <f>PROFORMA!AB325</f>
        <v>0</v>
      </c>
      <c r="AC212" s="557">
        <f>PROFORMA!AC325</f>
        <v>0</v>
      </c>
      <c r="AD212" s="557">
        <f>PROFORMA!AD325</f>
        <v>0</v>
      </c>
      <c r="AE212" s="557">
        <f>PROFORMA!AE325</f>
        <v>0</v>
      </c>
      <c r="AF212" s="557">
        <f>PROFORMA!AG325</f>
        <v>0</v>
      </c>
      <c r="AG212" s="557">
        <f>PROFORMA!AH325</f>
        <v>0</v>
      </c>
      <c r="AH212" s="557">
        <f>PROFORMA!AI325</f>
        <v>0</v>
      </c>
      <c r="AI212" s="557">
        <f>PROFORMA!AJ325</f>
        <v>0</v>
      </c>
      <c r="AJ212" s="557">
        <f>PROFORMA!AK325</f>
        <v>0</v>
      </c>
      <c r="AK212" s="557">
        <f>PROFORMA!AL325</f>
        <v>0</v>
      </c>
      <c r="AL212" s="557">
        <f>PROFORMA!AM325</f>
        <v>-23000</v>
      </c>
      <c r="AM212" s="557">
        <f>PROFORMA!AN325</f>
        <v>0</v>
      </c>
      <c r="AN212" s="557">
        <f>PROFORMA!AO325</f>
        <v>-48000</v>
      </c>
      <c r="AO212" s="557">
        <f>PROFORMA!AP325</f>
        <v>0</v>
      </c>
      <c r="AP212" s="557">
        <f>PROFORMA!AQ325</f>
        <v>0</v>
      </c>
      <c r="AQ212" s="557">
        <f>PROFORMA!AR325</f>
        <v>0</v>
      </c>
      <c r="AR212" s="557">
        <f>PROFORMA!AS325</f>
        <v>-26000</v>
      </c>
      <c r="AS212" s="557">
        <f>PROFORMA!AT325</f>
        <v>0</v>
      </c>
      <c r="AT212" s="582">
        <f t="shared" si="245"/>
        <v>-97000</v>
      </c>
      <c r="AU212" s="532">
        <f t="shared" si="246"/>
        <v>-122000</v>
      </c>
      <c r="AV212" s="532">
        <f t="shared" si="247"/>
        <v>480000</v>
      </c>
      <c r="AW212" s="532"/>
      <c r="AX212" s="532">
        <f t="shared" si="238"/>
        <v>480000</v>
      </c>
    </row>
    <row r="213" spans="1:50">
      <c r="A213" s="529">
        <v>210</v>
      </c>
      <c r="B213" s="794"/>
      <c r="C213" s="550" t="s">
        <v>263</v>
      </c>
      <c r="D213" s="551">
        <v>380</v>
      </c>
      <c r="E213" s="557">
        <f>PROFORMA!F326</f>
        <v>79949000</v>
      </c>
      <c r="F213" s="557">
        <f>PROFORMA!G326</f>
        <v>0</v>
      </c>
      <c r="G213" s="557">
        <f>PROFORMA!H326</f>
        <v>0</v>
      </c>
      <c r="H213" s="557">
        <f>PROFORMA!I326</f>
        <v>0</v>
      </c>
      <c r="I213" s="557">
        <f>PROFORMA!J326</f>
        <v>0</v>
      </c>
      <c r="J213" s="557">
        <f>PROFORMA!K326</f>
        <v>0</v>
      </c>
      <c r="K213" s="557">
        <f>PROFORMA!L326</f>
        <v>0</v>
      </c>
      <c r="L213" s="557">
        <f>PROFORMA!M326</f>
        <v>0</v>
      </c>
      <c r="M213" s="557">
        <f>PROFORMA!N326</f>
        <v>0</v>
      </c>
      <c r="N213" s="557">
        <f>PROFORMA!O326</f>
        <v>0</v>
      </c>
      <c r="O213" s="557">
        <f>PROFORMA!P326</f>
        <v>0</v>
      </c>
      <c r="P213" s="557">
        <f>PROFORMA!Q326</f>
        <v>0</v>
      </c>
      <c r="Q213" s="557">
        <f>PROFORMA!R326</f>
        <v>0</v>
      </c>
      <c r="R213" s="557">
        <f>PROFORMA!S326</f>
        <v>0</v>
      </c>
      <c r="S213" s="557">
        <f>PROFORMA!T326</f>
        <v>0</v>
      </c>
      <c r="T213" s="557">
        <f>PROFORMA!U326</f>
        <v>0</v>
      </c>
      <c r="U213" s="557">
        <f>PROFORMA!V326</f>
        <v>0</v>
      </c>
      <c r="V213" s="557">
        <f>PROFORMA!W326</f>
        <v>0</v>
      </c>
      <c r="W213" s="557">
        <f>PROFORMA!X326</f>
        <v>-3285000</v>
      </c>
      <c r="X213" s="579">
        <f t="shared" si="228"/>
        <v>-3285000</v>
      </c>
      <c r="Y213" s="557">
        <f>PROFORMA!Y326</f>
        <v>0</v>
      </c>
      <c r="Z213" s="557">
        <f>PROFORMA!Z326</f>
        <v>0</v>
      </c>
      <c r="AA213" s="557">
        <f>PROFORMA!AA326</f>
        <v>0</v>
      </c>
      <c r="AB213" s="557">
        <f>PROFORMA!AB326</f>
        <v>0</v>
      </c>
      <c r="AC213" s="557">
        <f>PROFORMA!AC326</f>
        <v>0</v>
      </c>
      <c r="AD213" s="557">
        <f>PROFORMA!AD326</f>
        <v>0</v>
      </c>
      <c r="AE213" s="557">
        <f>PROFORMA!AE326</f>
        <v>0</v>
      </c>
      <c r="AF213" s="557">
        <f>PROFORMA!AG326</f>
        <v>0</v>
      </c>
      <c r="AG213" s="557">
        <f>PROFORMA!AH326</f>
        <v>0</v>
      </c>
      <c r="AH213" s="557">
        <f>PROFORMA!AI326</f>
        <v>0</v>
      </c>
      <c r="AI213" s="557">
        <f>PROFORMA!AJ326</f>
        <v>0</v>
      </c>
      <c r="AJ213" s="557">
        <f>PROFORMA!AK326</f>
        <v>0</v>
      </c>
      <c r="AK213" s="557">
        <f>PROFORMA!AL326</f>
        <v>0</v>
      </c>
      <c r="AL213" s="557">
        <f>PROFORMA!AM326</f>
        <v>-3040000</v>
      </c>
      <c r="AM213" s="557">
        <f>PROFORMA!AN326</f>
        <v>0</v>
      </c>
      <c r="AN213" s="557">
        <f>PROFORMA!AO326</f>
        <v>-6402000</v>
      </c>
      <c r="AO213" s="557">
        <f>PROFORMA!AP326</f>
        <v>0</v>
      </c>
      <c r="AP213" s="557">
        <f>PROFORMA!AQ326</f>
        <v>0</v>
      </c>
      <c r="AQ213" s="557">
        <f>PROFORMA!AR326</f>
        <v>0</v>
      </c>
      <c r="AR213" s="557">
        <f>PROFORMA!AS326</f>
        <v>-3463000</v>
      </c>
      <c r="AS213" s="557">
        <f>PROFORMA!AT326</f>
        <v>0</v>
      </c>
      <c r="AT213" s="582">
        <f t="shared" si="245"/>
        <v>-12905000</v>
      </c>
      <c r="AU213" s="532">
        <f t="shared" si="246"/>
        <v>-16190000</v>
      </c>
      <c r="AV213" s="532">
        <f t="shared" si="247"/>
        <v>63759000</v>
      </c>
      <c r="AW213" s="532"/>
      <c r="AX213" s="532">
        <f t="shared" si="238"/>
        <v>63759000</v>
      </c>
    </row>
    <row r="214" spans="1:50">
      <c r="A214" s="529">
        <v>211</v>
      </c>
      <c r="B214" s="794"/>
      <c r="C214" s="550" t="s">
        <v>264</v>
      </c>
      <c r="D214" s="551">
        <v>381</v>
      </c>
      <c r="E214" s="557">
        <f>PROFORMA!F327</f>
        <v>17072000</v>
      </c>
      <c r="F214" s="557">
        <f>PROFORMA!G327</f>
        <v>0</v>
      </c>
      <c r="G214" s="557">
        <f>PROFORMA!H327</f>
        <v>0</v>
      </c>
      <c r="H214" s="557">
        <f>PROFORMA!I327</f>
        <v>0</v>
      </c>
      <c r="I214" s="557">
        <f>PROFORMA!J327</f>
        <v>0</v>
      </c>
      <c r="J214" s="557">
        <f>PROFORMA!K327</f>
        <v>0</v>
      </c>
      <c r="K214" s="557">
        <f>PROFORMA!L327</f>
        <v>0</v>
      </c>
      <c r="L214" s="557">
        <f>PROFORMA!M327</f>
        <v>0</v>
      </c>
      <c r="M214" s="557">
        <f>PROFORMA!N327</f>
        <v>0</v>
      </c>
      <c r="N214" s="557">
        <f>PROFORMA!O327</f>
        <v>0</v>
      </c>
      <c r="O214" s="557">
        <f>PROFORMA!P327</f>
        <v>0</v>
      </c>
      <c r="P214" s="557">
        <f>PROFORMA!Q327</f>
        <v>0</v>
      </c>
      <c r="Q214" s="557">
        <f>PROFORMA!R327</f>
        <v>0</v>
      </c>
      <c r="R214" s="557">
        <f>PROFORMA!S327</f>
        <v>0</v>
      </c>
      <c r="S214" s="557">
        <f>PROFORMA!T327</f>
        <v>0</v>
      </c>
      <c r="T214" s="557">
        <f>PROFORMA!U327</f>
        <v>0</v>
      </c>
      <c r="U214" s="557">
        <f>PROFORMA!V327</f>
        <v>0</v>
      </c>
      <c r="V214" s="557">
        <f>PROFORMA!W327</f>
        <v>0</v>
      </c>
      <c r="W214" s="557">
        <f>PROFORMA!X327</f>
        <v>-702000</v>
      </c>
      <c r="X214" s="579">
        <f t="shared" si="228"/>
        <v>-702000</v>
      </c>
      <c r="Y214" s="557">
        <f>PROFORMA!Y327</f>
        <v>0</v>
      </c>
      <c r="Z214" s="557">
        <f>PROFORMA!Z327</f>
        <v>0</v>
      </c>
      <c r="AA214" s="557">
        <f>PROFORMA!AA327</f>
        <v>0</v>
      </c>
      <c r="AB214" s="557">
        <f>PROFORMA!AB327</f>
        <v>0</v>
      </c>
      <c r="AC214" s="557">
        <f>PROFORMA!AC327</f>
        <v>0</v>
      </c>
      <c r="AD214" s="557">
        <f>PROFORMA!AD327</f>
        <v>0</v>
      </c>
      <c r="AE214" s="557">
        <f>PROFORMA!AE327</f>
        <v>0</v>
      </c>
      <c r="AF214" s="557">
        <f>PROFORMA!AG327</f>
        <v>0</v>
      </c>
      <c r="AG214" s="557">
        <f>PROFORMA!AH327</f>
        <v>0</v>
      </c>
      <c r="AH214" s="557">
        <f>PROFORMA!AI327</f>
        <v>0</v>
      </c>
      <c r="AI214" s="557">
        <f>PROFORMA!AJ327</f>
        <v>0</v>
      </c>
      <c r="AJ214" s="557">
        <f>PROFORMA!AK327</f>
        <v>0</v>
      </c>
      <c r="AK214" s="557">
        <f>PROFORMA!AL327</f>
        <v>0</v>
      </c>
      <c r="AL214" s="557">
        <f>PROFORMA!AM327</f>
        <v>-649000</v>
      </c>
      <c r="AM214" s="557">
        <f>PROFORMA!AN327</f>
        <v>0</v>
      </c>
      <c r="AN214" s="557">
        <f>PROFORMA!AO327</f>
        <v>-1367000</v>
      </c>
      <c r="AO214" s="557">
        <f>PROFORMA!AP327</f>
        <v>0</v>
      </c>
      <c r="AP214" s="557">
        <f>PROFORMA!AQ327</f>
        <v>0</v>
      </c>
      <c r="AQ214" s="557">
        <f>PROFORMA!AR327</f>
        <v>0</v>
      </c>
      <c r="AR214" s="557">
        <f>PROFORMA!AS327</f>
        <v>-740000</v>
      </c>
      <c r="AS214" s="557">
        <f>PROFORMA!AT327</f>
        <v>0</v>
      </c>
      <c r="AT214" s="582">
        <f t="shared" si="245"/>
        <v>-2756000</v>
      </c>
      <c r="AU214" s="532">
        <f t="shared" si="246"/>
        <v>-3458000</v>
      </c>
      <c r="AV214" s="532">
        <f t="shared" si="247"/>
        <v>13614000</v>
      </c>
      <c r="AW214" s="532"/>
      <c r="AX214" s="532">
        <f t="shared" si="238"/>
        <v>13614000</v>
      </c>
    </row>
    <row r="215" spans="1:50">
      <c r="A215" s="529">
        <v>212</v>
      </c>
      <c r="B215" s="794"/>
      <c r="C215" s="550" t="s">
        <v>265</v>
      </c>
      <c r="D215" s="551">
        <v>382</v>
      </c>
      <c r="E215" s="557">
        <f>PROFORMA!F328</f>
        <v>0</v>
      </c>
      <c r="F215" s="557">
        <f>PROFORMA!G328</f>
        <v>0</v>
      </c>
      <c r="G215" s="557">
        <f>PROFORMA!H328</f>
        <v>0</v>
      </c>
      <c r="H215" s="557">
        <f>PROFORMA!I328</f>
        <v>0</v>
      </c>
      <c r="I215" s="557">
        <f>PROFORMA!J328</f>
        <v>0</v>
      </c>
      <c r="J215" s="557">
        <f>PROFORMA!K328</f>
        <v>0</v>
      </c>
      <c r="K215" s="557">
        <f>PROFORMA!L328</f>
        <v>0</v>
      </c>
      <c r="L215" s="557">
        <f>PROFORMA!M328</f>
        <v>0</v>
      </c>
      <c r="M215" s="557">
        <f>PROFORMA!N328</f>
        <v>0</v>
      </c>
      <c r="N215" s="557">
        <f>PROFORMA!O328</f>
        <v>0</v>
      </c>
      <c r="O215" s="557">
        <f>PROFORMA!P328</f>
        <v>0</v>
      </c>
      <c r="P215" s="557">
        <f>PROFORMA!Q328</f>
        <v>0</v>
      </c>
      <c r="Q215" s="557">
        <f>PROFORMA!R328</f>
        <v>0</v>
      </c>
      <c r="R215" s="557">
        <f>PROFORMA!S328</f>
        <v>0</v>
      </c>
      <c r="S215" s="557">
        <f>PROFORMA!T328</f>
        <v>0</v>
      </c>
      <c r="T215" s="557">
        <f>PROFORMA!U328</f>
        <v>0</v>
      </c>
      <c r="U215" s="557">
        <f>PROFORMA!V328</f>
        <v>0</v>
      </c>
      <c r="V215" s="557">
        <f>PROFORMA!W328</f>
        <v>0</v>
      </c>
      <c r="W215" s="557">
        <f>PROFORMA!X328</f>
        <v>0</v>
      </c>
      <c r="X215" s="579">
        <f t="shared" si="228"/>
        <v>0</v>
      </c>
      <c r="Y215" s="557">
        <f>PROFORMA!Y328</f>
        <v>0</v>
      </c>
      <c r="Z215" s="557">
        <f>PROFORMA!Z328</f>
        <v>0</v>
      </c>
      <c r="AA215" s="557">
        <f>PROFORMA!AA328</f>
        <v>0</v>
      </c>
      <c r="AB215" s="557">
        <f>PROFORMA!AB328</f>
        <v>0</v>
      </c>
      <c r="AC215" s="557">
        <f>PROFORMA!AC328</f>
        <v>0</v>
      </c>
      <c r="AD215" s="557">
        <f>PROFORMA!AD328</f>
        <v>0</v>
      </c>
      <c r="AE215" s="557">
        <f>PROFORMA!AE328</f>
        <v>0</v>
      </c>
      <c r="AF215" s="557">
        <f>PROFORMA!AG328</f>
        <v>0</v>
      </c>
      <c r="AG215" s="557">
        <f>PROFORMA!AH328</f>
        <v>0</v>
      </c>
      <c r="AH215" s="557">
        <f>PROFORMA!AI328</f>
        <v>0</v>
      </c>
      <c r="AI215" s="557">
        <f>PROFORMA!AJ328</f>
        <v>0</v>
      </c>
      <c r="AJ215" s="557">
        <f>PROFORMA!AK328</f>
        <v>0</v>
      </c>
      <c r="AK215" s="557">
        <f>PROFORMA!AL328</f>
        <v>0</v>
      </c>
      <c r="AL215" s="557">
        <f>PROFORMA!AM328</f>
        <v>0</v>
      </c>
      <c r="AM215" s="557">
        <f>PROFORMA!AN328</f>
        <v>0</v>
      </c>
      <c r="AN215" s="557">
        <f>PROFORMA!AO328</f>
        <v>0</v>
      </c>
      <c r="AO215" s="557">
        <f>PROFORMA!AP328</f>
        <v>0</v>
      </c>
      <c r="AP215" s="557">
        <f>PROFORMA!AQ328</f>
        <v>0</v>
      </c>
      <c r="AQ215" s="557">
        <f>PROFORMA!AR328</f>
        <v>0</v>
      </c>
      <c r="AR215" s="557">
        <f>PROFORMA!AS328</f>
        <v>0</v>
      </c>
      <c r="AS215" s="557">
        <f>PROFORMA!AT328</f>
        <v>0</v>
      </c>
      <c r="AT215" s="582">
        <f t="shared" si="245"/>
        <v>0</v>
      </c>
      <c r="AU215" s="532">
        <f t="shared" si="246"/>
        <v>0</v>
      </c>
      <c r="AV215" s="532">
        <f t="shared" si="247"/>
        <v>0</v>
      </c>
      <c r="AW215" s="532"/>
      <c r="AX215" s="532">
        <f t="shared" si="238"/>
        <v>0</v>
      </c>
    </row>
    <row r="216" spans="1:50">
      <c r="A216" s="529">
        <v>213</v>
      </c>
      <c r="B216" s="794"/>
      <c r="C216" s="550" t="s">
        <v>266</v>
      </c>
      <c r="D216" s="551">
        <v>383</v>
      </c>
      <c r="E216" s="557">
        <f>PROFORMA!F329</f>
        <v>0</v>
      </c>
      <c r="F216" s="557">
        <f>PROFORMA!G329</f>
        <v>0</v>
      </c>
      <c r="G216" s="557">
        <f>PROFORMA!H329</f>
        <v>0</v>
      </c>
      <c r="H216" s="557">
        <f>PROFORMA!I329</f>
        <v>0</v>
      </c>
      <c r="I216" s="557">
        <f>PROFORMA!J329</f>
        <v>0</v>
      </c>
      <c r="J216" s="557">
        <f>PROFORMA!K329</f>
        <v>0</v>
      </c>
      <c r="K216" s="557">
        <f>PROFORMA!L329</f>
        <v>0</v>
      </c>
      <c r="L216" s="557">
        <f>PROFORMA!M329</f>
        <v>0</v>
      </c>
      <c r="M216" s="557">
        <f>PROFORMA!N329</f>
        <v>0</v>
      </c>
      <c r="N216" s="557">
        <f>PROFORMA!O329</f>
        <v>0</v>
      </c>
      <c r="O216" s="557">
        <f>PROFORMA!P329</f>
        <v>0</v>
      </c>
      <c r="P216" s="557">
        <f>PROFORMA!Q329</f>
        <v>0</v>
      </c>
      <c r="Q216" s="557">
        <f>PROFORMA!R329</f>
        <v>0</v>
      </c>
      <c r="R216" s="557">
        <f>PROFORMA!S329</f>
        <v>0</v>
      </c>
      <c r="S216" s="557">
        <f>PROFORMA!T329</f>
        <v>0</v>
      </c>
      <c r="T216" s="557">
        <f>PROFORMA!U329</f>
        <v>0</v>
      </c>
      <c r="U216" s="557">
        <f>PROFORMA!V329</f>
        <v>0</v>
      </c>
      <c r="V216" s="557">
        <f>PROFORMA!W329</f>
        <v>0</v>
      </c>
      <c r="W216" s="557">
        <f>PROFORMA!X329</f>
        <v>0</v>
      </c>
      <c r="X216" s="579">
        <f t="shared" si="228"/>
        <v>0</v>
      </c>
      <c r="Y216" s="557">
        <f>PROFORMA!Y329</f>
        <v>0</v>
      </c>
      <c r="Z216" s="557">
        <f>PROFORMA!Z329</f>
        <v>0</v>
      </c>
      <c r="AA216" s="557">
        <f>PROFORMA!AA329</f>
        <v>0</v>
      </c>
      <c r="AB216" s="557">
        <f>PROFORMA!AB329</f>
        <v>0</v>
      </c>
      <c r="AC216" s="557">
        <f>PROFORMA!AC329</f>
        <v>0</v>
      </c>
      <c r="AD216" s="557">
        <f>PROFORMA!AD329</f>
        <v>0</v>
      </c>
      <c r="AE216" s="557">
        <f>PROFORMA!AE329</f>
        <v>0</v>
      </c>
      <c r="AF216" s="557">
        <f>PROFORMA!AG329</f>
        <v>0</v>
      </c>
      <c r="AG216" s="557">
        <f>PROFORMA!AH329</f>
        <v>0</v>
      </c>
      <c r="AH216" s="557">
        <f>PROFORMA!AI329</f>
        <v>0</v>
      </c>
      <c r="AI216" s="557">
        <f>PROFORMA!AJ329</f>
        <v>0</v>
      </c>
      <c r="AJ216" s="557">
        <f>PROFORMA!AK329</f>
        <v>0</v>
      </c>
      <c r="AK216" s="557">
        <f>PROFORMA!AL329</f>
        <v>0</v>
      </c>
      <c r="AL216" s="557">
        <f>PROFORMA!AM329</f>
        <v>0</v>
      </c>
      <c r="AM216" s="557">
        <f>PROFORMA!AN329</f>
        <v>0</v>
      </c>
      <c r="AN216" s="557">
        <f>PROFORMA!AO329</f>
        <v>0</v>
      </c>
      <c r="AO216" s="557">
        <f>PROFORMA!AP329</f>
        <v>0</v>
      </c>
      <c r="AP216" s="557">
        <f>PROFORMA!AQ329</f>
        <v>0</v>
      </c>
      <c r="AQ216" s="557">
        <f>PROFORMA!AR329</f>
        <v>0</v>
      </c>
      <c r="AR216" s="557">
        <f>PROFORMA!AS329</f>
        <v>0</v>
      </c>
      <c r="AS216" s="557">
        <f>PROFORMA!AT329</f>
        <v>0</v>
      </c>
      <c r="AT216" s="582">
        <f t="shared" si="245"/>
        <v>0</v>
      </c>
      <c r="AU216" s="532">
        <f t="shared" si="246"/>
        <v>0</v>
      </c>
      <c r="AV216" s="532">
        <f t="shared" si="247"/>
        <v>0</v>
      </c>
      <c r="AW216" s="532"/>
      <c r="AX216" s="532">
        <f t="shared" si="238"/>
        <v>0</v>
      </c>
    </row>
    <row r="217" spans="1:50">
      <c r="A217" s="529">
        <v>214</v>
      </c>
      <c r="B217" s="794"/>
      <c r="C217" s="550" t="s">
        <v>267</v>
      </c>
      <c r="D217" s="551">
        <v>384</v>
      </c>
      <c r="E217" s="557">
        <f>PROFORMA!F330</f>
        <v>0</v>
      </c>
      <c r="F217" s="557">
        <f>PROFORMA!G330</f>
        <v>0</v>
      </c>
      <c r="G217" s="557">
        <f>PROFORMA!H330</f>
        <v>0</v>
      </c>
      <c r="H217" s="557">
        <f>PROFORMA!I330</f>
        <v>0</v>
      </c>
      <c r="I217" s="557">
        <f>PROFORMA!J330</f>
        <v>0</v>
      </c>
      <c r="J217" s="557">
        <f>PROFORMA!K330</f>
        <v>0</v>
      </c>
      <c r="K217" s="557">
        <f>PROFORMA!L330</f>
        <v>0</v>
      </c>
      <c r="L217" s="557">
        <f>PROFORMA!M330</f>
        <v>0</v>
      </c>
      <c r="M217" s="557">
        <f>PROFORMA!N330</f>
        <v>0</v>
      </c>
      <c r="N217" s="557">
        <f>PROFORMA!O330</f>
        <v>0</v>
      </c>
      <c r="O217" s="557">
        <f>PROFORMA!P330</f>
        <v>0</v>
      </c>
      <c r="P217" s="557">
        <f>PROFORMA!Q330</f>
        <v>0</v>
      </c>
      <c r="Q217" s="557">
        <f>PROFORMA!R330</f>
        <v>0</v>
      </c>
      <c r="R217" s="557">
        <f>PROFORMA!S330</f>
        <v>0</v>
      </c>
      <c r="S217" s="557">
        <f>PROFORMA!T330</f>
        <v>0</v>
      </c>
      <c r="T217" s="557">
        <f>PROFORMA!U330</f>
        <v>0</v>
      </c>
      <c r="U217" s="557">
        <f>PROFORMA!V330</f>
        <v>0</v>
      </c>
      <c r="V217" s="557">
        <f>PROFORMA!W330</f>
        <v>0</v>
      </c>
      <c r="W217" s="557">
        <f>PROFORMA!X330</f>
        <v>0</v>
      </c>
      <c r="X217" s="579">
        <f t="shared" si="228"/>
        <v>0</v>
      </c>
      <c r="Y217" s="557">
        <f>PROFORMA!Y330</f>
        <v>0</v>
      </c>
      <c r="Z217" s="557">
        <f>PROFORMA!Z330</f>
        <v>0</v>
      </c>
      <c r="AA217" s="557">
        <f>PROFORMA!AA330</f>
        <v>0</v>
      </c>
      <c r="AB217" s="557">
        <f>PROFORMA!AB330</f>
        <v>0</v>
      </c>
      <c r="AC217" s="557">
        <f>PROFORMA!AC330</f>
        <v>0</v>
      </c>
      <c r="AD217" s="557">
        <f>PROFORMA!AD330</f>
        <v>0</v>
      </c>
      <c r="AE217" s="557">
        <f>PROFORMA!AE330</f>
        <v>0</v>
      </c>
      <c r="AF217" s="557">
        <f>PROFORMA!AG330</f>
        <v>0</v>
      </c>
      <c r="AG217" s="557">
        <f>PROFORMA!AH330</f>
        <v>0</v>
      </c>
      <c r="AH217" s="557">
        <f>PROFORMA!AI330</f>
        <v>0</v>
      </c>
      <c r="AI217" s="557">
        <f>PROFORMA!AJ330</f>
        <v>0</v>
      </c>
      <c r="AJ217" s="557">
        <f>PROFORMA!AK330</f>
        <v>0</v>
      </c>
      <c r="AK217" s="557">
        <f>PROFORMA!AL330</f>
        <v>0</v>
      </c>
      <c r="AL217" s="557">
        <f>PROFORMA!AM330</f>
        <v>0</v>
      </c>
      <c r="AM217" s="557">
        <f>PROFORMA!AN330</f>
        <v>0</v>
      </c>
      <c r="AN217" s="557">
        <f>PROFORMA!AO330</f>
        <v>0</v>
      </c>
      <c r="AO217" s="557">
        <f>PROFORMA!AP330</f>
        <v>0</v>
      </c>
      <c r="AP217" s="557">
        <f>PROFORMA!AQ330</f>
        <v>0</v>
      </c>
      <c r="AQ217" s="557">
        <f>PROFORMA!AR330</f>
        <v>0</v>
      </c>
      <c r="AR217" s="557">
        <f>PROFORMA!AS330</f>
        <v>0</v>
      </c>
      <c r="AS217" s="557">
        <f>PROFORMA!AT330</f>
        <v>0</v>
      </c>
      <c r="AT217" s="582">
        <f t="shared" si="245"/>
        <v>0</v>
      </c>
      <c r="AU217" s="532">
        <f t="shared" si="246"/>
        <v>0</v>
      </c>
      <c r="AV217" s="532">
        <f t="shared" si="247"/>
        <v>0</v>
      </c>
      <c r="AW217" s="532"/>
      <c r="AX217" s="532">
        <f t="shared" si="238"/>
        <v>0</v>
      </c>
    </row>
    <row r="218" spans="1:50">
      <c r="A218" s="529">
        <v>215</v>
      </c>
      <c r="B218" s="794"/>
      <c r="C218" s="550" t="s">
        <v>268</v>
      </c>
      <c r="D218" s="551">
        <v>385</v>
      </c>
      <c r="E218" s="557">
        <f>PROFORMA!F331</f>
        <v>1315000</v>
      </c>
      <c r="F218" s="557">
        <f>PROFORMA!G331</f>
        <v>0</v>
      </c>
      <c r="G218" s="557">
        <f>PROFORMA!H331</f>
        <v>0</v>
      </c>
      <c r="H218" s="557">
        <f>PROFORMA!I331</f>
        <v>0</v>
      </c>
      <c r="I218" s="557">
        <f>PROFORMA!J331</f>
        <v>0</v>
      </c>
      <c r="J218" s="557">
        <f>PROFORMA!K331</f>
        <v>0</v>
      </c>
      <c r="K218" s="557">
        <f>PROFORMA!L331</f>
        <v>0</v>
      </c>
      <c r="L218" s="557">
        <f>PROFORMA!M331</f>
        <v>0</v>
      </c>
      <c r="M218" s="557">
        <f>PROFORMA!N331</f>
        <v>0</v>
      </c>
      <c r="N218" s="557">
        <f>PROFORMA!O331</f>
        <v>0</v>
      </c>
      <c r="O218" s="557">
        <f>PROFORMA!P331</f>
        <v>0</v>
      </c>
      <c r="P218" s="557">
        <f>PROFORMA!Q331</f>
        <v>0</v>
      </c>
      <c r="Q218" s="557">
        <f>PROFORMA!R331</f>
        <v>0</v>
      </c>
      <c r="R218" s="557">
        <f>PROFORMA!S331</f>
        <v>0</v>
      </c>
      <c r="S218" s="557">
        <f>PROFORMA!T331</f>
        <v>0</v>
      </c>
      <c r="T218" s="557">
        <f>PROFORMA!U331</f>
        <v>0</v>
      </c>
      <c r="U218" s="557">
        <f>PROFORMA!V331</f>
        <v>0</v>
      </c>
      <c r="V218" s="557">
        <f>PROFORMA!W331</f>
        <v>0</v>
      </c>
      <c r="W218" s="557">
        <f>PROFORMA!X331</f>
        <v>-54000</v>
      </c>
      <c r="X218" s="579">
        <f t="shared" si="228"/>
        <v>-54000</v>
      </c>
      <c r="Y218" s="557">
        <f>PROFORMA!Y331</f>
        <v>0</v>
      </c>
      <c r="Z218" s="557">
        <f>PROFORMA!Z331</f>
        <v>0</v>
      </c>
      <c r="AA218" s="557">
        <f>PROFORMA!AA331</f>
        <v>0</v>
      </c>
      <c r="AB218" s="557">
        <f>PROFORMA!AB331</f>
        <v>0</v>
      </c>
      <c r="AC218" s="557">
        <f>PROFORMA!AC331</f>
        <v>0</v>
      </c>
      <c r="AD218" s="557">
        <f>PROFORMA!AD331</f>
        <v>0</v>
      </c>
      <c r="AE218" s="557">
        <f>PROFORMA!AE331</f>
        <v>0</v>
      </c>
      <c r="AF218" s="557">
        <f>PROFORMA!AG331</f>
        <v>0</v>
      </c>
      <c r="AG218" s="557">
        <f>PROFORMA!AH331</f>
        <v>0</v>
      </c>
      <c r="AH218" s="557">
        <f>PROFORMA!AI331</f>
        <v>0</v>
      </c>
      <c r="AI218" s="557">
        <f>PROFORMA!AJ331</f>
        <v>0</v>
      </c>
      <c r="AJ218" s="557">
        <f>PROFORMA!AK331</f>
        <v>0</v>
      </c>
      <c r="AK218" s="557">
        <f>PROFORMA!AL331</f>
        <v>0</v>
      </c>
      <c r="AL218" s="557">
        <f>PROFORMA!AM331</f>
        <v>-50000</v>
      </c>
      <c r="AM218" s="557">
        <f>PROFORMA!AN331</f>
        <v>0</v>
      </c>
      <c r="AN218" s="557">
        <f>PROFORMA!AO331</f>
        <v>-105000</v>
      </c>
      <c r="AO218" s="557">
        <f>PROFORMA!AP331</f>
        <v>0</v>
      </c>
      <c r="AP218" s="557">
        <f>PROFORMA!AQ331</f>
        <v>0</v>
      </c>
      <c r="AQ218" s="557">
        <f>PROFORMA!AR331</f>
        <v>0</v>
      </c>
      <c r="AR218" s="557">
        <f>PROFORMA!AS331</f>
        <v>-57000</v>
      </c>
      <c r="AS218" s="557">
        <f>PROFORMA!AT331</f>
        <v>0</v>
      </c>
      <c r="AT218" s="582">
        <f t="shared" si="245"/>
        <v>-212000</v>
      </c>
      <c r="AU218" s="532">
        <f t="shared" si="246"/>
        <v>-266000</v>
      </c>
      <c r="AV218" s="532">
        <f t="shared" si="247"/>
        <v>1049000</v>
      </c>
      <c r="AW218" s="532"/>
      <c r="AX218" s="532">
        <f t="shared" si="238"/>
        <v>1049000</v>
      </c>
    </row>
    <row r="219" spans="1:50">
      <c r="A219" s="529">
        <v>216</v>
      </c>
      <c r="B219" s="794"/>
      <c r="C219" s="550" t="s">
        <v>259</v>
      </c>
      <c r="D219" s="551">
        <v>387</v>
      </c>
      <c r="E219" s="577">
        <f>PROFORMA!F332</f>
        <v>0</v>
      </c>
      <c r="F219" s="577">
        <f>PROFORMA!G332</f>
        <v>0</v>
      </c>
      <c r="G219" s="577">
        <f>PROFORMA!H332</f>
        <v>0</v>
      </c>
      <c r="H219" s="577">
        <f>PROFORMA!I332</f>
        <v>0</v>
      </c>
      <c r="I219" s="577">
        <f>PROFORMA!J332</f>
        <v>0</v>
      </c>
      <c r="J219" s="577">
        <f>PROFORMA!K332</f>
        <v>0</v>
      </c>
      <c r="K219" s="577">
        <f>PROFORMA!L332</f>
        <v>0</v>
      </c>
      <c r="L219" s="577">
        <f>PROFORMA!M332</f>
        <v>0</v>
      </c>
      <c r="M219" s="577">
        <f>PROFORMA!N332</f>
        <v>0</v>
      </c>
      <c r="N219" s="577">
        <f>PROFORMA!O332</f>
        <v>0</v>
      </c>
      <c r="O219" s="577">
        <f>PROFORMA!P332</f>
        <v>0</v>
      </c>
      <c r="P219" s="577">
        <f>PROFORMA!Q332</f>
        <v>0</v>
      </c>
      <c r="Q219" s="577">
        <f>PROFORMA!R332</f>
        <v>0</v>
      </c>
      <c r="R219" s="577">
        <f>PROFORMA!S332</f>
        <v>0</v>
      </c>
      <c r="S219" s="577">
        <f>PROFORMA!T332</f>
        <v>0</v>
      </c>
      <c r="T219" s="577">
        <f>PROFORMA!U332</f>
        <v>0</v>
      </c>
      <c r="U219" s="577">
        <f>PROFORMA!V332</f>
        <v>0</v>
      </c>
      <c r="V219" s="577">
        <f>PROFORMA!W332</f>
        <v>0</v>
      </c>
      <c r="W219" s="577">
        <f>PROFORMA!X332</f>
        <v>0</v>
      </c>
      <c r="X219" s="580">
        <f t="shared" si="228"/>
        <v>0</v>
      </c>
      <c r="Y219" s="577">
        <f>PROFORMA!Y332</f>
        <v>0</v>
      </c>
      <c r="Z219" s="577">
        <f>PROFORMA!Z332</f>
        <v>0</v>
      </c>
      <c r="AA219" s="577">
        <f>PROFORMA!AA332</f>
        <v>0</v>
      </c>
      <c r="AB219" s="577">
        <f>PROFORMA!AB332</f>
        <v>0</v>
      </c>
      <c r="AC219" s="577">
        <f>PROFORMA!AC332</f>
        <v>0</v>
      </c>
      <c r="AD219" s="577">
        <f>PROFORMA!AD332</f>
        <v>0</v>
      </c>
      <c r="AE219" s="577">
        <f>PROFORMA!AE332</f>
        <v>0</v>
      </c>
      <c r="AF219" s="577">
        <f>PROFORMA!AG332</f>
        <v>0</v>
      </c>
      <c r="AG219" s="577">
        <f>PROFORMA!AH332</f>
        <v>0</v>
      </c>
      <c r="AH219" s="577">
        <f>PROFORMA!AI332</f>
        <v>0</v>
      </c>
      <c r="AI219" s="577">
        <f>PROFORMA!AJ332</f>
        <v>0</v>
      </c>
      <c r="AJ219" s="577">
        <f>PROFORMA!AK332</f>
        <v>0</v>
      </c>
      <c r="AK219" s="577">
        <f>PROFORMA!AL332</f>
        <v>0</v>
      </c>
      <c r="AL219" s="577">
        <f>PROFORMA!AM332</f>
        <v>0</v>
      </c>
      <c r="AM219" s="577">
        <f>PROFORMA!AN332</f>
        <v>0</v>
      </c>
      <c r="AN219" s="577">
        <f>PROFORMA!AO332</f>
        <v>0</v>
      </c>
      <c r="AO219" s="577">
        <f>PROFORMA!AP332</f>
        <v>0</v>
      </c>
      <c r="AP219" s="577">
        <f>PROFORMA!AQ332</f>
        <v>0</v>
      </c>
      <c r="AQ219" s="577">
        <f>PROFORMA!AR332</f>
        <v>0</v>
      </c>
      <c r="AR219" s="577">
        <f>PROFORMA!AS332</f>
        <v>0</v>
      </c>
      <c r="AS219" s="577">
        <f>PROFORMA!AT332</f>
        <v>0</v>
      </c>
      <c r="AT219" s="583">
        <f t="shared" si="245"/>
        <v>0</v>
      </c>
      <c r="AU219" s="581">
        <f t="shared" si="246"/>
        <v>0</v>
      </c>
      <c r="AV219" s="581">
        <f t="shared" si="247"/>
        <v>0</v>
      </c>
      <c r="AW219" s="581"/>
      <c r="AX219" s="581">
        <f t="shared" si="238"/>
        <v>0</v>
      </c>
    </row>
    <row r="220" spans="1:50">
      <c r="A220" s="529">
        <v>217</v>
      </c>
      <c r="B220" s="500"/>
      <c r="C220" s="525" t="s">
        <v>630</v>
      </c>
      <c r="D220" s="525"/>
      <c r="E220" s="539">
        <f>SUM(E208:E219)</f>
        <v>188334000</v>
      </c>
      <c r="F220" s="539">
        <f t="shared" ref="F220" si="248">SUM(F208:F219)</f>
        <v>0</v>
      </c>
      <c r="G220" s="539">
        <f t="shared" ref="G220:W220" si="249">SUM(G208:G219)</f>
        <v>0</v>
      </c>
      <c r="H220" s="539">
        <f t="shared" si="249"/>
        <v>0</v>
      </c>
      <c r="I220" s="539">
        <f t="shared" si="249"/>
        <v>0</v>
      </c>
      <c r="J220" s="539">
        <f t="shared" si="249"/>
        <v>0</v>
      </c>
      <c r="K220" s="539">
        <f t="shared" si="249"/>
        <v>0</v>
      </c>
      <c r="L220" s="539">
        <f t="shared" si="249"/>
        <v>0</v>
      </c>
      <c r="M220" s="539">
        <f t="shared" si="249"/>
        <v>0</v>
      </c>
      <c r="N220" s="539">
        <f t="shared" si="249"/>
        <v>0</v>
      </c>
      <c r="O220" s="539">
        <f t="shared" si="249"/>
        <v>0</v>
      </c>
      <c r="P220" s="539">
        <f t="shared" si="249"/>
        <v>0</v>
      </c>
      <c r="Q220" s="539">
        <f t="shared" si="249"/>
        <v>0</v>
      </c>
      <c r="R220" s="539">
        <f t="shared" si="249"/>
        <v>0</v>
      </c>
      <c r="S220" s="539">
        <f t="shared" si="249"/>
        <v>0</v>
      </c>
      <c r="T220" s="539">
        <f t="shared" si="249"/>
        <v>0</v>
      </c>
      <c r="U220" s="539">
        <f t="shared" si="249"/>
        <v>0</v>
      </c>
      <c r="V220" s="539">
        <f t="shared" si="249"/>
        <v>0</v>
      </c>
      <c r="W220" s="539">
        <f t="shared" si="249"/>
        <v>-7739000</v>
      </c>
      <c r="X220" s="579">
        <f t="shared" si="228"/>
        <v>-7739000</v>
      </c>
      <c r="Y220" s="539">
        <f t="shared" ref="Y220:AX220" si="250">SUM(Y208:Y219)</f>
        <v>0</v>
      </c>
      <c r="Z220" s="539">
        <f t="shared" ref="Z220:AF220" si="251">SUM(Z208:Z219)</f>
        <v>0</v>
      </c>
      <c r="AA220" s="539">
        <f t="shared" si="251"/>
        <v>0</v>
      </c>
      <c r="AB220" s="539">
        <f t="shared" si="251"/>
        <v>0</v>
      </c>
      <c r="AC220" s="539">
        <f t="shared" si="251"/>
        <v>0</v>
      </c>
      <c r="AD220" s="539">
        <f t="shared" si="251"/>
        <v>0</v>
      </c>
      <c r="AE220" s="539">
        <f t="shared" si="251"/>
        <v>0</v>
      </c>
      <c r="AF220" s="539">
        <f t="shared" si="251"/>
        <v>0</v>
      </c>
      <c r="AG220" s="539">
        <f t="shared" ref="AG220:AQ220" si="252">SUM(AG208:AG219)</f>
        <v>0</v>
      </c>
      <c r="AH220" s="539">
        <f t="shared" si="252"/>
        <v>0</v>
      </c>
      <c r="AI220" s="539">
        <f t="shared" si="252"/>
        <v>0</v>
      </c>
      <c r="AJ220" s="539">
        <f t="shared" si="252"/>
        <v>0</v>
      </c>
      <c r="AK220" s="539">
        <f t="shared" si="252"/>
        <v>0</v>
      </c>
      <c r="AL220" s="539">
        <f t="shared" si="252"/>
        <v>-7161000</v>
      </c>
      <c r="AM220" s="539">
        <f t="shared" si="252"/>
        <v>0</v>
      </c>
      <c r="AN220" s="539">
        <f t="shared" si="252"/>
        <v>-15082000</v>
      </c>
      <c r="AO220" s="539">
        <f t="shared" si="252"/>
        <v>0</v>
      </c>
      <c r="AP220" s="539">
        <f t="shared" si="252"/>
        <v>0</v>
      </c>
      <c r="AQ220" s="539">
        <f t="shared" si="252"/>
        <v>0</v>
      </c>
      <c r="AR220" s="539">
        <f t="shared" ref="AR220:AS220" si="253">SUM(AR208:AR219)</f>
        <v>-8158000</v>
      </c>
      <c r="AS220" s="539">
        <f t="shared" si="253"/>
        <v>0</v>
      </c>
      <c r="AT220" s="539">
        <f t="shared" si="250"/>
        <v>-30401000</v>
      </c>
      <c r="AU220" s="539">
        <f t="shared" si="250"/>
        <v>-38140000</v>
      </c>
      <c r="AV220" s="539">
        <f t="shared" si="250"/>
        <v>150194000</v>
      </c>
      <c r="AW220" s="539">
        <f t="shared" si="250"/>
        <v>0</v>
      </c>
      <c r="AX220" s="539">
        <f t="shared" si="250"/>
        <v>150194000</v>
      </c>
    </row>
    <row r="221" spans="1:50">
      <c r="A221" s="529">
        <v>218</v>
      </c>
      <c r="B221" s="794" t="s">
        <v>1166</v>
      </c>
      <c r="C221" s="568" t="s">
        <v>252</v>
      </c>
      <c r="D221" s="551">
        <v>389</v>
      </c>
      <c r="E221" s="557">
        <f>PROFORMA!F336</f>
        <v>56000</v>
      </c>
      <c r="F221" s="557">
        <f>PROFORMA!G336</f>
        <v>0</v>
      </c>
      <c r="G221" s="557">
        <f>PROFORMA!H336</f>
        <v>0</v>
      </c>
      <c r="H221" s="557">
        <f>PROFORMA!I336</f>
        <v>0</v>
      </c>
      <c r="I221" s="557">
        <f>PROFORMA!J336</f>
        <v>0</v>
      </c>
      <c r="J221" s="557">
        <f>PROFORMA!K336</f>
        <v>0</v>
      </c>
      <c r="K221" s="557">
        <f>PROFORMA!L336</f>
        <v>0</v>
      </c>
      <c r="L221" s="557">
        <f>PROFORMA!M336</f>
        <v>0</v>
      </c>
      <c r="M221" s="557">
        <f>PROFORMA!N336</f>
        <v>0</v>
      </c>
      <c r="N221" s="557">
        <f>PROFORMA!O336</f>
        <v>0</v>
      </c>
      <c r="O221" s="557">
        <f>PROFORMA!P336</f>
        <v>0</v>
      </c>
      <c r="P221" s="557">
        <f>PROFORMA!Q336</f>
        <v>0</v>
      </c>
      <c r="Q221" s="557">
        <f>PROFORMA!R336</f>
        <v>0</v>
      </c>
      <c r="R221" s="557">
        <f>PROFORMA!S336</f>
        <v>0</v>
      </c>
      <c r="S221" s="557">
        <f>PROFORMA!T336</f>
        <v>0</v>
      </c>
      <c r="T221" s="557">
        <f>PROFORMA!U336</f>
        <v>0</v>
      </c>
      <c r="U221" s="557">
        <f>PROFORMA!V336</f>
        <v>0</v>
      </c>
      <c r="V221" s="557">
        <f>PROFORMA!W336</f>
        <v>0</v>
      </c>
      <c r="W221" s="557">
        <f>PROFORMA!X336</f>
        <v>-7000</v>
      </c>
      <c r="X221" s="579">
        <f t="shared" si="228"/>
        <v>-7000</v>
      </c>
      <c r="Y221" s="557">
        <f>PROFORMA!Y336</f>
        <v>0</v>
      </c>
      <c r="Z221" s="557">
        <f>PROFORMA!Z336</f>
        <v>0</v>
      </c>
      <c r="AA221" s="557">
        <f>PROFORMA!AA336</f>
        <v>0</v>
      </c>
      <c r="AB221" s="557">
        <f>PROFORMA!AB336</f>
        <v>0</v>
      </c>
      <c r="AC221" s="557">
        <f>PROFORMA!AC336</f>
        <v>0</v>
      </c>
      <c r="AD221" s="557">
        <f>PROFORMA!AD336</f>
        <v>0</v>
      </c>
      <c r="AE221" s="557">
        <f>PROFORMA!AE336</f>
        <v>0</v>
      </c>
      <c r="AF221" s="557">
        <f>PROFORMA!AG336</f>
        <v>0</v>
      </c>
      <c r="AG221" s="557">
        <f>PROFORMA!AH336</f>
        <v>0</v>
      </c>
      <c r="AH221" s="557">
        <f>PROFORMA!AI336</f>
        <v>0</v>
      </c>
      <c r="AI221" s="557">
        <f>PROFORMA!AJ336</f>
        <v>0</v>
      </c>
      <c r="AJ221" s="557">
        <f>PROFORMA!AK336</f>
        <v>0</v>
      </c>
      <c r="AK221" s="557">
        <f>PROFORMA!AL336</f>
        <v>0</v>
      </c>
      <c r="AL221" s="557">
        <f>PROFORMA!AM336</f>
        <v>3000</v>
      </c>
      <c r="AM221" s="557">
        <f>PROFORMA!AN336</f>
        <v>0</v>
      </c>
      <c r="AN221" s="557">
        <f>PROFORMA!AO336</f>
        <v>-6000</v>
      </c>
      <c r="AO221" s="557">
        <f>PROFORMA!AP336</f>
        <v>0</v>
      </c>
      <c r="AP221" s="557">
        <f>PROFORMA!AQ336</f>
        <v>0</v>
      </c>
      <c r="AQ221" s="557">
        <f>PROFORMA!AR336</f>
        <v>0</v>
      </c>
      <c r="AR221" s="557">
        <f>PROFORMA!AS336</f>
        <v>-6000</v>
      </c>
      <c r="AS221" s="557">
        <f>PROFORMA!AT336</f>
        <v>0</v>
      </c>
      <c r="AT221" s="582">
        <f t="shared" ref="AT221:AT230" si="254">SUM(Y221:AS221)</f>
        <v>-9000</v>
      </c>
      <c r="AU221" s="532">
        <f t="shared" ref="AU221:AU230" si="255">X221+AT221</f>
        <v>-16000</v>
      </c>
      <c r="AV221" s="532">
        <f t="shared" ref="AV221:AV230" si="256">E221+AU221</f>
        <v>40000</v>
      </c>
      <c r="AW221" s="532"/>
      <c r="AX221" s="532">
        <f t="shared" si="238"/>
        <v>40000</v>
      </c>
    </row>
    <row r="222" spans="1:50" ht="31.5">
      <c r="A222" s="529">
        <v>219</v>
      </c>
      <c r="B222" s="794"/>
      <c r="C222" s="568" t="s">
        <v>253</v>
      </c>
      <c r="D222" s="551">
        <v>390</v>
      </c>
      <c r="E222" s="557">
        <f>PROFORMA!F337</f>
        <v>5956000</v>
      </c>
      <c r="F222" s="557">
        <f>PROFORMA!G337</f>
        <v>0</v>
      </c>
      <c r="G222" s="557">
        <f>PROFORMA!H337</f>
        <v>0</v>
      </c>
      <c r="H222" s="557">
        <f>PROFORMA!I337</f>
        <v>0</v>
      </c>
      <c r="I222" s="557">
        <f>PROFORMA!J337</f>
        <v>0</v>
      </c>
      <c r="J222" s="557">
        <f>PROFORMA!K337</f>
        <v>0</v>
      </c>
      <c r="K222" s="557">
        <f>PROFORMA!L337</f>
        <v>0</v>
      </c>
      <c r="L222" s="557">
        <f>PROFORMA!M337</f>
        <v>0</v>
      </c>
      <c r="M222" s="557">
        <f>PROFORMA!N337</f>
        <v>0</v>
      </c>
      <c r="N222" s="557">
        <f>PROFORMA!O337</f>
        <v>0</v>
      </c>
      <c r="O222" s="557">
        <f>PROFORMA!P337</f>
        <v>0</v>
      </c>
      <c r="P222" s="557">
        <f>PROFORMA!Q337</f>
        <v>0</v>
      </c>
      <c r="Q222" s="557">
        <f>PROFORMA!R337</f>
        <v>0</v>
      </c>
      <c r="R222" s="557">
        <f>PROFORMA!S337</f>
        <v>0</v>
      </c>
      <c r="S222" s="557">
        <f>PROFORMA!T337</f>
        <v>0</v>
      </c>
      <c r="T222" s="557">
        <f>PROFORMA!U337</f>
        <v>0</v>
      </c>
      <c r="U222" s="557">
        <f>PROFORMA!V337</f>
        <v>0</v>
      </c>
      <c r="V222" s="557">
        <f>PROFORMA!W337</f>
        <v>0</v>
      </c>
      <c r="W222" s="557">
        <f>PROFORMA!X337</f>
        <v>-718000</v>
      </c>
      <c r="X222" s="579">
        <f t="shared" si="228"/>
        <v>-718000</v>
      </c>
      <c r="Y222" s="557">
        <f>PROFORMA!Y337</f>
        <v>0</v>
      </c>
      <c r="Z222" s="557">
        <f>PROFORMA!Z337</f>
        <v>0</v>
      </c>
      <c r="AA222" s="557">
        <f>PROFORMA!AA337</f>
        <v>0</v>
      </c>
      <c r="AB222" s="557">
        <f>PROFORMA!AB337</f>
        <v>0</v>
      </c>
      <c r="AC222" s="557">
        <f>PROFORMA!AC337</f>
        <v>0</v>
      </c>
      <c r="AD222" s="557">
        <f>PROFORMA!AD337</f>
        <v>0</v>
      </c>
      <c r="AE222" s="557">
        <f>PROFORMA!AE337</f>
        <v>0</v>
      </c>
      <c r="AF222" s="557">
        <f>PROFORMA!AG337</f>
        <v>0</v>
      </c>
      <c r="AG222" s="557">
        <f>PROFORMA!AH337</f>
        <v>0</v>
      </c>
      <c r="AH222" s="557">
        <f>PROFORMA!AI337</f>
        <v>0</v>
      </c>
      <c r="AI222" s="557">
        <f>PROFORMA!AJ337</f>
        <v>0</v>
      </c>
      <c r="AJ222" s="557">
        <f>PROFORMA!AK337</f>
        <v>0</v>
      </c>
      <c r="AK222" s="557">
        <f>PROFORMA!AL337</f>
        <v>0</v>
      </c>
      <c r="AL222" s="557">
        <f>PROFORMA!AM337</f>
        <v>335000</v>
      </c>
      <c r="AM222" s="557">
        <f>PROFORMA!AN337</f>
        <v>0</v>
      </c>
      <c r="AN222" s="557">
        <f>PROFORMA!AO337</f>
        <v>-608000</v>
      </c>
      <c r="AO222" s="557">
        <f>PROFORMA!AP337</f>
        <v>0</v>
      </c>
      <c r="AP222" s="557">
        <f>PROFORMA!AQ337</f>
        <v>0</v>
      </c>
      <c r="AQ222" s="557">
        <f>PROFORMA!AR337</f>
        <v>0</v>
      </c>
      <c r="AR222" s="557">
        <f>PROFORMA!AS337</f>
        <v>-599000</v>
      </c>
      <c r="AS222" s="557">
        <f>PROFORMA!AT337</f>
        <v>0</v>
      </c>
      <c r="AT222" s="582">
        <f t="shared" si="254"/>
        <v>-872000</v>
      </c>
      <c r="AU222" s="532">
        <f t="shared" si="255"/>
        <v>-1590000</v>
      </c>
      <c r="AV222" s="532">
        <f t="shared" si="256"/>
        <v>4366000</v>
      </c>
      <c r="AW222" s="532"/>
      <c r="AX222" s="532">
        <f t="shared" si="238"/>
        <v>4366000</v>
      </c>
    </row>
    <row r="223" spans="1:50" ht="31.5">
      <c r="A223" s="529">
        <v>220</v>
      </c>
      <c r="B223" s="794"/>
      <c r="C223" s="568" t="s">
        <v>269</v>
      </c>
      <c r="D223" s="551">
        <v>391</v>
      </c>
      <c r="E223" s="557">
        <f>PROFORMA!F338</f>
        <v>8811000</v>
      </c>
      <c r="F223" s="557">
        <f>PROFORMA!G338</f>
        <v>0</v>
      </c>
      <c r="G223" s="557">
        <f>PROFORMA!H338</f>
        <v>0</v>
      </c>
      <c r="H223" s="557">
        <f>PROFORMA!I338</f>
        <v>0</v>
      </c>
      <c r="I223" s="557">
        <f>PROFORMA!J338</f>
        <v>0</v>
      </c>
      <c r="J223" s="557">
        <f>PROFORMA!K338</f>
        <v>0</v>
      </c>
      <c r="K223" s="557">
        <f>PROFORMA!L338</f>
        <v>0</v>
      </c>
      <c r="L223" s="557">
        <f>PROFORMA!M338</f>
        <v>0</v>
      </c>
      <c r="M223" s="557">
        <f>PROFORMA!N338</f>
        <v>0</v>
      </c>
      <c r="N223" s="557">
        <f>PROFORMA!O338</f>
        <v>0</v>
      </c>
      <c r="O223" s="557">
        <f>PROFORMA!P338</f>
        <v>0</v>
      </c>
      <c r="P223" s="557">
        <f>PROFORMA!Q338</f>
        <v>0</v>
      </c>
      <c r="Q223" s="557">
        <f>PROFORMA!R338</f>
        <v>0</v>
      </c>
      <c r="R223" s="557">
        <f>PROFORMA!S338</f>
        <v>0</v>
      </c>
      <c r="S223" s="557">
        <f>PROFORMA!T338</f>
        <v>0</v>
      </c>
      <c r="T223" s="557">
        <f>PROFORMA!U338</f>
        <v>0</v>
      </c>
      <c r="U223" s="557">
        <f>PROFORMA!V338</f>
        <v>0</v>
      </c>
      <c r="V223" s="557">
        <f>PROFORMA!W338</f>
        <v>0</v>
      </c>
      <c r="W223" s="557">
        <f>PROFORMA!X338</f>
        <v>-1061000</v>
      </c>
      <c r="X223" s="579">
        <f t="shared" si="228"/>
        <v>-1061000</v>
      </c>
      <c r="Y223" s="557">
        <f>PROFORMA!Y338</f>
        <v>0</v>
      </c>
      <c r="Z223" s="557">
        <f>PROFORMA!Z338</f>
        <v>0</v>
      </c>
      <c r="AA223" s="557">
        <f>PROFORMA!AA338</f>
        <v>0</v>
      </c>
      <c r="AB223" s="557">
        <f>PROFORMA!AB338</f>
        <v>0</v>
      </c>
      <c r="AC223" s="557">
        <f>PROFORMA!AC338</f>
        <v>0</v>
      </c>
      <c r="AD223" s="557">
        <f>PROFORMA!AD338</f>
        <v>0</v>
      </c>
      <c r="AE223" s="557">
        <f>PROFORMA!AE338</f>
        <v>0</v>
      </c>
      <c r="AF223" s="557">
        <f>PROFORMA!AG338</f>
        <v>0</v>
      </c>
      <c r="AG223" s="557">
        <f>PROFORMA!AH338</f>
        <v>0</v>
      </c>
      <c r="AH223" s="557">
        <f>PROFORMA!AI338</f>
        <v>0</v>
      </c>
      <c r="AI223" s="557">
        <f>PROFORMA!AJ338</f>
        <v>0</v>
      </c>
      <c r="AJ223" s="557">
        <f>PROFORMA!AK338</f>
        <v>0</v>
      </c>
      <c r="AK223" s="557">
        <f>PROFORMA!AL338</f>
        <v>0</v>
      </c>
      <c r="AL223" s="557">
        <f>PROFORMA!AM338</f>
        <v>495000</v>
      </c>
      <c r="AM223" s="557">
        <f>PROFORMA!AN338</f>
        <v>0</v>
      </c>
      <c r="AN223" s="557">
        <f>PROFORMA!AO338</f>
        <v>-899000</v>
      </c>
      <c r="AO223" s="557">
        <f>PROFORMA!AP338</f>
        <v>0</v>
      </c>
      <c r="AP223" s="557">
        <f>PROFORMA!AQ338</f>
        <v>0</v>
      </c>
      <c r="AQ223" s="557">
        <f>PROFORMA!AR338</f>
        <v>0</v>
      </c>
      <c r="AR223" s="557">
        <f>PROFORMA!AS338</f>
        <v>-886000</v>
      </c>
      <c r="AS223" s="557">
        <f>PROFORMA!AT338</f>
        <v>0</v>
      </c>
      <c r="AT223" s="582">
        <f t="shared" si="254"/>
        <v>-1290000</v>
      </c>
      <c r="AU223" s="532">
        <f t="shared" si="255"/>
        <v>-2351000</v>
      </c>
      <c r="AV223" s="532">
        <f t="shared" si="256"/>
        <v>6460000</v>
      </c>
      <c r="AW223" s="532"/>
      <c r="AX223" s="532">
        <f t="shared" si="238"/>
        <v>6460000</v>
      </c>
    </row>
    <row r="224" spans="1:50" ht="15" customHeight="1">
      <c r="A224" s="529">
        <v>221</v>
      </c>
      <c r="B224" s="794"/>
      <c r="C224" s="568" t="s">
        <v>270</v>
      </c>
      <c r="D224" s="551">
        <v>392</v>
      </c>
      <c r="E224" s="557">
        <f>PROFORMA!F339</f>
        <v>8982000</v>
      </c>
      <c r="F224" s="557">
        <f>PROFORMA!G339</f>
        <v>0</v>
      </c>
      <c r="G224" s="557">
        <f>PROFORMA!H339</f>
        <v>0</v>
      </c>
      <c r="H224" s="557">
        <f>PROFORMA!I339</f>
        <v>0</v>
      </c>
      <c r="I224" s="557">
        <f>PROFORMA!J339</f>
        <v>0</v>
      </c>
      <c r="J224" s="557">
        <f>PROFORMA!K339</f>
        <v>0</v>
      </c>
      <c r="K224" s="557">
        <f>PROFORMA!L339</f>
        <v>0</v>
      </c>
      <c r="L224" s="557">
        <f>PROFORMA!M339</f>
        <v>0</v>
      </c>
      <c r="M224" s="557">
        <f>PROFORMA!N339</f>
        <v>0</v>
      </c>
      <c r="N224" s="557">
        <f>PROFORMA!O339</f>
        <v>0</v>
      </c>
      <c r="O224" s="557">
        <f>PROFORMA!P339</f>
        <v>0</v>
      </c>
      <c r="P224" s="557">
        <f>PROFORMA!Q339</f>
        <v>0</v>
      </c>
      <c r="Q224" s="557">
        <f>PROFORMA!R339</f>
        <v>0</v>
      </c>
      <c r="R224" s="557">
        <f>PROFORMA!S339</f>
        <v>0</v>
      </c>
      <c r="S224" s="557">
        <f>PROFORMA!T339</f>
        <v>0</v>
      </c>
      <c r="T224" s="557">
        <f>PROFORMA!U339</f>
        <v>0</v>
      </c>
      <c r="U224" s="557">
        <f>PROFORMA!V339</f>
        <v>0</v>
      </c>
      <c r="V224" s="557">
        <f>PROFORMA!W339</f>
        <v>0</v>
      </c>
      <c r="W224" s="557">
        <f>PROFORMA!X339</f>
        <v>-1083000</v>
      </c>
      <c r="X224" s="579">
        <f t="shared" si="228"/>
        <v>-1083000</v>
      </c>
      <c r="Y224" s="557">
        <f>PROFORMA!Y339</f>
        <v>0</v>
      </c>
      <c r="Z224" s="557">
        <f>PROFORMA!Z339</f>
        <v>0</v>
      </c>
      <c r="AA224" s="557">
        <f>PROFORMA!AA339</f>
        <v>0</v>
      </c>
      <c r="AB224" s="557">
        <f>PROFORMA!AB339</f>
        <v>0</v>
      </c>
      <c r="AC224" s="557">
        <f>PROFORMA!AC339</f>
        <v>0</v>
      </c>
      <c r="AD224" s="557">
        <f>PROFORMA!AD339</f>
        <v>0</v>
      </c>
      <c r="AE224" s="557">
        <f>PROFORMA!AE339</f>
        <v>0</v>
      </c>
      <c r="AF224" s="557">
        <f>PROFORMA!AG339</f>
        <v>0</v>
      </c>
      <c r="AG224" s="557">
        <f>PROFORMA!AH339</f>
        <v>0</v>
      </c>
      <c r="AH224" s="557">
        <f>PROFORMA!AI339</f>
        <v>0</v>
      </c>
      <c r="AI224" s="557">
        <f>PROFORMA!AJ339</f>
        <v>0</v>
      </c>
      <c r="AJ224" s="557">
        <f>PROFORMA!AK339</f>
        <v>0</v>
      </c>
      <c r="AK224" s="557">
        <f>PROFORMA!AL339</f>
        <v>0</v>
      </c>
      <c r="AL224" s="557">
        <f>PROFORMA!AM339</f>
        <v>506000</v>
      </c>
      <c r="AM224" s="557">
        <f>PROFORMA!AN339</f>
        <v>0</v>
      </c>
      <c r="AN224" s="557">
        <f>PROFORMA!AO339</f>
        <v>-915000</v>
      </c>
      <c r="AO224" s="557">
        <f>PROFORMA!AP339</f>
        <v>0</v>
      </c>
      <c r="AP224" s="557">
        <f>PROFORMA!AQ339</f>
        <v>0</v>
      </c>
      <c r="AQ224" s="557">
        <f>PROFORMA!AR339</f>
        <v>0</v>
      </c>
      <c r="AR224" s="557">
        <f>PROFORMA!AS339</f>
        <v>-903000</v>
      </c>
      <c r="AS224" s="557">
        <f>PROFORMA!AT339</f>
        <v>0</v>
      </c>
      <c r="AT224" s="582">
        <f t="shared" si="254"/>
        <v>-1312000</v>
      </c>
      <c r="AU224" s="532">
        <f t="shared" si="255"/>
        <v>-2395000</v>
      </c>
      <c r="AV224" s="532">
        <f t="shared" si="256"/>
        <v>6587000</v>
      </c>
      <c r="AW224" s="532"/>
      <c r="AX224" s="532">
        <f t="shared" si="238"/>
        <v>6587000</v>
      </c>
    </row>
    <row r="225" spans="1:50">
      <c r="A225" s="529">
        <v>222</v>
      </c>
      <c r="B225" s="794"/>
      <c r="C225" s="568" t="s">
        <v>271</v>
      </c>
      <c r="D225" s="551">
        <v>393</v>
      </c>
      <c r="E225" s="557">
        <f>PROFORMA!F340</f>
        <v>339000</v>
      </c>
      <c r="F225" s="557">
        <f>PROFORMA!G340</f>
        <v>0</v>
      </c>
      <c r="G225" s="557">
        <f>PROFORMA!H340</f>
        <v>0</v>
      </c>
      <c r="H225" s="557">
        <f>PROFORMA!I340</f>
        <v>0</v>
      </c>
      <c r="I225" s="557">
        <f>PROFORMA!J340</f>
        <v>0</v>
      </c>
      <c r="J225" s="557">
        <f>PROFORMA!K340</f>
        <v>0</v>
      </c>
      <c r="K225" s="557">
        <f>PROFORMA!L340</f>
        <v>0</v>
      </c>
      <c r="L225" s="557">
        <f>PROFORMA!M340</f>
        <v>0</v>
      </c>
      <c r="M225" s="557">
        <f>PROFORMA!N340</f>
        <v>0</v>
      </c>
      <c r="N225" s="557">
        <f>PROFORMA!O340</f>
        <v>0</v>
      </c>
      <c r="O225" s="557">
        <f>PROFORMA!P340</f>
        <v>0</v>
      </c>
      <c r="P225" s="557">
        <f>PROFORMA!Q340</f>
        <v>0</v>
      </c>
      <c r="Q225" s="557">
        <f>PROFORMA!R340</f>
        <v>0</v>
      </c>
      <c r="R225" s="557">
        <f>PROFORMA!S340</f>
        <v>0</v>
      </c>
      <c r="S225" s="557">
        <f>PROFORMA!T340</f>
        <v>0</v>
      </c>
      <c r="T225" s="557">
        <f>PROFORMA!U340</f>
        <v>0</v>
      </c>
      <c r="U225" s="557">
        <f>PROFORMA!V340</f>
        <v>0</v>
      </c>
      <c r="V225" s="557">
        <f>PROFORMA!W340</f>
        <v>0</v>
      </c>
      <c r="W225" s="557">
        <f>PROFORMA!X340</f>
        <v>-41000</v>
      </c>
      <c r="X225" s="579">
        <f t="shared" si="228"/>
        <v>-41000</v>
      </c>
      <c r="Y225" s="557">
        <f>PROFORMA!Y340</f>
        <v>0</v>
      </c>
      <c r="Z225" s="557">
        <f>PROFORMA!Z340</f>
        <v>0</v>
      </c>
      <c r="AA225" s="557">
        <f>PROFORMA!AA340</f>
        <v>0</v>
      </c>
      <c r="AB225" s="557">
        <f>PROFORMA!AB340</f>
        <v>0</v>
      </c>
      <c r="AC225" s="557">
        <f>PROFORMA!AC340</f>
        <v>0</v>
      </c>
      <c r="AD225" s="557">
        <f>PROFORMA!AD340</f>
        <v>0</v>
      </c>
      <c r="AE225" s="557">
        <f>PROFORMA!AE340</f>
        <v>0</v>
      </c>
      <c r="AF225" s="557">
        <f>PROFORMA!AG340</f>
        <v>0</v>
      </c>
      <c r="AG225" s="557">
        <f>PROFORMA!AH340</f>
        <v>0</v>
      </c>
      <c r="AH225" s="557">
        <f>PROFORMA!AI340</f>
        <v>0</v>
      </c>
      <c r="AI225" s="557">
        <f>PROFORMA!AJ340</f>
        <v>0</v>
      </c>
      <c r="AJ225" s="557">
        <f>PROFORMA!AK340</f>
        <v>0</v>
      </c>
      <c r="AK225" s="557">
        <f>PROFORMA!AL340</f>
        <v>0</v>
      </c>
      <c r="AL225" s="557">
        <f>PROFORMA!AM340</f>
        <v>19000</v>
      </c>
      <c r="AM225" s="557">
        <f>PROFORMA!AN340</f>
        <v>0</v>
      </c>
      <c r="AN225" s="557">
        <f>PROFORMA!AO340</f>
        <v>-35000</v>
      </c>
      <c r="AO225" s="557">
        <f>PROFORMA!AP340</f>
        <v>0</v>
      </c>
      <c r="AP225" s="557">
        <f>PROFORMA!AQ340</f>
        <v>0</v>
      </c>
      <c r="AQ225" s="557">
        <f>PROFORMA!AR340</f>
        <v>0</v>
      </c>
      <c r="AR225" s="557">
        <f>PROFORMA!AS340</f>
        <v>-34000</v>
      </c>
      <c r="AS225" s="557">
        <f>PROFORMA!AT340</f>
        <v>0</v>
      </c>
      <c r="AT225" s="582">
        <f t="shared" si="254"/>
        <v>-50000</v>
      </c>
      <c r="AU225" s="532">
        <f t="shared" si="255"/>
        <v>-91000</v>
      </c>
      <c r="AV225" s="532">
        <f t="shared" si="256"/>
        <v>248000</v>
      </c>
      <c r="AW225" s="532"/>
      <c r="AX225" s="532">
        <f t="shared" si="238"/>
        <v>248000</v>
      </c>
    </row>
    <row r="226" spans="1:50" ht="31.5">
      <c r="A226" s="529">
        <v>223</v>
      </c>
      <c r="B226" s="794"/>
      <c r="C226" s="568" t="s">
        <v>272</v>
      </c>
      <c r="D226" s="551">
        <v>394</v>
      </c>
      <c r="E226" s="557">
        <f>PROFORMA!F341</f>
        <v>3262000</v>
      </c>
      <c r="F226" s="557">
        <f>PROFORMA!G341</f>
        <v>0</v>
      </c>
      <c r="G226" s="557">
        <f>PROFORMA!H341</f>
        <v>0</v>
      </c>
      <c r="H226" s="557">
        <f>PROFORMA!I341</f>
        <v>0</v>
      </c>
      <c r="I226" s="557">
        <f>PROFORMA!J341</f>
        <v>0</v>
      </c>
      <c r="J226" s="557">
        <f>PROFORMA!K341</f>
        <v>0</v>
      </c>
      <c r="K226" s="557">
        <f>PROFORMA!L341</f>
        <v>0</v>
      </c>
      <c r="L226" s="557">
        <f>PROFORMA!M341</f>
        <v>0</v>
      </c>
      <c r="M226" s="557">
        <f>PROFORMA!N341</f>
        <v>0</v>
      </c>
      <c r="N226" s="557">
        <f>PROFORMA!O341</f>
        <v>0</v>
      </c>
      <c r="O226" s="557">
        <f>PROFORMA!P341</f>
        <v>0</v>
      </c>
      <c r="P226" s="557">
        <f>PROFORMA!Q341</f>
        <v>0</v>
      </c>
      <c r="Q226" s="557">
        <f>PROFORMA!R341</f>
        <v>0</v>
      </c>
      <c r="R226" s="557">
        <f>PROFORMA!S341</f>
        <v>0</v>
      </c>
      <c r="S226" s="557">
        <f>PROFORMA!T341</f>
        <v>0</v>
      </c>
      <c r="T226" s="557">
        <f>PROFORMA!U341</f>
        <v>0</v>
      </c>
      <c r="U226" s="557">
        <f>PROFORMA!V341</f>
        <v>0</v>
      </c>
      <c r="V226" s="557">
        <f>PROFORMA!W341</f>
        <v>0</v>
      </c>
      <c r="W226" s="557">
        <f>PROFORMA!X341</f>
        <v>-393000</v>
      </c>
      <c r="X226" s="579">
        <f t="shared" si="228"/>
        <v>-393000</v>
      </c>
      <c r="Y226" s="557">
        <f>PROFORMA!Y341</f>
        <v>0</v>
      </c>
      <c r="Z226" s="557">
        <f>PROFORMA!Z341</f>
        <v>0</v>
      </c>
      <c r="AA226" s="557">
        <f>PROFORMA!AA341</f>
        <v>0</v>
      </c>
      <c r="AB226" s="557">
        <f>PROFORMA!AB341</f>
        <v>0</v>
      </c>
      <c r="AC226" s="557">
        <f>PROFORMA!AC341</f>
        <v>0</v>
      </c>
      <c r="AD226" s="557">
        <f>PROFORMA!AD341</f>
        <v>0</v>
      </c>
      <c r="AE226" s="557">
        <f>PROFORMA!AE341</f>
        <v>0</v>
      </c>
      <c r="AF226" s="557">
        <f>PROFORMA!AG341</f>
        <v>0</v>
      </c>
      <c r="AG226" s="557">
        <f>PROFORMA!AH341</f>
        <v>0</v>
      </c>
      <c r="AH226" s="557">
        <f>PROFORMA!AI341</f>
        <v>0</v>
      </c>
      <c r="AI226" s="557">
        <f>PROFORMA!AJ341</f>
        <v>0</v>
      </c>
      <c r="AJ226" s="557">
        <f>PROFORMA!AK341</f>
        <v>0</v>
      </c>
      <c r="AK226" s="557">
        <f>PROFORMA!AL341</f>
        <v>0</v>
      </c>
      <c r="AL226" s="557">
        <f>PROFORMA!AM341</f>
        <v>183000</v>
      </c>
      <c r="AM226" s="557">
        <f>PROFORMA!AN341</f>
        <v>0</v>
      </c>
      <c r="AN226" s="557">
        <f>PROFORMA!AO341</f>
        <v>-333000</v>
      </c>
      <c r="AO226" s="557">
        <f>PROFORMA!AP341</f>
        <v>0</v>
      </c>
      <c r="AP226" s="557">
        <f>PROFORMA!AQ341</f>
        <v>0</v>
      </c>
      <c r="AQ226" s="557">
        <f>PROFORMA!AR341</f>
        <v>0</v>
      </c>
      <c r="AR226" s="557">
        <f>PROFORMA!AS341</f>
        <v>-328000</v>
      </c>
      <c r="AS226" s="557">
        <f>PROFORMA!AT341</f>
        <v>0</v>
      </c>
      <c r="AT226" s="582">
        <f t="shared" si="254"/>
        <v>-478000</v>
      </c>
      <c r="AU226" s="532">
        <f t="shared" si="255"/>
        <v>-871000</v>
      </c>
      <c r="AV226" s="532">
        <f t="shared" si="256"/>
        <v>2391000</v>
      </c>
      <c r="AW226" s="532"/>
      <c r="AX226" s="532">
        <f t="shared" si="238"/>
        <v>2391000</v>
      </c>
    </row>
    <row r="227" spans="1:50" ht="17.45" customHeight="1">
      <c r="A227" s="529">
        <v>224</v>
      </c>
      <c r="B227" s="794"/>
      <c r="C227" s="568" t="s">
        <v>273</v>
      </c>
      <c r="D227" s="551">
        <v>395</v>
      </c>
      <c r="E227" s="557">
        <f>PROFORMA!F342</f>
        <v>250000</v>
      </c>
      <c r="F227" s="557">
        <f>PROFORMA!G342</f>
        <v>0</v>
      </c>
      <c r="G227" s="557">
        <f>PROFORMA!H342</f>
        <v>0</v>
      </c>
      <c r="H227" s="557">
        <f>PROFORMA!I342</f>
        <v>0</v>
      </c>
      <c r="I227" s="557">
        <f>PROFORMA!J342</f>
        <v>0</v>
      </c>
      <c r="J227" s="557">
        <f>PROFORMA!K342</f>
        <v>0</v>
      </c>
      <c r="K227" s="557">
        <f>PROFORMA!L342</f>
        <v>0</v>
      </c>
      <c r="L227" s="557">
        <f>PROFORMA!M342</f>
        <v>0</v>
      </c>
      <c r="M227" s="557">
        <f>PROFORMA!N342</f>
        <v>0</v>
      </c>
      <c r="N227" s="557">
        <f>PROFORMA!O342</f>
        <v>0</v>
      </c>
      <c r="O227" s="557">
        <f>PROFORMA!P342</f>
        <v>0</v>
      </c>
      <c r="P227" s="557">
        <f>PROFORMA!Q342</f>
        <v>0</v>
      </c>
      <c r="Q227" s="557">
        <f>PROFORMA!R342</f>
        <v>0</v>
      </c>
      <c r="R227" s="557">
        <f>PROFORMA!S342</f>
        <v>0</v>
      </c>
      <c r="S227" s="557">
        <f>PROFORMA!T342</f>
        <v>0</v>
      </c>
      <c r="T227" s="557">
        <f>PROFORMA!U342</f>
        <v>0</v>
      </c>
      <c r="U227" s="557">
        <f>PROFORMA!V342</f>
        <v>0</v>
      </c>
      <c r="V227" s="557">
        <f>PROFORMA!W342</f>
        <v>0</v>
      </c>
      <c r="W227" s="557">
        <f>PROFORMA!X342</f>
        <v>-30000</v>
      </c>
      <c r="X227" s="579">
        <f t="shared" si="228"/>
        <v>-30000</v>
      </c>
      <c r="Y227" s="557">
        <f>PROFORMA!Y342</f>
        <v>0</v>
      </c>
      <c r="Z227" s="557">
        <f>PROFORMA!Z342</f>
        <v>0</v>
      </c>
      <c r="AA227" s="557">
        <f>PROFORMA!AA342</f>
        <v>0</v>
      </c>
      <c r="AB227" s="557">
        <f>PROFORMA!AB342</f>
        <v>0</v>
      </c>
      <c r="AC227" s="557">
        <f>PROFORMA!AC342</f>
        <v>0</v>
      </c>
      <c r="AD227" s="557">
        <f>PROFORMA!AD342</f>
        <v>0</v>
      </c>
      <c r="AE227" s="557">
        <f>PROFORMA!AE342</f>
        <v>0</v>
      </c>
      <c r="AF227" s="557">
        <f>PROFORMA!AG342</f>
        <v>0</v>
      </c>
      <c r="AG227" s="557">
        <f>PROFORMA!AH342</f>
        <v>0</v>
      </c>
      <c r="AH227" s="557">
        <f>PROFORMA!AI342</f>
        <v>0</v>
      </c>
      <c r="AI227" s="557">
        <f>PROFORMA!AJ342</f>
        <v>0</v>
      </c>
      <c r="AJ227" s="557">
        <f>PROFORMA!AK342</f>
        <v>0</v>
      </c>
      <c r="AK227" s="557">
        <f>PROFORMA!AL342</f>
        <v>0</v>
      </c>
      <c r="AL227" s="557">
        <f>PROFORMA!AM342</f>
        <v>14000</v>
      </c>
      <c r="AM227" s="557">
        <f>PROFORMA!AN342</f>
        <v>0</v>
      </c>
      <c r="AN227" s="557">
        <f>PROFORMA!AO342</f>
        <v>-26000</v>
      </c>
      <c r="AO227" s="557">
        <f>PROFORMA!AP342</f>
        <v>0</v>
      </c>
      <c r="AP227" s="557">
        <f>PROFORMA!AQ342</f>
        <v>0</v>
      </c>
      <c r="AQ227" s="557">
        <f>PROFORMA!AR342</f>
        <v>0</v>
      </c>
      <c r="AR227" s="557">
        <f>PROFORMA!AS342</f>
        <v>-25000</v>
      </c>
      <c r="AS227" s="557">
        <f>PROFORMA!AT342</f>
        <v>0</v>
      </c>
      <c r="AT227" s="582">
        <f t="shared" si="254"/>
        <v>-37000</v>
      </c>
      <c r="AU227" s="532">
        <f t="shared" si="255"/>
        <v>-67000</v>
      </c>
      <c r="AV227" s="532">
        <f t="shared" si="256"/>
        <v>183000</v>
      </c>
      <c r="AW227" s="532"/>
      <c r="AX227" s="532">
        <f t="shared" si="238"/>
        <v>183000</v>
      </c>
    </row>
    <row r="228" spans="1:50" ht="31.5">
      <c r="A228" s="529">
        <v>225</v>
      </c>
      <c r="B228" s="794"/>
      <c r="C228" s="568" t="s">
        <v>274</v>
      </c>
      <c r="D228" s="551">
        <v>396</v>
      </c>
      <c r="E228" s="557">
        <f>PROFORMA!F343</f>
        <v>2837000</v>
      </c>
      <c r="F228" s="557">
        <f>PROFORMA!G343</f>
        <v>0</v>
      </c>
      <c r="G228" s="557">
        <f>PROFORMA!H343</f>
        <v>0</v>
      </c>
      <c r="H228" s="557">
        <f>PROFORMA!I343</f>
        <v>0</v>
      </c>
      <c r="I228" s="557">
        <f>PROFORMA!J343</f>
        <v>0</v>
      </c>
      <c r="J228" s="557">
        <f>PROFORMA!K343</f>
        <v>0</v>
      </c>
      <c r="K228" s="557">
        <f>PROFORMA!L343</f>
        <v>0</v>
      </c>
      <c r="L228" s="557">
        <f>PROFORMA!M343</f>
        <v>0</v>
      </c>
      <c r="M228" s="557">
        <f>PROFORMA!N343</f>
        <v>0</v>
      </c>
      <c r="N228" s="557">
        <f>PROFORMA!O343</f>
        <v>0</v>
      </c>
      <c r="O228" s="557">
        <f>PROFORMA!P343</f>
        <v>0</v>
      </c>
      <c r="P228" s="557">
        <f>PROFORMA!Q343</f>
        <v>0</v>
      </c>
      <c r="Q228" s="557">
        <f>PROFORMA!R343</f>
        <v>0</v>
      </c>
      <c r="R228" s="557">
        <f>PROFORMA!S343</f>
        <v>0</v>
      </c>
      <c r="S228" s="557">
        <f>PROFORMA!T343</f>
        <v>0</v>
      </c>
      <c r="T228" s="557">
        <f>PROFORMA!U343</f>
        <v>0</v>
      </c>
      <c r="U228" s="557">
        <f>PROFORMA!V343</f>
        <v>0</v>
      </c>
      <c r="V228" s="557">
        <f>PROFORMA!W343</f>
        <v>0</v>
      </c>
      <c r="W228" s="557">
        <f>PROFORMA!X343</f>
        <v>-342000</v>
      </c>
      <c r="X228" s="579">
        <f t="shared" si="228"/>
        <v>-342000</v>
      </c>
      <c r="Y228" s="557">
        <f>PROFORMA!Y343</f>
        <v>0</v>
      </c>
      <c r="Z228" s="557">
        <f>PROFORMA!Z343</f>
        <v>0</v>
      </c>
      <c r="AA228" s="557">
        <f>PROFORMA!AA343</f>
        <v>0</v>
      </c>
      <c r="AB228" s="557">
        <f>PROFORMA!AB343</f>
        <v>0</v>
      </c>
      <c r="AC228" s="557">
        <f>PROFORMA!AC343</f>
        <v>0</v>
      </c>
      <c r="AD228" s="557">
        <f>PROFORMA!AD343</f>
        <v>0</v>
      </c>
      <c r="AE228" s="557">
        <f>PROFORMA!AE343</f>
        <v>0</v>
      </c>
      <c r="AF228" s="557">
        <f>PROFORMA!AG343</f>
        <v>0</v>
      </c>
      <c r="AG228" s="557">
        <f>PROFORMA!AH343</f>
        <v>0</v>
      </c>
      <c r="AH228" s="557">
        <f>PROFORMA!AI343</f>
        <v>0</v>
      </c>
      <c r="AI228" s="557">
        <f>PROFORMA!AJ343</f>
        <v>0</v>
      </c>
      <c r="AJ228" s="557">
        <f>PROFORMA!AK343</f>
        <v>0</v>
      </c>
      <c r="AK228" s="557">
        <f>PROFORMA!AL343</f>
        <v>0</v>
      </c>
      <c r="AL228" s="557">
        <f>PROFORMA!AM343</f>
        <v>160000</v>
      </c>
      <c r="AM228" s="557">
        <f>PROFORMA!AN343</f>
        <v>0</v>
      </c>
      <c r="AN228" s="557">
        <f>PROFORMA!AO343</f>
        <v>-289000</v>
      </c>
      <c r="AO228" s="557">
        <f>PROFORMA!AP343</f>
        <v>0</v>
      </c>
      <c r="AP228" s="557">
        <f>PROFORMA!AQ343</f>
        <v>0</v>
      </c>
      <c r="AQ228" s="557">
        <f>PROFORMA!AR343</f>
        <v>0</v>
      </c>
      <c r="AR228" s="557">
        <f>PROFORMA!AS343</f>
        <v>-285000</v>
      </c>
      <c r="AS228" s="557">
        <f>PROFORMA!AT343</f>
        <v>0</v>
      </c>
      <c r="AT228" s="582">
        <f t="shared" si="254"/>
        <v>-414000</v>
      </c>
      <c r="AU228" s="532">
        <f t="shared" si="255"/>
        <v>-756000</v>
      </c>
      <c r="AV228" s="532">
        <f t="shared" si="256"/>
        <v>2081000</v>
      </c>
      <c r="AW228" s="532"/>
      <c r="AX228" s="532">
        <f t="shared" si="238"/>
        <v>2081000</v>
      </c>
    </row>
    <row r="229" spans="1:50" ht="31.5">
      <c r="A229" s="529">
        <v>226</v>
      </c>
      <c r="B229" s="794"/>
      <c r="C229" s="568" t="s">
        <v>275</v>
      </c>
      <c r="D229" s="551">
        <v>397</v>
      </c>
      <c r="E229" s="557">
        <f>PROFORMA!F344</f>
        <v>5235000</v>
      </c>
      <c r="F229" s="557">
        <f>PROFORMA!G344</f>
        <v>0</v>
      </c>
      <c r="G229" s="557">
        <f>PROFORMA!H344</f>
        <v>0</v>
      </c>
      <c r="H229" s="557">
        <f>PROFORMA!I344</f>
        <v>0</v>
      </c>
      <c r="I229" s="557">
        <f>PROFORMA!J344</f>
        <v>0</v>
      </c>
      <c r="J229" s="557">
        <f>PROFORMA!K344</f>
        <v>0</v>
      </c>
      <c r="K229" s="557">
        <f>PROFORMA!L344</f>
        <v>0</v>
      </c>
      <c r="L229" s="557">
        <f>PROFORMA!M344</f>
        <v>0</v>
      </c>
      <c r="M229" s="557">
        <f>PROFORMA!N344</f>
        <v>0</v>
      </c>
      <c r="N229" s="557">
        <f>PROFORMA!O344</f>
        <v>0</v>
      </c>
      <c r="O229" s="557">
        <f>PROFORMA!P344</f>
        <v>0</v>
      </c>
      <c r="P229" s="557">
        <f>PROFORMA!Q344</f>
        <v>0</v>
      </c>
      <c r="Q229" s="557">
        <f>PROFORMA!R344</f>
        <v>0</v>
      </c>
      <c r="R229" s="557">
        <f>PROFORMA!S344</f>
        <v>0</v>
      </c>
      <c r="S229" s="557">
        <f>PROFORMA!T344</f>
        <v>0</v>
      </c>
      <c r="T229" s="557">
        <f>PROFORMA!U344</f>
        <v>0</v>
      </c>
      <c r="U229" s="557">
        <f>PROFORMA!V344</f>
        <v>0</v>
      </c>
      <c r="V229" s="557">
        <f>PROFORMA!W344</f>
        <v>0</v>
      </c>
      <c r="W229" s="557">
        <f>PROFORMA!X344</f>
        <v>-631000</v>
      </c>
      <c r="X229" s="579">
        <f t="shared" si="228"/>
        <v>-631000</v>
      </c>
      <c r="Y229" s="557">
        <f>PROFORMA!Y344</f>
        <v>0</v>
      </c>
      <c r="Z229" s="557">
        <f>PROFORMA!Z344</f>
        <v>0</v>
      </c>
      <c r="AA229" s="557">
        <f>PROFORMA!AA344</f>
        <v>0</v>
      </c>
      <c r="AB229" s="557">
        <f>PROFORMA!AB344</f>
        <v>0</v>
      </c>
      <c r="AC229" s="557">
        <f>PROFORMA!AC344</f>
        <v>0</v>
      </c>
      <c r="AD229" s="557">
        <f>PROFORMA!AD344</f>
        <v>0</v>
      </c>
      <c r="AE229" s="557">
        <f>PROFORMA!AE344</f>
        <v>0</v>
      </c>
      <c r="AF229" s="557">
        <f>PROFORMA!AG344</f>
        <v>0</v>
      </c>
      <c r="AG229" s="557">
        <f>PROFORMA!AH344</f>
        <v>0</v>
      </c>
      <c r="AH229" s="557">
        <f>PROFORMA!AI344</f>
        <v>0</v>
      </c>
      <c r="AI229" s="557">
        <f>PROFORMA!AJ344</f>
        <v>0</v>
      </c>
      <c r="AJ229" s="557">
        <f>PROFORMA!AK344</f>
        <v>0</v>
      </c>
      <c r="AK229" s="557">
        <f>PROFORMA!AL344</f>
        <v>0</v>
      </c>
      <c r="AL229" s="557">
        <f>PROFORMA!AM344</f>
        <v>294000</v>
      </c>
      <c r="AM229" s="557">
        <f>PROFORMA!AN344</f>
        <v>0</v>
      </c>
      <c r="AN229" s="557">
        <f>PROFORMA!AO344</f>
        <v>-534000</v>
      </c>
      <c r="AO229" s="557">
        <f>PROFORMA!AP344</f>
        <v>0</v>
      </c>
      <c r="AP229" s="557">
        <f>PROFORMA!AQ344</f>
        <v>0</v>
      </c>
      <c r="AQ229" s="557">
        <f>PROFORMA!AR344</f>
        <v>0</v>
      </c>
      <c r="AR229" s="557">
        <f>PROFORMA!AS344</f>
        <v>-526000</v>
      </c>
      <c r="AS229" s="557">
        <f>PROFORMA!AT344</f>
        <v>0</v>
      </c>
      <c r="AT229" s="582">
        <f t="shared" si="254"/>
        <v>-766000</v>
      </c>
      <c r="AU229" s="532">
        <f t="shared" si="255"/>
        <v>-1397000</v>
      </c>
      <c r="AV229" s="532">
        <f t="shared" si="256"/>
        <v>3838000</v>
      </c>
      <c r="AW229" s="532"/>
      <c r="AX229" s="532">
        <f t="shared" si="238"/>
        <v>3838000</v>
      </c>
    </row>
    <row r="230" spans="1:50" ht="21" customHeight="1">
      <c r="A230" s="529">
        <v>227</v>
      </c>
      <c r="B230" s="794"/>
      <c r="C230" s="568" t="s">
        <v>276</v>
      </c>
      <c r="D230" s="551">
        <v>398</v>
      </c>
      <c r="E230" s="577">
        <f>PROFORMA!F345</f>
        <v>108000</v>
      </c>
      <c r="F230" s="577">
        <f>PROFORMA!G345</f>
        <v>0</v>
      </c>
      <c r="G230" s="577">
        <f>PROFORMA!H345</f>
        <v>0</v>
      </c>
      <c r="H230" s="577">
        <f>PROFORMA!I345</f>
        <v>0</v>
      </c>
      <c r="I230" s="577">
        <f>PROFORMA!J345</f>
        <v>0</v>
      </c>
      <c r="J230" s="577">
        <f>PROFORMA!K345</f>
        <v>0</v>
      </c>
      <c r="K230" s="577">
        <f>PROFORMA!L345</f>
        <v>0</v>
      </c>
      <c r="L230" s="577">
        <f>PROFORMA!M345</f>
        <v>0</v>
      </c>
      <c r="M230" s="577">
        <f>PROFORMA!N345</f>
        <v>0</v>
      </c>
      <c r="N230" s="577">
        <f>PROFORMA!O345</f>
        <v>0</v>
      </c>
      <c r="O230" s="577">
        <f>PROFORMA!P345</f>
        <v>0</v>
      </c>
      <c r="P230" s="577">
        <f>PROFORMA!Q345</f>
        <v>0</v>
      </c>
      <c r="Q230" s="577">
        <f>PROFORMA!R345</f>
        <v>0</v>
      </c>
      <c r="R230" s="577">
        <f>PROFORMA!S345</f>
        <v>0</v>
      </c>
      <c r="S230" s="577">
        <f>PROFORMA!T345</f>
        <v>0</v>
      </c>
      <c r="T230" s="577">
        <f>PROFORMA!U345</f>
        <v>0</v>
      </c>
      <c r="U230" s="577">
        <f>PROFORMA!V345</f>
        <v>0</v>
      </c>
      <c r="V230" s="577">
        <f>PROFORMA!W345</f>
        <v>0</v>
      </c>
      <c r="W230" s="577">
        <f>PROFORMA!X345</f>
        <v>-13000</v>
      </c>
      <c r="X230" s="580">
        <f t="shared" si="228"/>
        <v>-13000</v>
      </c>
      <c r="Y230" s="577">
        <f>PROFORMA!Y345</f>
        <v>0</v>
      </c>
      <c r="Z230" s="577">
        <f>PROFORMA!Z345</f>
        <v>0</v>
      </c>
      <c r="AA230" s="577">
        <f>PROFORMA!AA345</f>
        <v>0</v>
      </c>
      <c r="AB230" s="577">
        <f>PROFORMA!AB345</f>
        <v>0</v>
      </c>
      <c r="AC230" s="577">
        <f>PROFORMA!AC345</f>
        <v>0</v>
      </c>
      <c r="AD230" s="577">
        <f>PROFORMA!AD345</f>
        <v>0</v>
      </c>
      <c r="AE230" s="577">
        <f>PROFORMA!AE345</f>
        <v>0</v>
      </c>
      <c r="AF230" s="577">
        <f>PROFORMA!AG345</f>
        <v>0</v>
      </c>
      <c r="AG230" s="577">
        <f>PROFORMA!AH345</f>
        <v>0</v>
      </c>
      <c r="AH230" s="577">
        <f>PROFORMA!AI345</f>
        <v>0</v>
      </c>
      <c r="AI230" s="577">
        <f>PROFORMA!AJ345</f>
        <v>0</v>
      </c>
      <c r="AJ230" s="577">
        <f>PROFORMA!AK345</f>
        <v>0</v>
      </c>
      <c r="AK230" s="577">
        <f>PROFORMA!AL345</f>
        <v>0</v>
      </c>
      <c r="AL230" s="577">
        <f>PROFORMA!AM345</f>
        <v>6000</v>
      </c>
      <c r="AM230" s="577">
        <f>PROFORMA!AN345</f>
        <v>0</v>
      </c>
      <c r="AN230" s="577">
        <f>PROFORMA!AO345</f>
        <v>-11000</v>
      </c>
      <c r="AO230" s="577">
        <f>PROFORMA!AP345</f>
        <v>0</v>
      </c>
      <c r="AP230" s="577">
        <f>PROFORMA!AQ345</f>
        <v>0</v>
      </c>
      <c r="AQ230" s="577">
        <f>PROFORMA!AR345</f>
        <v>0</v>
      </c>
      <c r="AR230" s="577">
        <f>PROFORMA!AS345</f>
        <v>-11000</v>
      </c>
      <c r="AS230" s="577">
        <f>PROFORMA!AT345</f>
        <v>0</v>
      </c>
      <c r="AT230" s="583">
        <f t="shared" si="254"/>
        <v>-16000</v>
      </c>
      <c r="AU230" s="581">
        <f t="shared" si="255"/>
        <v>-29000</v>
      </c>
      <c r="AV230" s="581">
        <f t="shared" si="256"/>
        <v>79000</v>
      </c>
      <c r="AW230" s="581"/>
      <c r="AX230" s="581">
        <f t="shared" si="238"/>
        <v>79000</v>
      </c>
    </row>
    <row r="231" spans="1:50">
      <c r="A231" s="529">
        <v>228</v>
      </c>
      <c r="B231" s="500"/>
      <c r="C231" s="525" t="s">
        <v>629</v>
      </c>
      <c r="D231" s="525"/>
      <c r="E231" s="539">
        <f>SUM(E221:E230)</f>
        <v>35836000</v>
      </c>
      <c r="F231" s="539">
        <f t="shared" ref="F231" si="257">SUM(F221:F230)</f>
        <v>0</v>
      </c>
      <c r="G231" s="539">
        <f t="shared" ref="G231:W231" si="258">SUM(G221:G230)</f>
        <v>0</v>
      </c>
      <c r="H231" s="539">
        <f t="shared" si="258"/>
        <v>0</v>
      </c>
      <c r="I231" s="539">
        <f t="shared" si="258"/>
        <v>0</v>
      </c>
      <c r="J231" s="539">
        <f t="shared" si="258"/>
        <v>0</v>
      </c>
      <c r="K231" s="539">
        <f t="shared" si="258"/>
        <v>0</v>
      </c>
      <c r="L231" s="539">
        <f t="shared" si="258"/>
        <v>0</v>
      </c>
      <c r="M231" s="539">
        <f t="shared" si="258"/>
        <v>0</v>
      </c>
      <c r="N231" s="539">
        <f t="shared" si="258"/>
        <v>0</v>
      </c>
      <c r="O231" s="539">
        <f t="shared" si="258"/>
        <v>0</v>
      </c>
      <c r="P231" s="539">
        <f t="shared" si="258"/>
        <v>0</v>
      </c>
      <c r="Q231" s="539">
        <f t="shared" si="258"/>
        <v>0</v>
      </c>
      <c r="R231" s="539">
        <f t="shared" si="258"/>
        <v>0</v>
      </c>
      <c r="S231" s="539">
        <f t="shared" si="258"/>
        <v>0</v>
      </c>
      <c r="T231" s="539">
        <f t="shared" si="258"/>
        <v>0</v>
      </c>
      <c r="U231" s="539">
        <f t="shared" si="258"/>
        <v>0</v>
      </c>
      <c r="V231" s="539">
        <f t="shared" si="258"/>
        <v>0</v>
      </c>
      <c r="W231" s="539">
        <f t="shared" si="258"/>
        <v>-4319000</v>
      </c>
      <c r="X231" s="579">
        <f t="shared" si="228"/>
        <v>-4319000</v>
      </c>
      <c r="Y231" s="539">
        <f t="shared" ref="Y231:AX231" si="259">SUM(Y221:Y230)</f>
        <v>0</v>
      </c>
      <c r="Z231" s="539">
        <f t="shared" ref="Z231:AF231" si="260">SUM(Z221:Z230)</f>
        <v>0</v>
      </c>
      <c r="AA231" s="539">
        <f t="shared" si="260"/>
        <v>0</v>
      </c>
      <c r="AB231" s="539">
        <f t="shared" si="260"/>
        <v>0</v>
      </c>
      <c r="AC231" s="539">
        <f t="shared" si="260"/>
        <v>0</v>
      </c>
      <c r="AD231" s="539">
        <f t="shared" si="260"/>
        <v>0</v>
      </c>
      <c r="AE231" s="539">
        <f t="shared" si="260"/>
        <v>0</v>
      </c>
      <c r="AF231" s="539">
        <f t="shared" si="260"/>
        <v>0</v>
      </c>
      <c r="AG231" s="539">
        <f t="shared" ref="AG231:AQ231" si="261">SUM(AG221:AG230)</f>
        <v>0</v>
      </c>
      <c r="AH231" s="539">
        <f t="shared" si="261"/>
        <v>0</v>
      </c>
      <c r="AI231" s="539">
        <f t="shared" si="261"/>
        <v>0</v>
      </c>
      <c r="AJ231" s="539">
        <f t="shared" si="261"/>
        <v>0</v>
      </c>
      <c r="AK231" s="539">
        <f t="shared" si="261"/>
        <v>0</v>
      </c>
      <c r="AL231" s="539">
        <f t="shared" si="261"/>
        <v>2015000</v>
      </c>
      <c r="AM231" s="539">
        <f t="shared" si="261"/>
        <v>0</v>
      </c>
      <c r="AN231" s="539">
        <f t="shared" si="261"/>
        <v>-3656000</v>
      </c>
      <c r="AO231" s="539">
        <f t="shared" si="261"/>
        <v>0</v>
      </c>
      <c r="AP231" s="539">
        <f t="shared" si="261"/>
        <v>0</v>
      </c>
      <c r="AQ231" s="539">
        <f t="shared" si="261"/>
        <v>0</v>
      </c>
      <c r="AR231" s="539">
        <f t="shared" ref="AR231:AS231" si="262">SUM(AR221:AR230)</f>
        <v>-3603000</v>
      </c>
      <c r="AS231" s="539">
        <f t="shared" si="262"/>
        <v>0</v>
      </c>
      <c r="AT231" s="539">
        <f t="shared" si="259"/>
        <v>-5244000</v>
      </c>
      <c r="AU231" s="539">
        <f t="shared" si="259"/>
        <v>-9563000</v>
      </c>
      <c r="AV231" s="539">
        <f t="shared" si="259"/>
        <v>26273000</v>
      </c>
      <c r="AW231" s="539">
        <f t="shared" si="259"/>
        <v>0</v>
      </c>
      <c r="AX231" s="539">
        <f t="shared" si="259"/>
        <v>26273000</v>
      </c>
    </row>
    <row r="232" spans="1:5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57">
        <f>PROFORMA!F351</f>
        <v>21875000</v>
      </c>
      <c r="F232" s="557">
        <f>PROFORMA!G351</f>
        <v>0</v>
      </c>
      <c r="G232" s="557">
        <f>PROFORMA!H351</f>
        <v>0</v>
      </c>
      <c r="H232" s="557">
        <f>PROFORMA!I351</f>
        <v>0</v>
      </c>
      <c r="I232" s="557">
        <f>PROFORMA!J351</f>
        <v>0</v>
      </c>
      <c r="J232" s="557">
        <f>PROFORMA!K351</f>
        <v>0</v>
      </c>
      <c r="K232" s="557">
        <f>PROFORMA!L351</f>
        <v>0</v>
      </c>
      <c r="L232" s="557">
        <f>PROFORMA!M351</f>
        <v>0</v>
      </c>
      <c r="M232" s="557">
        <f>PROFORMA!N351</f>
        <v>0</v>
      </c>
      <c r="N232" s="557">
        <f>PROFORMA!O351</f>
        <v>0</v>
      </c>
      <c r="O232" s="557">
        <f>PROFORMA!P351</f>
        <v>0</v>
      </c>
      <c r="P232" s="557">
        <f>PROFORMA!Q351</f>
        <v>0</v>
      </c>
      <c r="Q232" s="557">
        <f>PROFORMA!R351</f>
        <v>0</v>
      </c>
      <c r="R232" s="557">
        <f>PROFORMA!S351</f>
        <v>0</v>
      </c>
      <c r="S232" s="557">
        <f>PROFORMA!T351</f>
        <v>0</v>
      </c>
      <c r="T232" s="557">
        <f>PROFORMA!U351</f>
        <v>0</v>
      </c>
      <c r="U232" s="557">
        <f>PROFORMA!V351</f>
        <v>0</v>
      </c>
      <c r="V232" s="557">
        <f>PROFORMA!W351</f>
        <v>0</v>
      </c>
      <c r="W232" s="557">
        <f>PROFORMA!X351</f>
        <v>0</v>
      </c>
      <c r="X232" s="579">
        <f t="shared" si="228"/>
        <v>0</v>
      </c>
      <c r="Y232" s="557">
        <f>PROFORMA!Y351</f>
        <v>0</v>
      </c>
      <c r="Z232" s="557">
        <f>PROFORMA!Z351</f>
        <v>0</v>
      </c>
      <c r="AA232" s="557">
        <f>PROFORMA!AA351</f>
        <v>0</v>
      </c>
      <c r="AB232" s="557">
        <f>PROFORMA!AB351</f>
        <v>0</v>
      </c>
      <c r="AC232" s="557">
        <f>PROFORMA!AC351</f>
        <v>0</v>
      </c>
      <c r="AD232" s="557">
        <f>PROFORMA!AD351</f>
        <v>0</v>
      </c>
      <c r="AE232" s="557">
        <f>PROFORMA!AE351</f>
        <v>0</v>
      </c>
      <c r="AF232" s="557">
        <f>PROFORMA!AG351</f>
        <v>0</v>
      </c>
      <c r="AG232" s="557">
        <f>PROFORMA!AH351</f>
        <v>0</v>
      </c>
      <c r="AH232" s="557">
        <f>PROFORMA!AI351</f>
        <v>0</v>
      </c>
      <c r="AI232" s="557">
        <f>PROFORMA!AJ351</f>
        <v>0</v>
      </c>
      <c r="AJ232" s="557">
        <f>PROFORMA!AK351</f>
        <v>0</v>
      </c>
      <c r="AK232" s="557">
        <f>PROFORMA!AL351</f>
        <v>0</v>
      </c>
      <c r="AL232" s="557">
        <f>PROFORMA!AM351</f>
        <v>0</v>
      </c>
      <c r="AM232" s="557">
        <f>PROFORMA!AN351</f>
        <v>0</v>
      </c>
      <c r="AN232" s="557">
        <f>PROFORMA!AO351</f>
        <v>0</v>
      </c>
      <c r="AO232" s="557">
        <f>PROFORMA!AP351</f>
        <v>0</v>
      </c>
      <c r="AP232" s="557">
        <f>PROFORMA!AQ351</f>
        <v>0</v>
      </c>
      <c r="AQ232" s="557">
        <f>PROFORMA!AR351</f>
        <v>0</v>
      </c>
      <c r="AR232" s="557">
        <f>PROFORMA!AS351</f>
        <v>0</v>
      </c>
      <c r="AS232" s="557">
        <f>PROFORMA!AT351</f>
        <v>0</v>
      </c>
      <c r="AT232" s="582">
        <f>SUM(Y232:AS232)</f>
        <v>0</v>
      </c>
      <c r="AU232" s="532">
        <f>X232+AT232</f>
        <v>0</v>
      </c>
      <c r="AV232" s="532">
        <f>E232+AU232</f>
        <v>21875000</v>
      </c>
      <c r="AW232" s="532"/>
      <c r="AX232" s="532">
        <f t="shared" si="238"/>
        <v>21875000</v>
      </c>
    </row>
    <row r="233" spans="1:50">
      <c r="A233" s="529"/>
      <c r="B233" s="794"/>
      <c r="C233" s="550" t="s">
        <v>1251</v>
      </c>
      <c r="D233" s="551">
        <v>303.12</v>
      </c>
      <c r="E233" s="557">
        <f>PROFORMA!F352</f>
        <v>3554000</v>
      </c>
      <c r="F233" s="557">
        <f>PROFORMA!G352</f>
        <v>0</v>
      </c>
      <c r="G233" s="557">
        <f>PROFORMA!H352</f>
        <v>0</v>
      </c>
      <c r="H233" s="557">
        <f>PROFORMA!I352</f>
        <v>0</v>
      </c>
      <c r="I233" s="557">
        <f>PROFORMA!J352</f>
        <v>0</v>
      </c>
      <c r="J233" s="557">
        <f>PROFORMA!K352</f>
        <v>0</v>
      </c>
      <c r="K233" s="557">
        <f>PROFORMA!L352</f>
        <v>0</v>
      </c>
      <c r="L233" s="557">
        <f>PROFORMA!M352</f>
        <v>0</v>
      </c>
      <c r="M233" s="557">
        <f>PROFORMA!N352</f>
        <v>0</v>
      </c>
      <c r="N233" s="557">
        <f>PROFORMA!O352</f>
        <v>0</v>
      </c>
      <c r="O233" s="557">
        <f>PROFORMA!P352</f>
        <v>0</v>
      </c>
      <c r="P233" s="557">
        <f>PROFORMA!Q352</f>
        <v>0</v>
      </c>
      <c r="Q233" s="557">
        <f>PROFORMA!R352</f>
        <v>0</v>
      </c>
      <c r="R233" s="557">
        <f>PROFORMA!S352</f>
        <v>0</v>
      </c>
      <c r="S233" s="557">
        <f>PROFORMA!T352</f>
        <v>0</v>
      </c>
      <c r="T233" s="557">
        <f>PROFORMA!U352</f>
        <v>0</v>
      </c>
      <c r="U233" s="557">
        <f>PROFORMA!V352</f>
        <v>0</v>
      </c>
      <c r="V233" s="557">
        <f>PROFORMA!W352</f>
        <v>0</v>
      </c>
      <c r="W233" s="557">
        <f>PROFORMA!X352</f>
        <v>0</v>
      </c>
      <c r="X233" s="579">
        <f t="shared" si="228"/>
        <v>0</v>
      </c>
      <c r="Y233" s="557">
        <f>PROFORMA!Y352</f>
        <v>0</v>
      </c>
      <c r="Z233" s="557">
        <f>PROFORMA!Z352</f>
        <v>0</v>
      </c>
      <c r="AA233" s="557">
        <f>PROFORMA!AA352</f>
        <v>0</v>
      </c>
      <c r="AB233" s="557">
        <f>PROFORMA!AB352</f>
        <v>0</v>
      </c>
      <c r="AC233" s="557">
        <f>PROFORMA!AC352</f>
        <v>0</v>
      </c>
      <c r="AD233" s="557">
        <f>PROFORMA!AD352</f>
        <v>0</v>
      </c>
      <c r="AE233" s="557">
        <f>PROFORMA!AE352</f>
        <v>0</v>
      </c>
      <c r="AF233" s="557">
        <f>PROFORMA!AG352</f>
        <v>0</v>
      </c>
      <c r="AG233" s="557">
        <f>PROFORMA!AH352</f>
        <v>0</v>
      </c>
      <c r="AH233" s="557">
        <f>PROFORMA!AI352</f>
        <v>0</v>
      </c>
      <c r="AI233" s="557">
        <f>PROFORMA!AJ352</f>
        <v>0</v>
      </c>
      <c r="AJ233" s="557">
        <f>PROFORMA!AK352</f>
        <v>0</v>
      </c>
      <c r="AK233" s="557">
        <f>PROFORMA!AL352</f>
        <v>0</v>
      </c>
      <c r="AL233" s="557">
        <f>PROFORMA!AM352</f>
        <v>0</v>
      </c>
      <c r="AM233" s="557">
        <f>PROFORMA!AN352</f>
        <v>0</v>
      </c>
      <c r="AN233" s="557">
        <f>PROFORMA!AO352</f>
        <v>0</v>
      </c>
      <c r="AO233" s="557">
        <f>PROFORMA!AP352</f>
        <v>0</v>
      </c>
      <c r="AP233" s="557">
        <f>PROFORMA!AQ352</f>
        <v>0</v>
      </c>
      <c r="AQ233" s="557">
        <f>PROFORMA!AR352</f>
        <v>0</v>
      </c>
      <c r="AR233" s="557">
        <f>PROFORMA!AS352</f>
        <v>0</v>
      </c>
      <c r="AS233" s="557">
        <f>PROFORMA!AT352</f>
        <v>0</v>
      </c>
      <c r="AT233" s="582">
        <f>SUM(Y233:AS233)</f>
        <v>0</v>
      </c>
      <c r="AU233" s="532">
        <f>X233+AT233</f>
        <v>0</v>
      </c>
      <c r="AV233" s="532">
        <f>E233+AU233</f>
        <v>3554000</v>
      </c>
      <c r="AW233" s="532"/>
      <c r="AX233" s="532">
        <f t="shared" ref="AX233" si="263">AV233+AW233</f>
        <v>3554000</v>
      </c>
    </row>
    <row r="234" spans="1:50">
      <c r="A234" s="529">
        <v>230</v>
      </c>
      <c r="B234" s="794"/>
      <c r="C234" s="550" t="s">
        <v>278</v>
      </c>
      <c r="D234" s="551">
        <v>303</v>
      </c>
      <c r="E234" s="577">
        <f>PROFORMA!F353</f>
        <v>1088000</v>
      </c>
      <c r="F234" s="577">
        <f>PROFORMA!G353</f>
        <v>0</v>
      </c>
      <c r="G234" s="577">
        <f>PROFORMA!H353</f>
        <v>0</v>
      </c>
      <c r="H234" s="577">
        <f>PROFORMA!I353</f>
        <v>0</v>
      </c>
      <c r="I234" s="577">
        <f>PROFORMA!J353</f>
        <v>0</v>
      </c>
      <c r="J234" s="577">
        <f>PROFORMA!K353</f>
        <v>0</v>
      </c>
      <c r="K234" s="577">
        <f>PROFORMA!L353</f>
        <v>0</v>
      </c>
      <c r="L234" s="577">
        <f>PROFORMA!M353</f>
        <v>0</v>
      </c>
      <c r="M234" s="577">
        <f>PROFORMA!N353</f>
        <v>0</v>
      </c>
      <c r="N234" s="577">
        <f>PROFORMA!O353</f>
        <v>0</v>
      </c>
      <c r="O234" s="577">
        <f>PROFORMA!P353</f>
        <v>0</v>
      </c>
      <c r="P234" s="577">
        <f>PROFORMA!Q353</f>
        <v>0</v>
      </c>
      <c r="Q234" s="577">
        <f>PROFORMA!R353</f>
        <v>0</v>
      </c>
      <c r="R234" s="577">
        <f>PROFORMA!S353</f>
        <v>0</v>
      </c>
      <c r="S234" s="577">
        <f>PROFORMA!T353</f>
        <v>0</v>
      </c>
      <c r="T234" s="577">
        <f>PROFORMA!U353</f>
        <v>0</v>
      </c>
      <c r="U234" s="577">
        <f>PROFORMA!V353</f>
        <v>0</v>
      </c>
      <c r="V234" s="577">
        <f>PROFORMA!W353</f>
        <v>0</v>
      </c>
      <c r="W234" s="577">
        <f>PROFORMA!X353</f>
        <v>0</v>
      </c>
      <c r="X234" s="580">
        <f t="shared" si="228"/>
        <v>0</v>
      </c>
      <c r="Y234" s="577">
        <f>PROFORMA!Y353</f>
        <v>0</v>
      </c>
      <c r="Z234" s="577">
        <f>PROFORMA!Z353</f>
        <v>0</v>
      </c>
      <c r="AA234" s="577">
        <f>PROFORMA!AA353</f>
        <v>0</v>
      </c>
      <c r="AB234" s="577">
        <f>PROFORMA!AB353</f>
        <v>0</v>
      </c>
      <c r="AC234" s="577">
        <f>PROFORMA!AC353</f>
        <v>0</v>
      </c>
      <c r="AD234" s="577">
        <f>PROFORMA!AD353</f>
        <v>0</v>
      </c>
      <c r="AE234" s="577">
        <f>PROFORMA!AE353</f>
        <v>0</v>
      </c>
      <c r="AF234" s="577">
        <f>PROFORMA!AG353</f>
        <v>0</v>
      </c>
      <c r="AG234" s="577">
        <f>PROFORMA!AH353</f>
        <v>0</v>
      </c>
      <c r="AH234" s="577">
        <f>PROFORMA!AI353</f>
        <v>0</v>
      </c>
      <c r="AI234" s="577">
        <f>PROFORMA!AJ353</f>
        <v>0</v>
      </c>
      <c r="AJ234" s="577">
        <f>PROFORMA!AK353</f>
        <v>0</v>
      </c>
      <c r="AK234" s="577">
        <f>PROFORMA!AL353</f>
        <v>0</v>
      </c>
      <c r="AL234" s="577">
        <f>PROFORMA!AM353</f>
        <v>0</v>
      </c>
      <c r="AM234" s="577">
        <f>PROFORMA!AN353</f>
        <v>0</v>
      </c>
      <c r="AN234" s="577">
        <f>PROFORMA!AO353</f>
        <v>0</v>
      </c>
      <c r="AO234" s="577">
        <f>PROFORMA!AP353</f>
        <v>0</v>
      </c>
      <c r="AP234" s="577">
        <f>PROFORMA!AQ353</f>
        <v>0</v>
      </c>
      <c r="AQ234" s="577">
        <f>PROFORMA!AR353</f>
        <v>0</v>
      </c>
      <c r="AR234" s="577">
        <f>PROFORMA!AS353</f>
        <v>0</v>
      </c>
      <c r="AS234" s="577">
        <f>PROFORMA!AT353</f>
        <v>0</v>
      </c>
      <c r="AT234" s="583">
        <f>SUM(Y234:AS234)</f>
        <v>0</v>
      </c>
      <c r="AU234" s="581">
        <f>X234+AT234</f>
        <v>0</v>
      </c>
      <c r="AV234" s="581">
        <f>E234+AU234</f>
        <v>1088000</v>
      </c>
      <c r="AW234" s="581"/>
      <c r="AX234" s="581">
        <f t="shared" si="238"/>
        <v>1088000</v>
      </c>
    </row>
    <row r="235" spans="1:50">
      <c r="A235" s="529">
        <v>231</v>
      </c>
      <c r="B235" s="500"/>
      <c r="C235" s="525" t="s">
        <v>625</v>
      </c>
      <c r="D235" s="525"/>
      <c r="E235" s="539">
        <f>SUM(E232:E234)</f>
        <v>26517000</v>
      </c>
      <c r="F235" s="539">
        <f t="shared" ref="F235" si="264">SUM(F232:F234)</f>
        <v>0</v>
      </c>
      <c r="G235" s="539">
        <f t="shared" ref="G235:W235" si="265">SUM(G232:G234)</f>
        <v>0</v>
      </c>
      <c r="H235" s="539">
        <f t="shared" si="265"/>
        <v>0</v>
      </c>
      <c r="I235" s="539">
        <f t="shared" si="265"/>
        <v>0</v>
      </c>
      <c r="J235" s="539">
        <f t="shared" si="265"/>
        <v>0</v>
      </c>
      <c r="K235" s="539">
        <f t="shared" si="265"/>
        <v>0</v>
      </c>
      <c r="L235" s="539">
        <f t="shared" si="265"/>
        <v>0</v>
      </c>
      <c r="M235" s="539">
        <f t="shared" si="265"/>
        <v>0</v>
      </c>
      <c r="N235" s="539">
        <f t="shared" si="265"/>
        <v>0</v>
      </c>
      <c r="O235" s="539">
        <f t="shared" si="265"/>
        <v>0</v>
      </c>
      <c r="P235" s="539">
        <f t="shared" si="265"/>
        <v>0</v>
      </c>
      <c r="Q235" s="539">
        <f t="shared" si="265"/>
        <v>0</v>
      </c>
      <c r="R235" s="539">
        <f t="shared" si="265"/>
        <v>0</v>
      </c>
      <c r="S235" s="539">
        <f t="shared" si="265"/>
        <v>0</v>
      </c>
      <c r="T235" s="539">
        <f t="shared" si="265"/>
        <v>0</v>
      </c>
      <c r="U235" s="539">
        <f t="shared" si="265"/>
        <v>0</v>
      </c>
      <c r="V235" s="539">
        <f t="shared" si="265"/>
        <v>0</v>
      </c>
      <c r="W235" s="539">
        <f t="shared" si="265"/>
        <v>0</v>
      </c>
      <c r="X235" s="579">
        <f t="shared" si="228"/>
        <v>0</v>
      </c>
      <c r="Y235" s="539">
        <f t="shared" ref="Y235:AX235" si="266">SUM(Y232:Y234)</f>
        <v>0</v>
      </c>
      <c r="Z235" s="539">
        <f t="shared" ref="Z235:AF235" si="267">SUM(Z232:Z234)</f>
        <v>0</v>
      </c>
      <c r="AA235" s="539">
        <f t="shared" si="267"/>
        <v>0</v>
      </c>
      <c r="AB235" s="539">
        <f t="shared" si="267"/>
        <v>0</v>
      </c>
      <c r="AC235" s="539">
        <f t="shared" si="267"/>
        <v>0</v>
      </c>
      <c r="AD235" s="539">
        <f t="shared" si="267"/>
        <v>0</v>
      </c>
      <c r="AE235" s="539">
        <f t="shared" si="267"/>
        <v>0</v>
      </c>
      <c r="AF235" s="539">
        <f t="shared" si="267"/>
        <v>0</v>
      </c>
      <c r="AG235" s="539">
        <f t="shared" ref="AG235:AQ235" si="268">SUM(AG232:AG234)</f>
        <v>0</v>
      </c>
      <c r="AH235" s="539">
        <f t="shared" si="268"/>
        <v>0</v>
      </c>
      <c r="AI235" s="539">
        <f t="shared" si="268"/>
        <v>0</v>
      </c>
      <c r="AJ235" s="539">
        <f t="shared" si="268"/>
        <v>0</v>
      </c>
      <c r="AK235" s="539">
        <f t="shared" si="268"/>
        <v>0</v>
      </c>
      <c r="AL235" s="539">
        <f t="shared" si="268"/>
        <v>0</v>
      </c>
      <c r="AM235" s="539">
        <f t="shared" si="268"/>
        <v>0</v>
      </c>
      <c r="AN235" s="539">
        <f t="shared" si="268"/>
        <v>0</v>
      </c>
      <c r="AO235" s="539">
        <f t="shared" si="268"/>
        <v>0</v>
      </c>
      <c r="AP235" s="539">
        <f t="shared" si="268"/>
        <v>0</v>
      </c>
      <c r="AQ235" s="539">
        <f t="shared" si="268"/>
        <v>0</v>
      </c>
      <c r="AR235" s="539">
        <f t="shared" ref="AR235:AS235" si="269">SUM(AR232:AR234)</f>
        <v>0</v>
      </c>
      <c r="AS235" s="539">
        <f t="shared" si="269"/>
        <v>0</v>
      </c>
      <c r="AT235" s="539">
        <f t="shared" si="266"/>
        <v>0</v>
      </c>
      <c r="AU235" s="539">
        <f t="shared" si="266"/>
        <v>0</v>
      </c>
      <c r="AV235" s="539">
        <f t="shared" si="266"/>
        <v>26517000</v>
      </c>
      <c r="AW235" s="539">
        <f t="shared" si="266"/>
        <v>0</v>
      </c>
      <c r="AX235" s="539">
        <f t="shared" si="266"/>
        <v>26517000</v>
      </c>
    </row>
    <row r="236" spans="1:50">
      <c r="A236" s="529">
        <v>232</v>
      </c>
      <c r="B236" s="500"/>
      <c r="C236" s="546"/>
      <c r="D236" s="546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79">
        <f t="shared" si="228"/>
        <v>0</v>
      </c>
      <c r="Y236" s="539"/>
      <c r="Z236" s="539"/>
      <c r="AA236" s="539"/>
      <c r="AB236" s="539"/>
      <c r="AC236" s="539"/>
      <c r="AD236" s="539"/>
      <c r="AE236" s="539"/>
      <c r="AF236" s="539"/>
      <c r="AG236" s="539"/>
      <c r="AH236" s="539"/>
      <c r="AI236" s="539"/>
      <c r="AJ236" s="539"/>
      <c r="AK236" s="539"/>
      <c r="AL236" s="539"/>
      <c r="AM236" s="539"/>
      <c r="AN236" s="539"/>
      <c r="AO236" s="539"/>
      <c r="AP236" s="539"/>
      <c r="AQ236" s="539"/>
      <c r="AR236" s="539"/>
      <c r="AS236" s="539"/>
      <c r="AT236" s="582">
        <f>SUM(Y236:AS236)</f>
        <v>0</v>
      </c>
      <c r="AU236" s="532">
        <f>X236+AT236</f>
        <v>0</v>
      </c>
      <c r="AV236" s="532">
        <f>E236+AU236</f>
        <v>0</v>
      </c>
      <c r="AW236" s="532"/>
      <c r="AX236" s="532">
        <f t="shared" si="238"/>
        <v>0</v>
      </c>
    </row>
    <row r="237" spans="1:50">
      <c r="A237" s="529">
        <v>233</v>
      </c>
      <c r="B237" s="500"/>
      <c r="C237" s="558" t="s">
        <v>137</v>
      </c>
      <c r="D237" s="558"/>
      <c r="E237" s="539">
        <f>E197-E207-E220-E231-E235</f>
        <v>582659000</v>
      </c>
      <c r="F237" s="539">
        <f>F197+F207+F220+F231+F235</f>
        <v>0</v>
      </c>
      <c r="G237" s="539">
        <f t="shared" ref="G237:W237" si="270">G197+G207+G220+G231+G235</f>
        <v>0</v>
      </c>
      <c r="H237" s="539">
        <f t="shared" si="270"/>
        <v>0</v>
      </c>
      <c r="I237" s="539">
        <f t="shared" si="270"/>
        <v>0</v>
      </c>
      <c r="J237" s="539">
        <f t="shared" si="270"/>
        <v>0</v>
      </c>
      <c r="K237" s="539">
        <f t="shared" si="270"/>
        <v>0</v>
      </c>
      <c r="L237" s="539">
        <f t="shared" si="270"/>
        <v>0</v>
      </c>
      <c r="M237" s="539">
        <f t="shared" si="270"/>
        <v>0</v>
      </c>
      <c r="N237" s="539">
        <f t="shared" si="270"/>
        <v>0</v>
      </c>
      <c r="O237" s="539">
        <f t="shared" si="270"/>
        <v>0</v>
      </c>
      <c r="P237" s="539">
        <f t="shared" si="270"/>
        <v>0</v>
      </c>
      <c r="Q237" s="539">
        <f t="shared" si="270"/>
        <v>0</v>
      </c>
      <c r="R237" s="539">
        <f t="shared" si="270"/>
        <v>0</v>
      </c>
      <c r="S237" s="539">
        <f t="shared" si="270"/>
        <v>0</v>
      </c>
      <c r="T237" s="539">
        <f t="shared" si="270"/>
        <v>0</v>
      </c>
      <c r="U237" s="539">
        <f t="shared" si="270"/>
        <v>0</v>
      </c>
      <c r="V237" s="539">
        <f t="shared" si="270"/>
        <v>0</v>
      </c>
      <c r="W237" s="539">
        <f t="shared" si="270"/>
        <v>12291000</v>
      </c>
      <c r="X237" s="579">
        <f t="shared" si="228"/>
        <v>12291000</v>
      </c>
      <c r="Y237" s="539">
        <f>Y197+Y207+Y220+Y231+Y235</f>
        <v>0</v>
      </c>
      <c r="Z237" s="539">
        <f t="shared" ref="Z237:AS237" si="271">Z197+Z207+Z220+Z231+Z235</f>
        <v>0</v>
      </c>
      <c r="AA237" s="539">
        <f t="shared" si="271"/>
        <v>0</v>
      </c>
      <c r="AB237" s="539">
        <f t="shared" si="271"/>
        <v>0</v>
      </c>
      <c r="AC237" s="539">
        <f t="shared" si="271"/>
        <v>0</v>
      </c>
      <c r="AD237" s="539">
        <f t="shared" si="271"/>
        <v>0</v>
      </c>
      <c r="AE237" s="539">
        <f t="shared" si="271"/>
        <v>0</v>
      </c>
      <c r="AF237" s="539">
        <f t="shared" si="271"/>
        <v>0</v>
      </c>
      <c r="AG237" s="539">
        <f t="shared" ref="AG237:AQ237" si="272">AG197+AG207+AG220+AG231+AG235</f>
        <v>0</v>
      </c>
      <c r="AH237" s="539">
        <f t="shared" si="272"/>
        <v>0</v>
      </c>
      <c r="AI237" s="539">
        <f t="shared" si="272"/>
        <v>0</v>
      </c>
      <c r="AJ237" s="539">
        <f t="shared" si="272"/>
        <v>0</v>
      </c>
      <c r="AK237" s="539">
        <f t="shared" si="272"/>
        <v>0</v>
      </c>
      <c r="AL237" s="539">
        <f t="shared" si="272"/>
        <v>19258000</v>
      </c>
      <c r="AM237" s="539">
        <f t="shared" si="272"/>
        <v>0</v>
      </c>
      <c r="AN237" s="539">
        <f t="shared" si="272"/>
        <v>20483000</v>
      </c>
      <c r="AO237" s="539">
        <f t="shared" si="272"/>
        <v>0</v>
      </c>
      <c r="AP237" s="539">
        <f t="shared" si="272"/>
        <v>0</v>
      </c>
      <c r="AQ237" s="539">
        <f t="shared" si="272"/>
        <v>0</v>
      </c>
      <c r="AR237" s="539">
        <f t="shared" si="271"/>
        <v>4600000</v>
      </c>
      <c r="AS237" s="539">
        <f t="shared" si="271"/>
        <v>0</v>
      </c>
      <c r="AT237" s="539">
        <f t="shared" ref="AT237:AX237" si="273">AT197-AT207-AT220-AT231-AT235</f>
        <v>117803000</v>
      </c>
      <c r="AU237" s="539">
        <f t="shared" si="273"/>
        <v>154726000</v>
      </c>
      <c r="AV237" s="539">
        <f t="shared" si="273"/>
        <v>737385000</v>
      </c>
      <c r="AW237" s="539">
        <f t="shared" si="273"/>
        <v>0</v>
      </c>
      <c r="AX237" s="539">
        <f t="shared" si="273"/>
        <v>737385000</v>
      </c>
    </row>
    <row r="238" spans="1:50">
      <c r="A238" s="529">
        <v>234</v>
      </c>
      <c r="B238" s="500"/>
      <c r="C238" s="546"/>
      <c r="D238" s="546"/>
      <c r="E238" s="539"/>
      <c r="F238" s="539"/>
      <c r="G238" s="539"/>
      <c r="H238" s="539"/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39"/>
      <c r="T238" s="539"/>
      <c r="U238" s="539"/>
      <c r="V238" s="539"/>
      <c r="W238" s="539"/>
      <c r="X238" s="579">
        <f t="shared" si="228"/>
        <v>0</v>
      </c>
      <c r="Y238" s="539"/>
      <c r="Z238" s="539"/>
      <c r="AA238" s="539"/>
      <c r="AB238" s="539"/>
      <c r="AC238" s="539"/>
      <c r="AD238" s="539"/>
      <c r="AE238" s="539"/>
      <c r="AF238" s="539"/>
      <c r="AG238" s="539"/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  <c r="AR238" s="539"/>
      <c r="AS238" s="539"/>
      <c r="AT238" s="582">
        <f t="shared" ref="AT238:AT248" si="274">SUM(Y238:AS238)</f>
        <v>0</v>
      </c>
      <c r="AU238" s="532">
        <f t="shared" ref="AU238:AU248" si="275">X238+AT238</f>
        <v>0</v>
      </c>
      <c r="AV238" s="532">
        <f t="shared" ref="AV238:AV248" si="276">E238+AU238</f>
        <v>0</v>
      </c>
      <c r="AW238" s="532"/>
      <c r="AX238" s="532">
        <f t="shared" si="238"/>
        <v>0</v>
      </c>
    </row>
    <row r="239" spans="1:50">
      <c r="A239" s="529">
        <v>235</v>
      </c>
      <c r="B239" s="500"/>
      <c r="C239" s="546" t="s">
        <v>395</v>
      </c>
      <c r="D239" s="546"/>
      <c r="E239" s="539">
        <f>PROFORMA!F367</f>
        <v>84772000</v>
      </c>
      <c r="F239" s="539">
        <f>PROFORMA!G367</f>
        <v>-224000</v>
      </c>
      <c r="G239" s="539">
        <f>PROFORMA!H367</f>
        <v>0</v>
      </c>
      <c r="H239" s="539">
        <f>PROFORMA!I367</f>
        <v>0</v>
      </c>
      <c r="I239" s="539">
        <f>PROFORMA!J367</f>
        <v>0</v>
      </c>
      <c r="J239" s="539">
        <f>PROFORMA!K367</f>
        <v>0</v>
      </c>
      <c r="K239" s="539">
        <f>PROFORMA!L367</f>
        <v>0</v>
      </c>
      <c r="L239" s="539">
        <f>PROFORMA!M367</f>
        <v>0</v>
      </c>
      <c r="M239" s="539">
        <f>PROFORMA!N367</f>
        <v>0</v>
      </c>
      <c r="N239" s="539">
        <f>PROFORMA!O367</f>
        <v>0</v>
      </c>
      <c r="O239" s="539">
        <f>PROFORMA!P367</f>
        <v>0</v>
      </c>
      <c r="P239" s="539">
        <f>PROFORMA!Q367</f>
        <v>0</v>
      </c>
      <c r="Q239" s="539">
        <f>PROFORMA!R367</f>
        <v>0</v>
      </c>
      <c r="R239" s="539">
        <f>PROFORMA!S367</f>
        <v>0</v>
      </c>
      <c r="S239" s="539">
        <f>PROFORMA!T367</f>
        <v>0</v>
      </c>
      <c r="T239" s="539">
        <f>PROFORMA!U367</f>
        <v>0</v>
      </c>
      <c r="U239" s="539">
        <f>PROFORMA!V367</f>
        <v>0</v>
      </c>
      <c r="V239" s="539">
        <f>PROFORMA!W367</f>
        <v>0</v>
      </c>
      <c r="W239" s="539">
        <f>PROFORMA!X367</f>
        <v>117000</v>
      </c>
      <c r="X239" s="579">
        <f t="shared" si="228"/>
        <v>-107000</v>
      </c>
      <c r="Y239" s="539">
        <f>PROFORMA!Y367</f>
        <v>0</v>
      </c>
      <c r="Z239" s="539">
        <f>PROFORMA!Z367</f>
        <v>0</v>
      </c>
      <c r="AA239" s="539">
        <f>PROFORMA!AA367</f>
        <v>0</v>
      </c>
      <c r="AB239" s="539">
        <f>PROFORMA!AB367</f>
        <v>0</v>
      </c>
      <c r="AC239" s="539">
        <f>PROFORMA!AC367</f>
        <v>0</v>
      </c>
      <c r="AD239" s="539">
        <f>PROFORMA!AD367</f>
        <v>0</v>
      </c>
      <c r="AE239" s="539">
        <f>PROFORMA!AE367</f>
        <v>0</v>
      </c>
      <c r="AF239" s="539">
        <f>PROFORMA!AG367</f>
        <v>0</v>
      </c>
      <c r="AG239" s="539">
        <f>PROFORMA!AH367</f>
        <v>0</v>
      </c>
      <c r="AH239" s="539">
        <f>PROFORMA!AI367</f>
        <v>0</v>
      </c>
      <c r="AI239" s="539">
        <f>PROFORMA!AJ367</f>
        <v>0</v>
      </c>
      <c r="AJ239" s="539">
        <f>PROFORMA!AK367</f>
        <v>0</v>
      </c>
      <c r="AK239" s="539">
        <f>PROFORMA!AL367</f>
        <v>0</v>
      </c>
      <c r="AL239" s="539">
        <f>PROFORMA!AM367</f>
        <v>229000</v>
      </c>
      <c r="AM239" s="539">
        <f>PROFORMA!AN367</f>
        <v>0</v>
      </c>
      <c r="AN239" s="539">
        <f>PROFORMA!AO367</f>
        <v>85000</v>
      </c>
      <c r="AO239" s="539">
        <f>PROFORMA!AP367</f>
        <v>0</v>
      </c>
      <c r="AP239" s="539">
        <f>PROFORMA!AQ367</f>
        <v>0</v>
      </c>
      <c r="AQ239" s="539">
        <f>PROFORMA!AR367</f>
        <v>0</v>
      </c>
      <c r="AR239" s="539">
        <f>PROFORMA!AS367</f>
        <v>-1396000</v>
      </c>
      <c r="AS239" s="539">
        <f>PROFORMA!AT367</f>
        <v>0</v>
      </c>
      <c r="AT239" s="582">
        <f t="shared" si="274"/>
        <v>-1082000</v>
      </c>
      <c r="AU239" s="532">
        <f t="shared" si="275"/>
        <v>-1189000</v>
      </c>
      <c r="AV239" s="532">
        <f t="shared" si="276"/>
        <v>83583000</v>
      </c>
      <c r="AW239" s="532"/>
      <c r="AX239" s="532">
        <f t="shared" si="238"/>
        <v>83583000</v>
      </c>
    </row>
    <row r="240" spans="1:50">
      <c r="A240" s="529">
        <v>236</v>
      </c>
      <c r="B240" s="500"/>
      <c r="C240" s="546"/>
      <c r="D240" s="546"/>
      <c r="E240" s="539"/>
      <c r="F240" s="539"/>
      <c r="G240" s="539"/>
      <c r="H240" s="539"/>
      <c r="I240" s="539"/>
      <c r="J240" s="539"/>
      <c r="K240" s="539"/>
      <c r="L240" s="539"/>
      <c r="M240" s="539"/>
      <c r="N240" s="539"/>
      <c r="O240" s="539"/>
      <c r="P240" s="539"/>
      <c r="Q240" s="539"/>
      <c r="R240" s="539"/>
      <c r="S240" s="539"/>
      <c r="T240" s="539"/>
      <c r="U240" s="539"/>
      <c r="V240" s="539"/>
      <c r="W240" s="539"/>
      <c r="X240" s="579">
        <f t="shared" si="228"/>
        <v>0</v>
      </c>
      <c r="Y240" s="539"/>
      <c r="Z240" s="539"/>
      <c r="AA240" s="539"/>
      <c r="AB240" s="539"/>
      <c r="AC240" s="539"/>
      <c r="AD240" s="539"/>
      <c r="AE240" s="539"/>
      <c r="AF240" s="539"/>
      <c r="AG240" s="539"/>
      <c r="AH240" s="539"/>
      <c r="AI240" s="539"/>
      <c r="AJ240" s="539"/>
      <c r="AK240" s="539"/>
      <c r="AL240" s="539"/>
      <c r="AM240" s="539"/>
      <c r="AN240" s="539"/>
      <c r="AO240" s="539"/>
      <c r="AP240" s="539"/>
      <c r="AQ240" s="539"/>
      <c r="AR240" s="539"/>
      <c r="AS240" s="539"/>
      <c r="AT240" s="582">
        <f t="shared" si="274"/>
        <v>0</v>
      </c>
      <c r="AU240" s="532">
        <f t="shared" si="275"/>
        <v>0</v>
      </c>
      <c r="AV240" s="532">
        <f t="shared" si="276"/>
        <v>0</v>
      </c>
      <c r="AW240" s="532"/>
      <c r="AX240" s="532">
        <f t="shared" si="238"/>
        <v>0</v>
      </c>
    </row>
    <row r="241" spans="1:50">
      <c r="A241" s="529">
        <v>237</v>
      </c>
      <c r="B241" s="794" t="s">
        <v>279</v>
      </c>
      <c r="C241" s="550" t="s">
        <v>620</v>
      </c>
      <c r="D241" s="546"/>
      <c r="E241" s="557">
        <f>PROFORMA!F370</f>
        <v>0</v>
      </c>
      <c r="F241" s="557">
        <f>PROFORMA!G370</f>
        <v>0</v>
      </c>
      <c r="G241" s="557">
        <f>PROFORMA!H370</f>
        <v>0</v>
      </c>
      <c r="H241" s="557">
        <f>PROFORMA!I370</f>
        <v>0</v>
      </c>
      <c r="I241" s="557">
        <f>PROFORMA!J370</f>
        <v>0</v>
      </c>
      <c r="J241" s="557">
        <f>PROFORMA!K370</f>
        <v>0</v>
      </c>
      <c r="K241" s="557">
        <f>PROFORMA!L370</f>
        <v>0</v>
      </c>
      <c r="L241" s="557">
        <f>PROFORMA!M370</f>
        <v>0</v>
      </c>
      <c r="M241" s="557">
        <f>PROFORMA!N370</f>
        <v>0</v>
      </c>
      <c r="N241" s="557">
        <f>PROFORMA!O370</f>
        <v>0</v>
      </c>
      <c r="O241" s="557">
        <f>PROFORMA!P370</f>
        <v>0</v>
      </c>
      <c r="P241" s="557">
        <f>PROFORMA!Q370</f>
        <v>0</v>
      </c>
      <c r="Q241" s="557">
        <f>PROFORMA!R370</f>
        <v>0</v>
      </c>
      <c r="R241" s="557">
        <f>PROFORMA!S370</f>
        <v>0</v>
      </c>
      <c r="S241" s="557">
        <f>PROFORMA!T370</f>
        <v>0</v>
      </c>
      <c r="T241" s="557">
        <f>PROFORMA!U370</f>
        <v>0</v>
      </c>
      <c r="U241" s="557">
        <f>PROFORMA!V370</f>
        <v>0</v>
      </c>
      <c r="V241" s="557">
        <f>PROFORMA!W370</f>
        <v>0</v>
      </c>
      <c r="W241" s="557">
        <f>PROFORMA!X370</f>
        <v>0</v>
      </c>
      <c r="X241" s="579">
        <f t="shared" si="228"/>
        <v>0</v>
      </c>
      <c r="Y241" s="557">
        <f>PROFORMA!Y370</f>
        <v>0</v>
      </c>
      <c r="Z241" s="557">
        <f>PROFORMA!Z370</f>
        <v>0</v>
      </c>
      <c r="AA241" s="557">
        <f>PROFORMA!AA370</f>
        <v>0</v>
      </c>
      <c r="AB241" s="557">
        <f>PROFORMA!AB370</f>
        <v>0</v>
      </c>
      <c r="AC241" s="557">
        <f>PROFORMA!AC370</f>
        <v>0</v>
      </c>
      <c r="AD241" s="557">
        <f>PROFORMA!AD370</f>
        <v>0</v>
      </c>
      <c r="AE241" s="557">
        <f>PROFORMA!AE370</f>
        <v>0</v>
      </c>
      <c r="AF241" s="557">
        <f>PROFORMA!AG370</f>
        <v>0</v>
      </c>
      <c r="AG241" s="557">
        <f>PROFORMA!AH370</f>
        <v>0</v>
      </c>
      <c r="AH241" s="557">
        <f>PROFORMA!AI370</f>
        <v>0</v>
      </c>
      <c r="AI241" s="557">
        <f>PROFORMA!AJ370</f>
        <v>0</v>
      </c>
      <c r="AJ241" s="557">
        <f>PROFORMA!AK370</f>
        <v>0</v>
      </c>
      <c r="AK241" s="557">
        <f>PROFORMA!AL370</f>
        <v>0</v>
      </c>
      <c r="AL241" s="557">
        <f>PROFORMA!AM370</f>
        <v>0</v>
      </c>
      <c r="AM241" s="557">
        <f>PROFORMA!AN370</f>
        <v>0</v>
      </c>
      <c r="AN241" s="557">
        <f>PROFORMA!AO370</f>
        <v>0</v>
      </c>
      <c r="AO241" s="557">
        <f>PROFORMA!AP370</f>
        <v>0</v>
      </c>
      <c r="AP241" s="557">
        <f>PROFORMA!AQ370</f>
        <v>0</v>
      </c>
      <c r="AQ241" s="557">
        <f>PROFORMA!AR370</f>
        <v>0</v>
      </c>
      <c r="AR241" s="557">
        <f>PROFORMA!AS370</f>
        <v>0</v>
      </c>
      <c r="AS241" s="557">
        <f>PROFORMA!AT370</f>
        <v>0</v>
      </c>
      <c r="AT241" s="582">
        <f t="shared" si="274"/>
        <v>0</v>
      </c>
      <c r="AU241" s="532">
        <f t="shared" si="275"/>
        <v>0</v>
      </c>
      <c r="AV241" s="532">
        <f t="shared" si="276"/>
        <v>0</v>
      </c>
      <c r="AW241" s="532"/>
      <c r="AX241" s="532">
        <f t="shared" si="238"/>
        <v>0</v>
      </c>
    </row>
    <row r="242" spans="1:50">
      <c r="A242" s="529">
        <v>238</v>
      </c>
      <c r="B242" s="794"/>
      <c r="C242" s="550" t="s">
        <v>619</v>
      </c>
      <c r="D242" s="546"/>
      <c r="E242" s="557">
        <f>PROFORMA!F371</f>
        <v>-1000</v>
      </c>
      <c r="F242" s="557">
        <f>PROFORMA!G371</f>
        <v>0</v>
      </c>
      <c r="G242" s="557">
        <f>PROFORMA!H371</f>
        <v>0</v>
      </c>
      <c r="H242" s="557">
        <f>PROFORMA!I371</f>
        <v>0</v>
      </c>
      <c r="I242" s="557">
        <f>PROFORMA!J371</f>
        <v>0</v>
      </c>
      <c r="J242" s="557">
        <f>PROFORMA!K371</f>
        <v>0</v>
      </c>
      <c r="K242" s="557">
        <f>PROFORMA!L371</f>
        <v>0</v>
      </c>
      <c r="L242" s="557">
        <f>PROFORMA!M371</f>
        <v>0</v>
      </c>
      <c r="M242" s="557">
        <f>PROFORMA!N371</f>
        <v>0</v>
      </c>
      <c r="N242" s="557">
        <f>PROFORMA!O371</f>
        <v>0</v>
      </c>
      <c r="O242" s="557">
        <f>PROFORMA!P371</f>
        <v>0</v>
      </c>
      <c r="P242" s="557">
        <f>PROFORMA!Q371</f>
        <v>0</v>
      </c>
      <c r="Q242" s="557">
        <f>PROFORMA!R371</f>
        <v>0</v>
      </c>
      <c r="R242" s="557">
        <f>PROFORMA!S371</f>
        <v>0</v>
      </c>
      <c r="S242" s="557">
        <f>PROFORMA!T371</f>
        <v>0</v>
      </c>
      <c r="T242" s="557">
        <f>PROFORMA!U371</f>
        <v>0</v>
      </c>
      <c r="U242" s="557">
        <f>PROFORMA!V371</f>
        <v>0</v>
      </c>
      <c r="V242" s="557">
        <f>PROFORMA!W371</f>
        <v>0</v>
      </c>
      <c r="W242" s="557">
        <f>PROFORMA!X371</f>
        <v>0</v>
      </c>
      <c r="X242" s="579">
        <f t="shared" si="228"/>
        <v>0</v>
      </c>
      <c r="Y242" s="557">
        <f>PROFORMA!Y371</f>
        <v>0</v>
      </c>
      <c r="Z242" s="557">
        <f>PROFORMA!Z371</f>
        <v>0</v>
      </c>
      <c r="AA242" s="557">
        <f>PROFORMA!AA371</f>
        <v>0</v>
      </c>
      <c r="AB242" s="557">
        <f>PROFORMA!AB371</f>
        <v>0</v>
      </c>
      <c r="AC242" s="557">
        <f>PROFORMA!AC371</f>
        <v>0</v>
      </c>
      <c r="AD242" s="557">
        <f>PROFORMA!AD371</f>
        <v>0</v>
      </c>
      <c r="AE242" s="557">
        <f>PROFORMA!AE371</f>
        <v>0</v>
      </c>
      <c r="AF242" s="557">
        <f>PROFORMA!AG371</f>
        <v>0</v>
      </c>
      <c r="AG242" s="557">
        <f>PROFORMA!AH371</f>
        <v>0</v>
      </c>
      <c r="AH242" s="557">
        <f>PROFORMA!AI371</f>
        <v>0</v>
      </c>
      <c r="AI242" s="557">
        <f>PROFORMA!AJ371</f>
        <v>0</v>
      </c>
      <c r="AJ242" s="557">
        <f>PROFORMA!AK371</f>
        <v>0</v>
      </c>
      <c r="AK242" s="557">
        <f>PROFORMA!AL371</f>
        <v>0</v>
      </c>
      <c r="AL242" s="557">
        <f>PROFORMA!AM371</f>
        <v>0</v>
      </c>
      <c r="AM242" s="557">
        <f>PROFORMA!AN371</f>
        <v>0</v>
      </c>
      <c r="AN242" s="557">
        <f>PROFORMA!AO371</f>
        <v>0</v>
      </c>
      <c r="AO242" s="557">
        <f>PROFORMA!AP371</f>
        <v>0</v>
      </c>
      <c r="AP242" s="557">
        <f>PROFORMA!AQ371</f>
        <v>0</v>
      </c>
      <c r="AQ242" s="557">
        <f>PROFORMA!AR371</f>
        <v>0</v>
      </c>
      <c r="AR242" s="557">
        <f>PROFORMA!AS371</f>
        <v>0</v>
      </c>
      <c r="AS242" s="557">
        <f>PROFORMA!AT371</f>
        <v>0</v>
      </c>
      <c r="AT242" s="582">
        <f t="shared" si="274"/>
        <v>0</v>
      </c>
      <c r="AU242" s="532">
        <f t="shared" si="275"/>
        <v>0</v>
      </c>
      <c r="AV242" s="532">
        <f t="shared" si="276"/>
        <v>-1000</v>
      </c>
      <c r="AW242" s="532"/>
      <c r="AX242" s="532">
        <f t="shared" si="238"/>
        <v>-1000</v>
      </c>
    </row>
    <row r="243" spans="1:50">
      <c r="A243" s="529">
        <v>239</v>
      </c>
      <c r="B243" s="794"/>
      <c r="C243" s="550" t="s">
        <v>280</v>
      </c>
      <c r="D243" s="546"/>
      <c r="E243" s="557">
        <f>PROFORMA!F372</f>
        <v>19552000</v>
      </c>
      <c r="F243" s="557">
        <f>PROFORMA!G372</f>
        <v>0</v>
      </c>
      <c r="G243" s="557">
        <f>PROFORMA!H372</f>
        <v>0</v>
      </c>
      <c r="H243" s="557">
        <f>PROFORMA!I372</f>
        <v>0</v>
      </c>
      <c r="I243" s="557">
        <f>PROFORMA!J372</f>
        <v>0</v>
      </c>
      <c r="J243" s="557">
        <f>PROFORMA!K372</f>
        <v>0</v>
      </c>
      <c r="K243" s="557">
        <f>PROFORMA!L372</f>
        <v>0</v>
      </c>
      <c r="L243" s="557">
        <f>PROFORMA!M372</f>
        <v>0</v>
      </c>
      <c r="M243" s="557">
        <f>PROFORMA!N372</f>
        <v>0</v>
      </c>
      <c r="N243" s="557">
        <f>PROFORMA!O372</f>
        <v>0</v>
      </c>
      <c r="O243" s="557">
        <f>PROFORMA!P372</f>
        <v>0</v>
      </c>
      <c r="P243" s="557">
        <f>PROFORMA!Q372</f>
        <v>0</v>
      </c>
      <c r="Q243" s="557">
        <f>PROFORMA!R372</f>
        <v>0</v>
      </c>
      <c r="R243" s="557">
        <f>PROFORMA!S372</f>
        <v>0</v>
      </c>
      <c r="S243" s="557">
        <f>PROFORMA!T372</f>
        <v>0</v>
      </c>
      <c r="T243" s="557">
        <f>PROFORMA!U372</f>
        <v>0</v>
      </c>
      <c r="U243" s="557">
        <f>PROFORMA!V372</f>
        <v>0</v>
      </c>
      <c r="V243" s="557">
        <f>PROFORMA!W372</f>
        <v>0</v>
      </c>
      <c r="W243" s="557">
        <f>PROFORMA!X372</f>
        <v>0</v>
      </c>
      <c r="X243" s="579">
        <f t="shared" si="228"/>
        <v>0</v>
      </c>
      <c r="Y243" s="557">
        <f>PROFORMA!Y372</f>
        <v>0</v>
      </c>
      <c r="Z243" s="557">
        <f>PROFORMA!Z372</f>
        <v>0</v>
      </c>
      <c r="AA243" s="557">
        <f>PROFORMA!AA372</f>
        <v>0</v>
      </c>
      <c r="AB243" s="557">
        <f>PROFORMA!AB372</f>
        <v>0</v>
      </c>
      <c r="AC243" s="557">
        <f>PROFORMA!AC372</f>
        <v>0</v>
      </c>
      <c r="AD243" s="557">
        <f>PROFORMA!AD372</f>
        <v>0</v>
      </c>
      <c r="AE243" s="557">
        <f>PROFORMA!AE372</f>
        <v>0</v>
      </c>
      <c r="AF243" s="557">
        <f>PROFORMA!AG372</f>
        <v>0</v>
      </c>
      <c r="AG243" s="557">
        <f>PROFORMA!AH372</f>
        <v>0</v>
      </c>
      <c r="AH243" s="557">
        <f>PROFORMA!AI372</f>
        <v>0</v>
      </c>
      <c r="AI243" s="557">
        <f>PROFORMA!AJ372</f>
        <v>0</v>
      </c>
      <c r="AJ243" s="557">
        <f>PROFORMA!AK372</f>
        <v>0</v>
      </c>
      <c r="AK243" s="557">
        <f>PROFORMA!AL372</f>
        <v>0</v>
      </c>
      <c r="AL243" s="557">
        <f>PROFORMA!AM372</f>
        <v>0</v>
      </c>
      <c r="AM243" s="557">
        <f>PROFORMA!AN372</f>
        <v>0</v>
      </c>
      <c r="AN243" s="557">
        <f>PROFORMA!AO372</f>
        <v>0</v>
      </c>
      <c r="AO243" s="557">
        <f>PROFORMA!AP372</f>
        <v>0</v>
      </c>
      <c r="AP243" s="557">
        <f>PROFORMA!AQ372</f>
        <v>0</v>
      </c>
      <c r="AQ243" s="557">
        <f>PROFORMA!AR372</f>
        <v>0</v>
      </c>
      <c r="AR243" s="557">
        <f>PROFORMA!AS372</f>
        <v>0</v>
      </c>
      <c r="AS243" s="557">
        <f>PROFORMA!AT372</f>
        <v>0</v>
      </c>
      <c r="AT243" s="582">
        <f t="shared" si="274"/>
        <v>0</v>
      </c>
      <c r="AU243" s="532">
        <f t="shared" si="275"/>
        <v>0</v>
      </c>
      <c r="AV243" s="532">
        <f t="shared" si="276"/>
        <v>19552000</v>
      </c>
      <c r="AW243" s="532"/>
      <c r="AX243" s="532">
        <f t="shared" si="238"/>
        <v>19552000</v>
      </c>
    </row>
    <row r="244" spans="1:50">
      <c r="A244" s="529">
        <v>240</v>
      </c>
      <c r="B244" s="794"/>
      <c r="C244" s="550" t="s">
        <v>618</v>
      </c>
      <c r="D244" s="546"/>
      <c r="E244" s="557">
        <f>PROFORMA!F373</f>
        <v>15047000</v>
      </c>
      <c r="F244" s="557">
        <f>PROFORMA!G373</f>
        <v>0</v>
      </c>
      <c r="G244" s="557">
        <f>PROFORMA!H373</f>
        <v>0</v>
      </c>
      <c r="H244" s="557">
        <f>PROFORMA!I373</f>
        <v>-648000</v>
      </c>
      <c r="I244" s="557">
        <f>PROFORMA!J373</f>
        <v>0</v>
      </c>
      <c r="J244" s="557">
        <f>PROFORMA!K373</f>
        <v>0</v>
      </c>
      <c r="K244" s="557">
        <f>PROFORMA!L373</f>
        <v>0</v>
      </c>
      <c r="L244" s="557">
        <f>PROFORMA!M373</f>
        <v>0</v>
      </c>
      <c r="M244" s="557">
        <f>PROFORMA!N373</f>
        <v>0</v>
      </c>
      <c r="N244" s="557">
        <f>PROFORMA!O373</f>
        <v>0</v>
      </c>
      <c r="O244" s="557">
        <f>PROFORMA!P373</f>
        <v>0</v>
      </c>
      <c r="P244" s="557">
        <f>PROFORMA!Q373</f>
        <v>0</v>
      </c>
      <c r="Q244" s="557">
        <f>PROFORMA!R373</f>
        <v>0</v>
      </c>
      <c r="R244" s="557">
        <f>PROFORMA!S373</f>
        <v>0</v>
      </c>
      <c r="S244" s="557">
        <f>PROFORMA!T373</f>
        <v>0</v>
      </c>
      <c r="T244" s="557">
        <f>PROFORMA!U373</f>
        <v>0</v>
      </c>
      <c r="U244" s="557">
        <f>PROFORMA!V373</f>
        <v>0</v>
      </c>
      <c r="V244" s="557">
        <f>PROFORMA!W373</f>
        <v>0</v>
      </c>
      <c r="W244" s="557">
        <f>PROFORMA!X373</f>
        <v>0</v>
      </c>
      <c r="X244" s="579">
        <f t="shared" si="228"/>
        <v>-648000</v>
      </c>
      <c r="Y244" s="557">
        <f>PROFORMA!Y373</f>
        <v>0</v>
      </c>
      <c r="Z244" s="557">
        <f>PROFORMA!Z373</f>
        <v>0</v>
      </c>
      <c r="AA244" s="557">
        <f>PROFORMA!AA373</f>
        <v>0</v>
      </c>
      <c r="AB244" s="557">
        <f>PROFORMA!AB373</f>
        <v>0</v>
      </c>
      <c r="AC244" s="557">
        <f>PROFORMA!AC373</f>
        <v>0</v>
      </c>
      <c r="AD244" s="557">
        <f>PROFORMA!AD373</f>
        <v>0</v>
      </c>
      <c r="AE244" s="557">
        <f>PROFORMA!AE373</f>
        <v>0</v>
      </c>
      <c r="AF244" s="557">
        <f>PROFORMA!AG373</f>
        <v>0</v>
      </c>
      <c r="AG244" s="557">
        <f>PROFORMA!AH373</f>
        <v>0</v>
      </c>
      <c r="AH244" s="557">
        <f>PROFORMA!AI373</f>
        <v>0</v>
      </c>
      <c r="AI244" s="557">
        <f>PROFORMA!AJ373</f>
        <v>0</v>
      </c>
      <c r="AJ244" s="557">
        <f>PROFORMA!AK373</f>
        <v>0</v>
      </c>
      <c r="AK244" s="557">
        <f>PROFORMA!AL373</f>
        <v>0</v>
      </c>
      <c r="AL244" s="557">
        <f>PROFORMA!AM373</f>
        <v>0</v>
      </c>
      <c r="AM244" s="557">
        <f>PROFORMA!AN373</f>
        <v>0</v>
      </c>
      <c r="AN244" s="557">
        <f>PROFORMA!AO373</f>
        <v>0</v>
      </c>
      <c r="AO244" s="557">
        <f>PROFORMA!AP373</f>
        <v>0</v>
      </c>
      <c r="AP244" s="557">
        <f>PROFORMA!AQ373</f>
        <v>0</v>
      </c>
      <c r="AQ244" s="557">
        <f>PROFORMA!AR373</f>
        <v>0</v>
      </c>
      <c r="AR244" s="557">
        <f>PROFORMA!AS373</f>
        <v>0</v>
      </c>
      <c r="AS244" s="557">
        <f>PROFORMA!AT373</f>
        <v>0</v>
      </c>
      <c r="AT244" s="582">
        <f t="shared" si="274"/>
        <v>0</v>
      </c>
      <c r="AU244" s="532">
        <f t="shared" si="275"/>
        <v>-648000</v>
      </c>
      <c r="AV244" s="532">
        <f t="shared" si="276"/>
        <v>14399000</v>
      </c>
      <c r="AW244" s="532"/>
      <c r="AX244" s="532">
        <f t="shared" si="238"/>
        <v>14399000</v>
      </c>
    </row>
    <row r="245" spans="1:50">
      <c r="A245" s="529">
        <v>241</v>
      </c>
      <c r="B245" s="794"/>
      <c r="C245" s="550" t="s">
        <v>1042</v>
      </c>
      <c r="D245" s="546"/>
      <c r="E245" s="557">
        <f>PROFORMA!F374</f>
        <v>3425000</v>
      </c>
      <c r="F245" s="557">
        <f>PROFORMA!G374</f>
        <v>0</v>
      </c>
      <c r="G245" s="557">
        <f>PROFORMA!H374</f>
        <v>0</v>
      </c>
      <c r="H245" s="557">
        <f>PROFORMA!I374</f>
        <v>0</v>
      </c>
      <c r="I245" s="557">
        <f>PROFORMA!J374</f>
        <v>0</v>
      </c>
      <c r="J245" s="557">
        <f>PROFORMA!K374</f>
        <v>0</v>
      </c>
      <c r="K245" s="557">
        <f>PROFORMA!L374</f>
        <v>0</v>
      </c>
      <c r="L245" s="557">
        <f>PROFORMA!M374</f>
        <v>0</v>
      </c>
      <c r="M245" s="557">
        <f>PROFORMA!N374</f>
        <v>0</v>
      </c>
      <c r="N245" s="557">
        <f>PROFORMA!O374</f>
        <v>0</v>
      </c>
      <c r="O245" s="557">
        <f>PROFORMA!P374</f>
        <v>0</v>
      </c>
      <c r="P245" s="557">
        <f>PROFORMA!Q374</f>
        <v>0</v>
      </c>
      <c r="Q245" s="557">
        <f>PROFORMA!R374</f>
        <v>0</v>
      </c>
      <c r="R245" s="557">
        <f>PROFORMA!S374</f>
        <v>0</v>
      </c>
      <c r="S245" s="557">
        <f>PROFORMA!T374</f>
        <v>0</v>
      </c>
      <c r="T245" s="557">
        <f>PROFORMA!U374</f>
        <v>0</v>
      </c>
      <c r="U245" s="557">
        <f>PROFORMA!V374</f>
        <v>0</v>
      </c>
      <c r="V245" s="557">
        <f>PROFORMA!W374</f>
        <v>0</v>
      </c>
      <c r="W245" s="557">
        <f>PROFORMA!X374</f>
        <v>0</v>
      </c>
      <c r="X245" s="579">
        <f t="shared" si="228"/>
        <v>0</v>
      </c>
      <c r="Y245" s="557">
        <f>PROFORMA!Y374</f>
        <v>0</v>
      </c>
      <c r="Z245" s="557">
        <f>PROFORMA!Z374</f>
        <v>0</v>
      </c>
      <c r="AA245" s="557">
        <f>PROFORMA!AA374</f>
        <v>0</v>
      </c>
      <c r="AB245" s="557">
        <f>PROFORMA!AB374</f>
        <v>0</v>
      </c>
      <c r="AC245" s="557">
        <f>PROFORMA!AC374</f>
        <v>0</v>
      </c>
      <c r="AD245" s="557">
        <f>PROFORMA!AD374</f>
        <v>0</v>
      </c>
      <c r="AE245" s="557">
        <f>PROFORMA!AE374</f>
        <v>0</v>
      </c>
      <c r="AF245" s="557">
        <f>PROFORMA!AG374</f>
        <v>0</v>
      </c>
      <c r="AG245" s="557">
        <f>PROFORMA!AH374</f>
        <v>0</v>
      </c>
      <c r="AH245" s="557">
        <f>PROFORMA!AI374</f>
        <v>0</v>
      </c>
      <c r="AI245" s="557">
        <f>PROFORMA!AJ374</f>
        <v>0</v>
      </c>
      <c r="AJ245" s="557">
        <f>PROFORMA!AK374</f>
        <v>0</v>
      </c>
      <c r="AK245" s="557">
        <f>PROFORMA!AL374</f>
        <v>0</v>
      </c>
      <c r="AL245" s="557">
        <f>PROFORMA!AM374</f>
        <v>0</v>
      </c>
      <c r="AM245" s="557">
        <f>PROFORMA!AN374</f>
        <v>0</v>
      </c>
      <c r="AN245" s="557">
        <f>PROFORMA!AO374</f>
        <v>0</v>
      </c>
      <c r="AO245" s="557">
        <f>PROFORMA!AP374</f>
        <v>0</v>
      </c>
      <c r="AP245" s="557">
        <f>PROFORMA!AQ374</f>
        <v>0</v>
      </c>
      <c r="AQ245" s="557">
        <f>PROFORMA!AR374</f>
        <v>0</v>
      </c>
      <c r="AR245" s="557">
        <f>PROFORMA!AS374</f>
        <v>0</v>
      </c>
      <c r="AS245" s="557">
        <f>PROFORMA!AT374</f>
        <v>0</v>
      </c>
      <c r="AT245" s="582">
        <f t="shared" si="274"/>
        <v>0</v>
      </c>
      <c r="AU245" s="532">
        <f t="shared" si="275"/>
        <v>0</v>
      </c>
      <c r="AV245" s="532">
        <f t="shared" si="276"/>
        <v>3425000</v>
      </c>
      <c r="AW245" s="532"/>
      <c r="AX245" s="532">
        <f t="shared" si="238"/>
        <v>3425000</v>
      </c>
    </row>
    <row r="246" spans="1:50">
      <c r="A246" s="529"/>
      <c r="B246" s="794"/>
      <c r="C246" s="550" t="s">
        <v>1271</v>
      </c>
      <c r="D246" s="546"/>
      <c r="E246" s="557">
        <f>PROFORMA!F375</f>
        <v>1594000</v>
      </c>
      <c r="F246" s="557">
        <f>PROFORMA!G375</f>
        <v>0</v>
      </c>
      <c r="G246" s="557">
        <f>PROFORMA!H375</f>
        <v>0</v>
      </c>
      <c r="H246" s="557">
        <f>PROFORMA!I375</f>
        <v>0</v>
      </c>
      <c r="I246" s="557">
        <f>PROFORMA!J375</f>
        <v>0</v>
      </c>
      <c r="J246" s="557">
        <f>PROFORMA!K375</f>
        <v>0</v>
      </c>
      <c r="K246" s="557">
        <f>PROFORMA!L375</f>
        <v>0</v>
      </c>
      <c r="L246" s="557">
        <f>PROFORMA!M375</f>
        <v>0</v>
      </c>
      <c r="M246" s="557">
        <f>PROFORMA!N375</f>
        <v>0</v>
      </c>
      <c r="N246" s="557">
        <f>PROFORMA!O375</f>
        <v>0</v>
      </c>
      <c r="O246" s="557">
        <f>PROFORMA!P375</f>
        <v>0</v>
      </c>
      <c r="P246" s="557">
        <f>PROFORMA!Q375</f>
        <v>0</v>
      </c>
      <c r="Q246" s="557">
        <f>PROFORMA!R375</f>
        <v>0</v>
      </c>
      <c r="R246" s="557">
        <f>PROFORMA!S375</f>
        <v>0</v>
      </c>
      <c r="S246" s="557">
        <f>PROFORMA!T375</f>
        <v>0</v>
      </c>
      <c r="T246" s="557">
        <f>PROFORMA!U375</f>
        <v>0</v>
      </c>
      <c r="U246" s="557">
        <f>PROFORMA!V375</f>
        <v>0</v>
      </c>
      <c r="V246" s="557">
        <f>PROFORMA!W375</f>
        <v>0</v>
      </c>
      <c r="W246" s="557">
        <f>PROFORMA!X375</f>
        <v>0</v>
      </c>
      <c r="X246" s="579">
        <f t="shared" si="228"/>
        <v>0</v>
      </c>
      <c r="Y246" s="557">
        <f>PROFORMA!Y375</f>
        <v>0</v>
      </c>
      <c r="Z246" s="557">
        <f>PROFORMA!Z375</f>
        <v>0</v>
      </c>
      <c r="AA246" s="557">
        <f>PROFORMA!AA375</f>
        <v>0</v>
      </c>
      <c r="AB246" s="557">
        <f>PROFORMA!AB375</f>
        <v>0</v>
      </c>
      <c r="AC246" s="557">
        <f>PROFORMA!AC375</f>
        <v>0</v>
      </c>
      <c r="AD246" s="557">
        <f>PROFORMA!AD375</f>
        <v>0</v>
      </c>
      <c r="AE246" s="557">
        <f>PROFORMA!AE375</f>
        <v>0</v>
      </c>
      <c r="AF246" s="557">
        <f>PROFORMA!AG375</f>
        <v>0</v>
      </c>
      <c r="AG246" s="557">
        <f>PROFORMA!AH375</f>
        <v>0</v>
      </c>
      <c r="AH246" s="557">
        <f>PROFORMA!AI375</f>
        <v>0</v>
      </c>
      <c r="AI246" s="557">
        <f>PROFORMA!AJ375</f>
        <v>0</v>
      </c>
      <c r="AJ246" s="557">
        <f>PROFORMA!AK375</f>
        <v>0</v>
      </c>
      <c r="AK246" s="557">
        <f>PROFORMA!AL375</f>
        <v>0</v>
      </c>
      <c r="AL246" s="557">
        <f>PROFORMA!AM375</f>
        <v>0</v>
      </c>
      <c r="AM246" s="557">
        <f>PROFORMA!AN375</f>
        <v>0</v>
      </c>
      <c r="AN246" s="557">
        <f>PROFORMA!AO375</f>
        <v>0</v>
      </c>
      <c r="AO246" s="557">
        <f>PROFORMA!AP375</f>
        <v>0</v>
      </c>
      <c r="AP246" s="557">
        <f>PROFORMA!AQ375</f>
        <v>0</v>
      </c>
      <c r="AQ246" s="557">
        <f>PROFORMA!AR375</f>
        <v>0</v>
      </c>
      <c r="AR246" s="557">
        <f>PROFORMA!AS375</f>
        <v>0</v>
      </c>
      <c r="AS246" s="557">
        <f>PROFORMA!AT375</f>
        <v>0</v>
      </c>
      <c r="AT246" s="582">
        <f t="shared" si="274"/>
        <v>0</v>
      </c>
      <c r="AU246" s="532">
        <f t="shared" si="275"/>
        <v>0</v>
      </c>
      <c r="AV246" s="532">
        <f t="shared" si="276"/>
        <v>1594000</v>
      </c>
      <c r="AW246" s="532"/>
      <c r="AX246" s="532"/>
    </row>
    <row r="247" spans="1:50">
      <c r="A247" s="529"/>
      <c r="B247" s="794"/>
      <c r="C247" s="550" t="s">
        <v>1272</v>
      </c>
      <c r="D247" s="546"/>
      <c r="E247" s="557">
        <f>PROFORMA!F376</f>
        <v>-13534000</v>
      </c>
      <c r="F247" s="557">
        <f>PROFORMA!G376</f>
        <v>0</v>
      </c>
      <c r="G247" s="557">
        <f>PROFORMA!H376</f>
        <v>0</v>
      </c>
      <c r="H247" s="557">
        <f>PROFORMA!I376</f>
        <v>0</v>
      </c>
      <c r="I247" s="557">
        <f>PROFORMA!J376</f>
        <v>0</v>
      </c>
      <c r="J247" s="557">
        <f>PROFORMA!K376</f>
        <v>0</v>
      </c>
      <c r="K247" s="557">
        <f>PROFORMA!L376</f>
        <v>0</v>
      </c>
      <c r="L247" s="557">
        <f>PROFORMA!M376</f>
        <v>0</v>
      </c>
      <c r="M247" s="557">
        <f>PROFORMA!N376</f>
        <v>0</v>
      </c>
      <c r="N247" s="557">
        <f>PROFORMA!O376</f>
        <v>0</v>
      </c>
      <c r="O247" s="557">
        <f>PROFORMA!P376</f>
        <v>0</v>
      </c>
      <c r="P247" s="557">
        <f>PROFORMA!Q376</f>
        <v>0</v>
      </c>
      <c r="Q247" s="557">
        <f>PROFORMA!R376</f>
        <v>0</v>
      </c>
      <c r="R247" s="557">
        <f>PROFORMA!S376</f>
        <v>0</v>
      </c>
      <c r="S247" s="557">
        <f>PROFORMA!T376</f>
        <v>0</v>
      </c>
      <c r="T247" s="557">
        <f>PROFORMA!U376</f>
        <v>0</v>
      </c>
      <c r="U247" s="557">
        <f>PROFORMA!V376</f>
        <v>0</v>
      </c>
      <c r="V247" s="557">
        <f>PROFORMA!W376</f>
        <v>0</v>
      </c>
      <c r="W247" s="557">
        <f>PROFORMA!X376</f>
        <v>0</v>
      </c>
      <c r="X247" s="579">
        <f t="shared" si="228"/>
        <v>0</v>
      </c>
      <c r="Y247" s="557">
        <f>PROFORMA!Y376</f>
        <v>0</v>
      </c>
      <c r="Z247" s="557">
        <f>PROFORMA!Z376</f>
        <v>0</v>
      </c>
      <c r="AA247" s="557">
        <f>PROFORMA!AA376</f>
        <v>0</v>
      </c>
      <c r="AB247" s="557">
        <f>PROFORMA!AB376</f>
        <v>0</v>
      </c>
      <c r="AC247" s="557">
        <f>PROFORMA!AC376</f>
        <v>0</v>
      </c>
      <c r="AD247" s="557">
        <f>PROFORMA!AD376</f>
        <v>0</v>
      </c>
      <c r="AE247" s="557">
        <f>PROFORMA!AE376</f>
        <v>0</v>
      </c>
      <c r="AF247" s="557">
        <f>PROFORMA!AG376</f>
        <v>0</v>
      </c>
      <c r="AG247" s="557">
        <f>PROFORMA!AH376</f>
        <v>0</v>
      </c>
      <c r="AH247" s="557">
        <f>PROFORMA!AI376</f>
        <v>0</v>
      </c>
      <c r="AI247" s="557">
        <f>PROFORMA!AJ376</f>
        <v>0</v>
      </c>
      <c r="AJ247" s="557">
        <f>PROFORMA!AK376</f>
        <v>0</v>
      </c>
      <c r="AK247" s="557">
        <f>PROFORMA!AL376</f>
        <v>0</v>
      </c>
      <c r="AL247" s="557">
        <f>PROFORMA!AM376</f>
        <v>0</v>
      </c>
      <c r="AM247" s="557">
        <f>PROFORMA!AN376</f>
        <v>0</v>
      </c>
      <c r="AN247" s="557">
        <f>PROFORMA!AO376</f>
        <v>0</v>
      </c>
      <c r="AO247" s="557">
        <f>PROFORMA!AP376</f>
        <v>0</v>
      </c>
      <c r="AP247" s="557">
        <f>PROFORMA!AQ376</f>
        <v>0</v>
      </c>
      <c r="AQ247" s="557">
        <f>PROFORMA!AR376</f>
        <v>0</v>
      </c>
      <c r="AR247" s="557">
        <f>PROFORMA!AS376</f>
        <v>0</v>
      </c>
      <c r="AS247" s="557">
        <f>PROFORMA!AT376</f>
        <v>0</v>
      </c>
      <c r="AT247" s="582">
        <f t="shared" si="274"/>
        <v>0</v>
      </c>
      <c r="AU247" s="532">
        <f t="shared" si="275"/>
        <v>0</v>
      </c>
      <c r="AV247" s="532">
        <f t="shared" si="276"/>
        <v>-13534000</v>
      </c>
      <c r="AW247" s="532"/>
      <c r="AX247" s="532"/>
    </row>
    <row r="248" spans="1:50">
      <c r="A248" s="529">
        <v>242</v>
      </c>
      <c r="B248" s="794"/>
      <c r="C248" s="550" t="s">
        <v>607</v>
      </c>
      <c r="D248" s="546"/>
      <c r="E248" s="577">
        <f>PROFORMA!F377</f>
        <v>9459000</v>
      </c>
      <c r="F248" s="577">
        <f>PROFORMA!G377</f>
        <v>0</v>
      </c>
      <c r="G248" s="577">
        <f>PROFORMA!H377</f>
        <v>0</v>
      </c>
      <c r="H248" s="577">
        <f>PROFORMA!I377</f>
        <v>0</v>
      </c>
      <c r="I248" s="577">
        <f>PROFORMA!J377</f>
        <v>0</v>
      </c>
      <c r="J248" s="577">
        <f>PROFORMA!K377</f>
        <v>0</v>
      </c>
      <c r="K248" s="577">
        <f>PROFORMA!L377</f>
        <v>0</v>
      </c>
      <c r="L248" s="577">
        <f>PROFORMA!M377</f>
        <v>0</v>
      </c>
      <c r="M248" s="577">
        <f>PROFORMA!N377</f>
        <v>0</v>
      </c>
      <c r="N248" s="577">
        <f>PROFORMA!O377</f>
        <v>0</v>
      </c>
      <c r="O248" s="577">
        <f>PROFORMA!P377</f>
        <v>0</v>
      </c>
      <c r="P248" s="577">
        <f>PROFORMA!Q377</f>
        <v>0</v>
      </c>
      <c r="Q248" s="577">
        <f>PROFORMA!R377</f>
        <v>0</v>
      </c>
      <c r="R248" s="577">
        <f>PROFORMA!S377</f>
        <v>0</v>
      </c>
      <c r="S248" s="577">
        <f>PROFORMA!T377</f>
        <v>0</v>
      </c>
      <c r="T248" s="577">
        <f>PROFORMA!U377</f>
        <v>0</v>
      </c>
      <c r="U248" s="577">
        <f>PROFORMA!V377</f>
        <v>0</v>
      </c>
      <c r="V248" s="577">
        <f>PROFORMA!W377</f>
        <v>0</v>
      </c>
      <c r="W248" s="577">
        <f>PROFORMA!X377</f>
        <v>0</v>
      </c>
      <c r="X248" s="580">
        <f t="shared" si="228"/>
        <v>0</v>
      </c>
      <c r="Y248" s="577">
        <f>PROFORMA!Y377</f>
        <v>0</v>
      </c>
      <c r="Z248" s="577">
        <f>PROFORMA!Z377</f>
        <v>0</v>
      </c>
      <c r="AA248" s="577">
        <f>PROFORMA!AA377</f>
        <v>0</v>
      </c>
      <c r="AB248" s="577">
        <f>PROFORMA!AB377</f>
        <v>-2141000</v>
      </c>
      <c r="AC248" s="577">
        <f>PROFORMA!AC377</f>
        <v>0</v>
      </c>
      <c r="AD248" s="577">
        <f>PROFORMA!AD377</f>
        <v>0</v>
      </c>
      <c r="AE248" s="577">
        <f>PROFORMA!AE377</f>
        <v>0</v>
      </c>
      <c r="AF248" s="577">
        <f>PROFORMA!AG377</f>
        <v>0</v>
      </c>
      <c r="AG248" s="577">
        <f>PROFORMA!AH377</f>
        <v>0</v>
      </c>
      <c r="AH248" s="577">
        <f>PROFORMA!AI377</f>
        <v>0</v>
      </c>
      <c r="AI248" s="577">
        <f>PROFORMA!AJ377</f>
        <v>0</v>
      </c>
      <c r="AJ248" s="577">
        <f>PROFORMA!AK377</f>
        <v>0</v>
      </c>
      <c r="AK248" s="577">
        <f>PROFORMA!AL377</f>
        <v>0</v>
      </c>
      <c r="AL248" s="577">
        <f>PROFORMA!AM377</f>
        <v>0</v>
      </c>
      <c r="AM248" s="577">
        <f>PROFORMA!AN377</f>
        <v>0</v>
      </c>
      <c r="AN248" s="577">
        <f>PROFORMA!AO377</f>
        <v>0</v>
      </c>
      <c r="AO248" s="577">
        <f>PROFORMA!AP377</f>
        <v>0</v>
      </c>
      <c r="AP248" s="577">
        <f>PROFORMA!AQ377</f>
        <v>0</v>
      </c>
      <c r="AQ248" s="577">
        <f>PROFORMA!AR377</f>
        <v>0</v>
      </c>
      <c r="AR248" s="577">
        <f>PROFORMA!AS377</f>
        <v>0</v>
      </c>
      <c r="AS248" s="577">
        <f>PROFORMA!AT377</f>
        <v>0</v>
      </c>
      <c r="AT248" s="583">
        <f t="shared" si="274"/>
        <v>-2141000</v>
      </c>
      <c r="AU248" s="581">
        <f t="shared" si="275"/>
        <v>-2141000</v>
      </c>
      <c r="AV248" s="581">
        <f t="shared" si="276"/>
        <v>7318000</v>
      </c>
      <c r="AW248" s="581"/>
      <c r="AX248" s="581">
        <f t="shared" si="238"/>
        <v>7318000</v>
      </c>
    </row>
    <row r="249" spans="1:50">
      <c r="A249" s="529">
        <v>243</v>
      </c>
      <c r="B249" s="500"/>
      <c r="C249" s="525" t="s">
        <v>617</v>
      </c>
      <c r="D249" s="525"/>
      <c r="E249" s="539">
        <f>SUM(E241:E248)</f>
        <v>35542000</v>
      </c>
      <c r="F249" s="539">
        <f>SUM(F241:F248)</f>
        <v>0</v>
      </c>
      <c r="G249" s="539">
        <f t="shared" ref="G249:W249" si="277">SUM(G241:G248)</f>
        <v>0</v>
      </c>
      <c r="H249" s="539">
        <f t="shared" si="277"/>
        <v>-648000</v>
      </c>
      <c r="I249" s="539">
        <f t="shared" si="277"/>
        <v>0</v>
      </c>
      <c r="J249" s="539">
        <f t="shared" si="277"/>
        <v>0</v>
      </c>
      <c r="K249" s="539">
        <f t="shared" si="277"/>
        <v>0</v>
      </c>
      <c r="L249" s="539">
        <f t="shared" si="277"/>
        <v>0</v>
      </c>
      <c r="M249" s="539">
        <f t="shared" si="277"/>
        <v>0</v>
      </c>
      <c r="N249" s="539">
        <f t="shared" si="277"/>
        <v>0</v>
      </c>
      <c r="O249" s="539">
        <f t="shared" si="277"/>
        <v>0</v>
      </c>
      <c r="P249" s="539">
        <f t="shared" si="277"/>
        <v>0</v>
      </c>
      <c r="Q249" s="539">
        <f t="shared" si="277"/>
        <v>0</v>
      </c>
      <c r="R249" s="539">
        <f t="shared" si="277"/>
        <v>0</v>
      </c>
      <c r="S249" s="539">
        <f t="shared" si="277"/>
        <v>0</v>
      </c>
      <c r="T249" s="539">
        <f t="shared" si="277"/>
        <v>0</v>
      </c>
      <c r="U249" s="539">
        <f t="shared" si="277"/>
        <v>0</v>
      </c>
      <c r="V249" s="539">
        <f t="shared" si="277"/>
        <v>0</v>
      </c>
      <c r="W249" s="539">
        <f t="shared" si="277"/>
        <v>0</v>
      </c>
      <c r="X249" s="579">
        <f t="shared" si="228"/>
        <v>-648000</v>
      </c>
      <c r="Y249" s="539">
        <f>SUM(Y241:Y248)</f>
        <v>0</v>
      </c>
      <c r="Z249" s="539">
        <f t="shared" ref="Z249:AF249" si="278">SUM(Z241:Z248)</f>
        <v>0</v>
      </c>
      <c r="AA249" s="539">
        <f t="shared" si="278"/>
        <v>0</v>
      </c>
      <c r="AB249" s="539">
        <f>SUM(AB241:AB248)</f>
        <v>-2141000</v>
      </c>
      <c r="AC249" s="539">
        <f t="shared" si="278"/>
        <v>0</v>
      </c>
      <c r="AD249" s="539">
        <f t="shared" si="278"/>
        <v>0</v>
      </c>
      <c r="AE249" s="539">
        <f t="shared" si="278"/>
        <v>0</v>
      </c>
      <c r="AF249" s="539">
        <f t="shared" si="278"/>
        <v>0</v>
      </c>
      <c r="AG249" s="539">
        <f t="shared" ref="AG249:AQ249" si="279">SUM(AG241:AG248)</f>
        <v>0</v>
      </c>
      <c r="AH249" s="539">
        <f t="shared" si="279"/>
        <v>0</v>
      </c>
      <c r="AI249" s="539">
        <f t="shared" si="279"/>
        <v>0</v>
      </c>
      <c r="AJ249" s="539">
        <f t="shared" si="279"/>
        <v>0</v>
      </c>
      <c r="AK249" s="539">
        <f t="shared" si="279"/>
        <v>0</v>
      </c>
      <c r="AL249" s="539">
        <f t="shared" si="279"/>
        <v>0</v>
      </c>
      <c r="AM249" s="539">
        <f t="shared" si="279"/>
        <v>0</v>
      </c>
      <c r="AN249" s="539">
        <f t="shared" si="279"/>
        <v>0</v>
      </c>
      <c r="AO249" s="539">
        <f t="shared" si="279"/>
        <v>0</v>
      </c>
      <c r="AP249" s="539">
        <f t="shared" si="279"/>
        <v>0</v>
      </c>
      <c r="AQ249" s="539">
        <f t="shared" si="279"/>
        <v>0</v>
      </c>
      <c r="AR249" s="539">
        <f t="shared" ref="AR249" si="280">SUM(AR241:AR248)</f>
        <v>0</v>
      </c>
      <c r="AS249" s="539">
        <f t="shared" ref="AS249" si="281">SUM(AS241:AS248)</f>
        <v>0</v>
      </c>
      <c r="AT249" s="539">
        <f>SUM(AT241:AT248)</f>
        <v>-2141000</v>
      </c>
      <c r="AU249" s="539">
        <f>SUM(AU241:AU248)</f>
        <v>-2789000</v>
      </c>
      <c r="AV249" s="539">
        <f>SUM(AV241:AV248)</f>
        <v>32753000</v>
      </c>
      <c r="AW249" s="539">
        <f>SUM(AW241:AW248)</f>
        <v>0</v>
      </c>
      <c r="AX249" s="539">
        <f>SUM(AX241:AX248)</f>
        <v>44693000</v>
      </c>
    </row>
    <row r="250" spans="1:50">
      <c r="A250" s="529">
        <v>244</v>
      </c>
      <c r="B250" s="500"/>
      <c r="C250" s="546"/>
      <c r="D250" s="546"/>
      <c r="E250" s="539"/>
      <c r="F250" s="539"/>
      <c r="G250" s="539"/>
      <c r="H250" s="539"/>
      <c r="I250" s="539"/>
      <c r="J250" s="539"/>
      <c r="K250" s="539"/>
      <c r="L250" s="539"/>
      <c r="M250" s="539"/>
      <c r="N250" s="539"/>
      <c r="O250" s="539"/>
      <c r="P250" s="539"/>
      <c r="Q250" s="539"/>
      <c r="R250" s="539"/>
      <c r="S250" s="539"/>
      <c r="T250" s="539"/>
      <c r="U250" s="539"/>
      <c r="V250" s="539"/>
      <c r="W250" s="539"/>
      <c r="X250" s="579">
        <f t="shared" si="228"/>
        <v>0</v>
      </c>
      <c r="Y250" s="539"/>
      <c r="Z250" s="539"/>
      <c r="AA250" s="539"/>
      <c r="AB250" s="539"/>
      <c r="AC250" s="539"/>
      <c r="AD250" s="539"/>
      <c r="AE250" s="539"/>
      <c r="AF250" s="539"/>
      <c r="AG250" s="539"/>
      <c r="AH250" s="539"/>
      <c r="AI250" s="539"/>
      <c r="AJ250" s="539"/>
      <c r="AK250" s="539"/>
      <c r="AL250" s="539"/>
      <c r="AM250" s="539"/>
      <c r="AN250" s="539"/>
      <c r="AO250" s="539"/>
      <c r="AP250" s="539"/>
      <c r="AQ250" s="539"/>
      <c r="AR250" s="539"/>
      <c r="AS250" s="539"/>
      <c r="AT250" s="582">
        <f>SUM(Y250:AS250)</f>
        <v>0</v>
      </c>
      <c r="AU250" s="532">
        <f>X250+AT250</f>
        <v>0</v>
      </c>
      <c r="AV250" s="532">
        <f>E250+AU250</f>
        <v>0</v>
      </c>
      <c r="AW250" s="532"/>
      <c r="AX250" s="532">
        <f t="shared" si="238"/>
        <v>0</v>
      </c>
    </row>
    <row r="251" spans="1:50">
      <c r="A251" s="529">
        <v>245</v>
      </c>
      <c r="B251" s="500"/>
      <c r="C251" s="566" t="s">
        <v>110</v>
      </c>
      <c r="D251" s="566"/>
      <c r="E251" s="539">
        <f>E237-E239+E249</f>
        <v>533429000</v>
      </c>
      <c r="F251" s="539">
        <f>F237+F239+F249</f>
        <v>-224000</v>
      </c>
      <c r="G251" s="539">
        <f t="shared" ref="G251:W251" si="282">G237+G239+G249</f>
        <v>0</v>
      </c>
      <c r="H251" s="539">
        <f t="shared" si="282"/>
        <v>-648000</v>
      </c>
      <c r="I251" s="539">
        <f t="shared" si="282"/>
        <v>0</v>
      </c>
      <c r="J251" s="539">
        <f t="shared" si="282"/>
        <v>0</v>
      </c>
      <c r="K251" s="539">
        <f t="shared" si="282"/>
        <v>0</v>
      </c>
      <c r="L251" s="539">
        <f t="shared" si="282"/>
        <v>0</v>
      </c>
      <c r="M251" s="539">
        <f t="shared" si="282"/>
        <v>0</v>
      </c>
      <c r="N251" s="539">
        <f t="shared" si="282"/>
        <v>0</v>
      </c>
      <c r="O251" s="539">
        <f t="shared" si="282"/>
        <v>0</v>
      </c>
      <c r="P251" s="539">
        <f t="shared" si="282"/>
        <v>0</v>
      </c>
      <c r="Q251" s="539">
        <f t="shared" si="282"/>
        <v>0</v>
      </c>
      <c r="R251" s="539">
        <f t="shared" si="282"/>
        <v>0</v>
      </c>
      <c r="S251" s="539">
        <f t="shared" si="282"/>
        <v>0</v>
      </c>
      <c r="T251" s="539">
        <f t="shared" si="282"/>
        <v>0</v>
      </c>
      <c r="U251" s="539">
        <f t="shared" si="282"/>
        <v>0</v>
      </c>
      <c r="V251" s="539">
        <f t="shared" si="282"/>
        <v>0</v>
      </c>
      <c r="W251" s="539">
        <f t="shared" si="282"/>
        <v>12408000</v>
      </c>
      <c r="X251" s="579">
        <f t="shared" si="228"/>
        <v>11536000</v>
      </c>
      <c r="Y251" s="539">
        <f>Y237+Y239+Y249</f>
        <v>0</v>
      </c>
      <c r="Z251" s="539">
        <f t="shared" ref="Z251:AF251" si="283">Z237+Z239+Z249</f>
        <v>0</v>
      </c>
      <c r="AA251" s="539">
        <f t="shared" si="283"/>
        <v>0</v>
      </c>
      <c r="AB251" s="539">
        <f>AB237+AB239+AB249</f>
        <v>-2141000</v>
      </c>
      <c r="AC251" s="539">
        <f t="shared" si="283"/>
        <v>0</v>
      </c>
      <c r="AD251" s="539">
        <f t="shared" si="283"/>
        <v>0</v>
      </c>
      <c r="AE251" s="539">
        <f t="shared" si="283"/>
        <v>0</v>
      </c>
      <c r="AF251" s="539">
        <f t="shared" si="283"/>
        <v>0</v>
      </c>
      <c r="AG251" s="539">
        <f t="shared" ref="AG251:AQ251" si="284">AG237+AG239+AG249</f>
        <v>0</v>
      </c>
      <c r="AH251" s="539">
        <f t="shared" si="284"/>
        <v>0</v>
      </c>
      <c r="AI251" s="539">
        <f t="shared" si="284"/>
        <v>0</v>
      </c>
      <c r="AJ251" s="539">
        <f t="shared" si="284"/>
        <v>0</v>
      </c>
      <c r="AK251" s="539">
        <f t="shared" si="284"/>
        <v>0</v>
      </c>
      <c r="AL251" s="539">
        <f t="shared" si="284"/>
        <v>19487000</v>
      </c>
      <c r="AM251" s="539">
        <f t="shared" si="284"/>
        <v>0</v>
      </c>
      <c r="AN251" s="539">
        <f t="shared" si="284"/>
        <v>20568000</v>
      </c>
      <c r="AO251" s="539">
        <f t="shared" si="284"/>
        <v>0</v>
      </c>
      <c r="AP251" s="539">
        <f t="shared" si="284"/>
        <v>0</v>
      </c>
      <c r="AQ251" s="539">
        <f t="shared" si="284"/>
        <v>0</v>
      </c>
      <c r="AR251" s="539">
        <f t="shared" ref="AR251:AS251" si="285">AR237+AR239+AR249</f>
        <v>3204000</v>
      </c>
      <c r="AS251" s="539">
        <f t="shared" si="285"/>
        <v>0</v>
      </c>
      <c r="AT251" s="539">
        <f>AT237+AT239+AT249</f>
        <v>114580000</v>
      </c>
      <c r="AU251" s="539">
        <f>AU237+AU239+AU249</f>
        <v>150748000</v>
      </c>
      <c r="AV251" s="539">
        <f>AV237+AV239+AV249</f>
        <v>853721000</v>
      </c>
      <c r="AW251" s="539">
        <f>AW237+AW239+AW249</f>
        <v>0</v>
      </c>
      <c r="AX251" s="539">
        <f>AX237+AX239+AX249</f>
        <v>865661000</v>
      </c>
    </row>
    <row r="252" spans="1:50">
      <c r="A252" s="529">
        <v>246</v>
      </c>
      <c r="B252" s="500"/>
      <c r="C252" s="546"/>
      <c r="D252" s="546"/>
      <c r="E252" s="539"/>
      <c r="F252" s="532"/>
      <c r="G252" s="532"/>
      <c r="H252" s="532"/>
      <c r="I252" s="532"/>
      <c r="J252" s="532"/>
      <c r="K252" s="532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  <c r="AA252" s="532"/>
      <c r="AB252" s="532"/>
      <c r="AC252" s="532"/>
      <c r="AD252" s="532"/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</row>
    <row r="253" spans="1:50" s="510" customFormat="1">
      <c r="A253" s="696">
        <v>247</v>
      </c>
      <c r="B253" s="500"/>
      <c r="C253" s="500"/>
      <c r="D253" s="697" t="s">
        <v>1168</v>
      </c>
      <c r="E253" s="698">
        <f>(E254*0.0761-E157)/0.752649</f>
        <v>5582877.1445919657</v>
      </c>
      <c r="F253" s="698">
        <f>(F254*0.0761-F157)/0.752649</f>
        <v>-22648.538694663781</v>
      </c>
      <c r="G253" s="698">
        <f t="shared" ref="G253:O253" si="286">(G254*0.0761-G157)/0.752649</f>
        <v>0</v>
      </c>
      <c r="H253" s="698">
        <f t="shared" si="286"/>
        <v>-65518.986938134512</v>
      </c>
      <c r="I253" s="698">
        <f>(I254*0.0761-I157)/0.752649</f>
        <v>-43845.138969160922</v>
      </c>
      <c r="J253" s="698">
        <f t="shared" si="286"/>
        <v>302930.0510596573</v>
      </c>
      <c r="K253" s="698">
        <f t="shared" si="286"/>
        <v>972564.90077047865</v>
      </c>
      <c r="L253" s="698">
        <f t="shared" si="286"/>
        <v>417193.14049444027</v>
      </c>
      <c r="M253" s="698">
        <f t="shared" si="286"/>
        <v>-18600.968047522816</v>
      </c>
      <c r="N253" s="698">
        <f t="shared" si="286"/>
        <v>-134192.69805712887</v>
      </c>
      <c r="O253" s="698">
        <f t="shared" si="286"/>
        <v>-10629.124598584465</v>
      </c>
      <c r="P253" s="698">
        <f t="shared" ref="P253" si="287">(P254*0.0761-P157)/0.752649</f>
        <v>-3985.9217244691749</v>
      </c>
      <c r="Q253" s="698">
        <f t="shared" ref="Q253" si="288">(Q254*0.0761-Q157)/0.752649</f>
        <v>-11957.765173407524</v>
      </c>
      <c r="R253" s="698">
        <f t="shared" ref="R253" si="289">(R254*0.0761-R157)/0.752649</f>
        <v>45173.779543983983</v>
      </c>
      <c r="S253" s="698">
        <f t="shared" ref="S253" si="290">(S254*0.0761-S157)/0.752649</f>
        <v>-10629.124598584465</v>
      </c>
      <c r="T253" s="698">
        <f t="shared" ref="T253" si="291">(T254*0.0761-T157)/0.752649</f>
        <v>-435794.1085419631</v>
      </c>
      <c r="U253" s="698">
        <f t="shared" ref="U253" si="292">(U254*0.0761-U157)/0.752649</f>
        <v>261742.19324014249</v>
      </c>
      <c r="V253" s="698">
        <f t="shared" ref="V253:W253" si="293">(V254*0.0761-V157)/0.752649</f>
        <v>75732.512764914325</v>
      </c>
      <c r="W253" s="698">
        <f t="shared" si="293"/>
        <v>1254567.268407983</v>
      </c>
      <c r="X253" s="698">
        <f t="shared" ref="X253" si="294">(X254*0.0761-X157)/0.752649</f>
        <v>2572101.4709379803</v>
      </c>
      <c r="Y253" s="698">
        <f t="shared" ref="Y253" si="295">(Y254*0.0761-Y157)/0.752649</f>
        <v>-2553647.184809918</v>
      </c>
      <c r="Z253" s="698">
        <f t="shared" ref="Z253" si="296">(Z254*0.0761-Z157)/0.752649</f>
        <v>-256427.63094085024</v>
      </c>
      <c r="AA253" s="698">
        <f t="shared" ref="AA253" si="297">(AA254*0.0761-AA157)/0.752649</f>
        <v>180695.11817593593</v>
      </c>
      <c r="AB253" s="698">
        <f t="shared" ref="AB253" si="298">(AB254*0.0761-AB157)/0.752649</f>
        <v>-1058833.6661577972</v>
      </c>
      <c r="AC253" s="698">
        <f t="shared" ref="AC253" si="299">(AC254*0.0761-AC157)/0.752649</f>
        <v>1917228.3494696731</v>
      </c>
      <c r="AD253" s="698">
        <f t="shared" ref="AD253" si="300">(AD254*0.0761-AD157)/0.752649</f>
        <v>19929.608622345873</v>
      </c>
      <c r="AE253" s="698">
        <f t="shared" ref="AE253" si="301">(AE254*0.0761-AE157)/0.752649</f>
        <v>-1773735.1673887828</v>
      </c>
      <c r="AF253" s="698">
        <f t="shared" ref="AF253" si="302">(AF254*0.0761-AF157)/0.752649</f>
        <v>82375.715639029615</v>
      </c>
      <c r="AG253" s="698">
        <f t="shared" ref="AG253" si="303">(AG254*0.0761-AG157)/0.752649</f>
        <v>118249.01115925219</v>
      </c>
      <c r="AH253" s="698">
        <f t="shared" ref="AH253" si="304">(AH254*0.0761-AH157)/0.752649</f>
        <v>992494.50939282449</v>
      </c>
      <c r="AI253" s="698">
        <f t="shared" ref="AI253" si="305">(AI254*0.0761-AI157)/0.752649</f>
        <v>627118.35131648346</v>
      </c>
      <c r="AJ253" s="698">
        <f t="shared" ref="AJ253" si="306">(AJ254*0.0761-AJ157)/0.752649</f>
        <v>22586.889771991991</v>
      </c>
      <c r="AK253" s="698">
        <f t="shared" ref="AK253" si="307">(AK254*0.0761-AK157)/0.752649</f>
        <v>1715274.9820965682</v>
      </c>
      <c r="AL253" s="698">
        <f t="shared" ref="AL253" si="308">(AL254*0.0761-AL157)/0.752649</f>
        <v>3302948.2534355326</v>
      </c>
      <c r="AM253" s="698">
        <f t="shared" ref="AM253" si="309">(AM254*0.0761-AM157)/0.752649</f>
        <v>-949978.01099848666</v>
      </c>
      <c r="AN253" s="698">
        <f t="shared" ref="AN253" si="310">(AN254*0.0761-AN157)/0.752649</f>
        <v>4133699.5066757542</v>
      </c>
      <c r="AO253" s="698">
        <f t="shared" ref="AO253" si="311">(AO254*0.0761-AO157)/0.752649</f>
        <v>314887.8162330648</v>
      </c>
      <c r="AP253" s="698">
        <f t="shared" ref="AP253" si="312">(AP254*0.0761-AP157)/0.752649</f>
        <v>187338.32105005122</v>
      </c>
      <c r="AQ253" s="698">
        <f t="shared" ref="AQ253" si="313">(AQ254*0.0761-AQ157)/0.752649</f>
        <v>156779.58782912086</v>
      </c>
      <c r="AR253" s="698">
        <f t="shared" ref="AR253" si="314">(AR254*0.0761-AR157)/0.752649</f>
        <v>2601244.9362186091</v>
      </c>
      <c r="AS253" s="698">
        <f t="shared" ref="AS253" si="315">(AS254*0.0761-AS157)/0.752649</f>
        <v>-652362.5222381216</v>
      </c>
      <c r="AT253" s="698">
        <f t="shared" ref="AT253" si="316">(AT254*0.0761-AT157)/0.752649</f>
        <v>9127866.7745522801</v>
      </c>
      <c r="AU253" s="698">
        <f t="shared" ref="AU253" si="317">(AU254*0.0761-AU157)/0.752649</f>
        <v>11699968.245490262</v>
      </c>
      <c r="AV253" s="698">
        <f t="shared" ref="AV253" si="318">(AV254*0.0761-AV157)/0.752649</f>
        <v>17282845.390082225</v>
      </c>
      <c r="AW253" s="698">
        <f t="shared" ref="AW253" si="319">(AW254*0.0761-AW157)/0.752649</f>
        <v>0</v>
      </c>
      <c r="AX253" s="699">
        <f>AV253+AW253</f>
        <v>17282845.390082225</v>
      </c>
    </row>
    <row r="254" spans="1:50">
      <c r="A254" s="529">
        <v>248</v>
      </c>
      <c r="B254" s="500"/>
      <c r="C254" s="546"/>
      <c r="D254" s="584" t="s">
        <v>1169</v>
      </c>
      <c r="E254" s="539">
        <f>E251</f>
        <v>533429000</v>
      </c>
      <c r="F254" s="539">
        <f t="shared" ref="F254" si="320">F251</f>
        <v>-224000</v>
      </c>
      <c r="G254" s="539">
        <f t="shared" ref="G254:V254" si="321">G251</f>
        <v>0</v>
      </c>
      <c r="H254" s="539">
        <f t="shared" si="321"/>
        <v>-648000</v>
      </c>
      <c r="I254" s="539">
        <f t="shared" si="321"/>
        <v>0</v>
      </c>
      <c r="J254" s="539">
        <f t="shared" si="321"/>
        <v>0</v>
      </c>
      <c r="K254" s="539">
        <f t="shared" si="321"/>
        <v>0</v>
      </c>
      <c r="L254" s="539">
        <f t="shared" si="321"/>
        <v>0</v>
      </c>
      <c r="M254" s="539">
        <f t="shared" si="321"/>
        <v>0</v>
      </c>
      <c r="N254" s="539">
        <f t="shared" si="321"/>
        <v>0</v>
      </c>
      <c r="O254" s="539">
        <f t="shared" si="321"/>
        <v>0</v>
      </c>
      <c r="P254" s="539">
        <f t="shared" si="321"/>
        <v>0</v>
      </c>
      <c r="Q254" s="539">
        <f t="shared" si="321"/>
        <v>0</v>
      </c>
      <c r="R254" s="539">
        <f t="shared" si="321"/>
        <v>0</v>
      </c>
      <c r="S254" s="539">
        <f t="shared" si="321"/>
        <v>0</v>
      </c>
      <c r="T254" s="539">
        <f t="shared" si="321"/>
        <v>0</v>
      </c>
      <c r="U254" s="539">
        <f t="shared" si="321"/>
        <v>0</v>
      </c>
      <c r="V254" s="539">
        <f t="shared" si="321"/>
        <v>0</v>
      </c>
      <c r="W254" s="539">
        <f>W251</f>
        <v>12408000</v>
      </c>
      <c r="X254" s="586">
        <f>SUM(F254:W254)</f>
        <v>11536000</v>
      </c>
      <c r="Y254" s="539">
        <f t="shared" ref="Y254" si="322">Y251</f>
        <v>0</v>
      </c>
      <c r="Z254" s="539">
        <f t="shared" ref="Z254:AF254" si="323">Z251</f>
        <v>0</v>
      </c>
      <c r="AA254" s="539">
        <f t="shared" si="323"/>
        <v>0</v>
      </c>
      <c r="AB254" s="539">
        <f t="shared" si="323"/>
        <v>-2141000</v>
      </c>
      <c r="AC254" s="539">
        <f t="shared" si="323"/>
        <v>0</v>
      </c>
      <c r="AD254" s="539">
        <f t="shared" si="323"/>
        <v>0</v>
      </c>
      <c r="AE254" s="539">
        <f t="shared" si="323"/>
        <v>0</v>
      </c>
      <c r="AF254" s="539">
        <f t="shared" si="323"/>
        <v>0</v>
      </c>
      <c r="AG254" s="539">
        <f t="shared" ref="AG254:AQ254" si="324">AG251</f>
        <v>0</v>
      </c>
      <c r="AH254" s="539">
        <f t="shared" si="324"/>
        <v>0</v>
      </c>
      <c r="AI254" s="539">
        <f t="shared" si="324"/>
        <v>0</v>
      </c>
      <c r="AJ254" s="539">
        <f t="shared" si="324"/>
        <v>0</v>
      </c>
      <c r="AK254" s="539">
        <f t="shared" si="324"/>
        <v>0</v>
      </c>
      <c r="AL254" s="539">
        <f t="shared" si="324"/>
        <v>19487000</v>
      </c>
      <c r="AM254" s="539">
        <f t="shared" si="324"/>
        <v>0</v>
      </c>
      <c r="AN254" s="539">
        <f t="shared" si="324"/>
        <v>20568000</v>
      </c>
      <c r="AO254" s="539">
        <f t="shared" si="324"/>
        <v>0</v>
      </c>
      <c r="AP254" s="539">
        <f t="shared" si="324"/>
        <v>0</v>
      </c>
      <c r="AQ254" s="539">
        <f t="shared" si="324"/>
        <v>0</v>
      </c>
      <c r="AR254" s="539">
        <f t="shared" ref="AR254:AS254" si="325">AR251</f>
        <v>3204000</v>
      </c>
      <c r="AS254" s="539">
        <f t="shared" si="325"/>
        <v>0</v>
      </c>
      <c r="AT254" s="582">
        <f>SUM(Y254:AS254)</f>
        <v>41118000</v>
      </c>
      <c r="AU254" s="582">
        <f>X254+AT254</f>
        <v>52654000</v>
      </c>
      <c r="AV254" s="582">
        <f>E254+AU254</f>
        <v>586083000</v>
      </c>
      <c r="AW254" s="539">
        <f>AW251</f>
        <v>0</v>
      </c>
      <c r="AX254" s="582">
        <f>AV254+AW254</f>
        <v>586083000</v>
      </c>
    </row>
    <row r="255" spans="1:50">
      <c r="A255" s="529">
        <v>249</v>
      </c>
      <c r="B255" s="500"/>
      <c r="C255" s="546"/>
      <c r="D255" s="584" t="s">
        <v>1170</v>
      </c>
      <c r="E255" s="585">
        <f>E157/E251</f>
        <v>6.8222762541969031E-2</v>
      </c>
      <c r="F255" s="587">
        <f>($E157+F157)/($E254+F254)-$E255</f>
        <v>2.8660456690018932E-5</v>
      </c>
      <c r="G255" s="587">
        <f t="shared" ref="G255:W255" si="326">($E157+G157)/($E254+G254)-$E255</f>
        <v>0</v>
      </c>
      <c r="H255" s="587">
        <f t="shared" si="326"/>
        <v>8.297658911859962E-5</v>
      </c>
      <c r="I255" s="587">
        <f t="shared" si="326"/>
        <v>6.1863903162373557E-5</v>
      </c>
      <c r="J255" s="587">
        <f t="shared" si="326"/>
        <v>-4.2742333094000773E-4</v>
      </c>
      <c r="K255" s="587">
        <f t="shared" si="326"/>
        <v>-1.3722538519653077E-3</v>
      </c>
      <c r="L255" s="587">
        <f t="shared" si="326"/>
        <v>-5.886444119086176E-4</v>
      </c>
      <c r="M255" s="587">
        <f t="shared" si="326"/>
        <v>2.6245292250703933E-5</v>
      </c>
      <c r="N255" s="587">
        <f t="shared" si="326"/>
        <v>1.8934103695149307E-4</v>
      </c>
      <c r="O255" s="587">
        <f t="shared" si="326"/>
        <v>1.4997309857545105E-5</v>
      </c>
      <c r="P255" s="587">
        <f t="shared" si="326"/>
        <v>5.6239911965794143E-6</v>
      </c>
      <c r="Q255" s="587">
        <f t="shared" si="326"/>
        <v>1.6871973589738243E-5</v>
      </c>
      <c r="R255" s="587">
        <f t="shared" si="326"/>
        <v>-6.3738566894566695E-5</v>
      </c>
      <c r="S255" s="587">
        <f t="shared" si="326"/>
        <v>1.4997309857545105E-5</v>
      </c>
      <c r="T255" s="587">
        <f t="shared" si="326"/>
        <v>6.1488970415932154E-4</v>
      </c>
      <c r="U255" s="587">
        <f>($E157+U157)/($E254+U254)-$E255</f>
        <v>-3.6930875524202045E-4</v>
      </c>
      <c r="V255" s="587">
        <f t="shared" si="326"/>
        <v>-1.0685583273499499E-4</v>
      </c>
      <c r="W255" s="587">
        <f t="shared" si="326"/>
        <v>-1.5508440021851783E-3</v>
      </c>
      <c r="X255" s="589">
        <f>SUM(F255:W255)</f>
        <v>-3.4226011850367749E-3</v>
      </c>
      <c r="Y255" s="587">
        <f>($E157+Y157)/($E254+Y254)-$E255</f>
        <v>3.6031036932750171E-3</v>
      </c>
      <c r="Z255" s="587">
        <f t="shared" ref="Z255:AF255" si="327">($E157+Z157)/($E254+Z254)-$E255</f>
        <v>3.6181010031326177E-4</v>
      </c>
      <c r="AA255" s="587">
        <f t="shared" si="327"/>
        <v>-2.549542675782529E-4</v>
      </c>
      <c r="AB255" s="587">
        <f t="shared" si="327"/>
        <v>1.4682525007196773E-3</v>
      </c>
      <c r="AC255" s="587">
        <f t="shared" si="327"/>
        <v>-2.7051397655545456E-3</v>
      </c>
      <c r="AD255" s="587">
        <f t="shared" si="327"/>
        <v>-2.8119955982897071E-5</v>
      </c>
      <c r="AE255" s="587">
        <f t="shared" si="327"/>
        <v>2.5026760824777144E-3</v>
      </c>
      <c r="AF255" s="587">
        <f t="shared" si="327"/>
        <v>-1.1622915139596068E-4</v>
      </c>
      <c r="AG255" s="587">
        <f t="shared" ref="AG255:AQ255" si="328">($E157+AG157)/($E254+AG254)-$E255</f>
        <v>-1.6684507216517541E-4</v>
      </c>
      <c r="AH255" s="587">
        <f t="shared" si="328"/>
        <v>-1.4003738079481909E-3</v>
      </c>
      <c r="AI255" s="587">
        <f t="shared" si="328"/>
        <v>-8.8484128159510567E-4</v>
      </c>
      <c r="AJ255" s="587">
        <f t="shared" si="328"/>
        <v>-3.1869283447283347E-5</v>
      </c>
      <c r="AK255" s="587">
        <f t="shared" si="328"/>
        <v>-2.4201908782612025E-3</v>
      </c>
      <c r="AL255" s="587">
        <f t="shared" si="328"/>
        <v>-4.2184653250319226E-3</v>
      </c>
      <c r="AM255" s="587">
        <f t="shared" si="328"/>
        <v>1.3403845685180243E-3</v>
      </c>
      <c r="AN255" s="587">
        <f t="shared" si="328"/>
        <v>-5.3235049647619298E-3</v>
      </c>
      <c r="AO255" s="587">
        <f t="shared" si="328"/>
        <v>-4.4429530452974597E-4</v>
      </c>
      <c r="AP255" s="587">
        <f t="shared" si="328"/>
        <v>-2.6432758623921859E-4</v>
      </c>
      <c r="AQ255" s="587">
        <f t="shared" si="328"/>
        <v>-2.2121032039877642E-4</v>
      </c>
      <c r="AR255" s="587">
        <f t="shared" ref="AR255" si="329">($E157+AR157)/($E254+AR254)-$E255</f>
        <v>-3.6013173457175862E-3</v>
      </c>
      <c r="AS255" s="587">
        <f t="shared" ref="AS255" si="330">($E157+AS157)/($E254+AS254)-$E255</f>
        <v>9.2045989250678917E-4</v>
      </c>
      <c r="AT255" s="588">
        <f>SUM(Y255:AS255)</f>
        <v>-1.188499747279731E-2</v>
      </c>
      <c r="AU255" s="588">
        <f>X255+AT255</f>
        <v>-1.5307598657834084E-2</v>
      </c>
      <c r="AV255" s="588">
        <f>E255+AU255</f>
        <v>5.2915163884134947E-2</v>
      </c>
      <c r="AW255" s="587">
        <f>($E157+AW157)/($E254+AW254)-$E255</f>
        <v>0</v>
      </c>
      <c r="AX255" s="588">
        <f>AV255+AW255</f>
        <v>5.2915163884134947E-2</v>
      </c>
    </row>
    <row r="256" spans="1:50">
      <c r="A256" s="529">
        <v>250</v>
      </c>
      <c r="B256" s="500"/>
      <c r="C256" s="546"/>
      <c r="D256" s="546"/>
      <c r="E256" s="539"/>
      <c r="F256" s="532"/>
      <c r="G256" s="532"/>
      <c r="H256" s="532"/>
      <c r="I256" s="532"/>
      <c r="J256" s="532"/>
      <c r="K256" s="532"/>
      <c r="L256" s="532"/>
      <c r="M256" s="532"/>
      <c r="N256" s="532"/>
      <c r="O256" s="532"/>
      <c r="P256" s="532"/>
      <c r="Q256" s="532"/>
      <c r="R256" s="532"/>
      <c r="S256" s="532"/>
      <c r="T256" s="532"/>
      <c r="U256" s="532"/>
      <c r="V256" s="532"/>
      <c r="W256" s="532"/>
      <c r="X256" s="532"/>
      <c r="Y256" s="532"/>
      <c r="Z256" s="532"/>
      <c r="AA256" s="532"/>
      <c r="AB256" s="532"/>
      <c r="AC256" s="532"/>
      <c r="AD256" s="532"/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</row>
    <row r="257" spans="1:50">
      <c r="A257" s="529">
        <v>251</v>
      </c>
      <c r="B257" s="500"/>
      <c r="C257" s="546"/>
      <c r="D257" s="546"/>
      <c r="E257" s="539"/>
      <c r="F257" s="532"/>
      <c r="G257" s="532"/>
      <c r="H257" s="532"/>
      <c r="I257" s="532"/>
      <c r="J257" s="532"/>
      <c r="K257" s="532"/>
      <c r="L257" s="532"/>
      <c r="M257" s="532"/>
      <c r="N257" s="532"/>
      <c r="O257" s="532"/>
      <c r="P257" s="532"/>
      <c r="Q257" s="532"/>
      <c r="R257" s="532"/>
      <c r="S257" s="532"/>
      <c r="T257" s="532"/>
      <c r="U257" s="532"/>
      <c r="V257" s="532"/>
      <c r="W257" s="532"/>
      <c r="X257" s="532"/>
      <c r="Y257" s="532"/>
      <c r="Z257" s="532"/>
      <c r="AA257" s="532"/>
      <c r="AB257" s="532"/>
      <c r="AC257" s="532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</row>
    <row r="258" spans="1:50">
      <c r="A258" s="529">
        <v>252</v>
      </c>
      <c r="B258" s="500"/>
      <c r="C258" s="546"/>
      <c r="D258" s="546"/>
      <c r="E258" s="539"/>
      <c r="F258" s="532"/>
      <c r="G258" s="532"/>
      <c r="H258" s="532"/>
      <c r="I258" s="532"/>
      <c r="J258" s="532"/>
      <c r="K258" s="532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532"/>
      <c r="Z258" s="532"/>
      <c r="AA258" s="532"/>
      <c r="AB258" s="532"/>
      <c r="AC258" s="532"/>
      <c r="AD258" s="532"/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</row>
    <row r="259" spans="1:50">
      <c r="A259" s="529">
        <v>253</v>
      </c>
      <c r="B259" s="500"/>
      <c r="C259" s="546"/>
      <c r="D259" s="546"/>
      <c r="E259" s="539"/>
      <c r="F259" s="532"/>
      <c r="G259" s="532"/>
      <c r="H259" s="532"/>
      <c r="I259" s="532"/>
      <c r="J259" s="532"/>
      <c r="K259" s="532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  <c r="AA259" s="532"/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</row>
    <row r="260" spans="1:50">
      <c r="A260" s="529">
        <v>254</v>
      </c>
      <c r="B260" s="500"/>
      <c r="C260" s="546"/>
      <c r="D260" s="546"/>
      <c r="E260" s="539"/>
      <c r="F260" s="532"/>
      <c r="G260" s="532"/>
      <c r="H260" s="532"/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  <c r="AA260" s="532"/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</row>
    <row r="261" spans="1:50">
      <c r="E261" s="540"/>
      <c r="F261" s="532"/>
      <c r="G261" s="532"/>
      <c r="H261" s="532"/>
      <c r="I261" s="532"/>
      <c r="J261" s="532"/>
      <c r="K261" s="532"/>
      <c r="L261" s="532"/>
      <c r="M261" s="532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  <c r="AA261" s="532"/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</row>
  </sheetData>
  <mergeCells count="24">
    <mergeCell ref="B60:B68"/>
    <mergeCell ref="B4:B16"/>
    <mergeCell ref="B18:B24"/>
    <mergeCell ref="B26:B37"/>
    <mergeCell ref="B38:B46"/>
    <mergeCell ref="B49:B58"/>
    <mergeCell ref="B148:B152"/>
    <mergeCell ref="B199:B206"/>
    <mergeCell ref="B208:B219"/>
    <mergeCell ref="B71:B75"/>
    <mergeCell ref="B77:B80"/>
    <mergeCell ref="B82:B85"/>
    <mergeCell ref="B163:B170"/>
    <mergeCell ref="B89:B100"/>
    <mergeCell ref="B105:B112"/>
    <mergeCell ref="B114:B126"/>
    <mergeCell ref="B128:B137"/>
    <mergeCell ref="B139:B144"/>
    <mergeCell ref="B159:B161"/>
    <mergeCell ref="B221:B230"/>
    <mergeCell ref="B232:B234"/>
    <mergeCell ref="B241:B248"/>
    <mergeCell ref="B172:B183"/>
    <mergeCell ref="B185:B194"/>
  </mergeCells>
  <phoneticPr fontId="8" type="noConversion"/>
  <pageMargins left="0.7" right="0.7" top="0.75" bottom="0.75" header="0.3" footer="0.3"/>
  <pageSetup scale="50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4" manualBreakCount="4">
    <brk id="47" max="16383" man="1"/>
    <brk id="101" max="16383" man="1"/>
    <brk id="153" max="16383" man="1"/>
    <brk id="207" max="16383" man="1"/>
  </rowBreaks>
  <colBreaks count="2" manualBreakCount="2">
    <brk id="24" max="1048575" man="1"/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  <pageSetUpPr fitToPage="1"/>
  </sheetPr>
  <dimension ref="A1:M45"/>
  <sheetViews>
    <sheetView showWhiteSpace="0" topLeftCell="A4" zoomScaleNormal="100" workbookViewId="0">
      <selection activeCell="C17" sqref="C17"/>
    </sheetView>
  </sheetViews>
  <sheetFormatPr defaultRowHeight="12.75"/>
  <cols>
    <col min="1" max="1" width="7.28515625" bestFit="1" customWidth="1"/>
    <col min="2" max="2" width="43.140625" customWidth="1"/>
    <col min="3" max="3" width="18.28515625" bestFit="1" customWidth="1"/>
    <col min="4" max="4" width="13.42578125" bestFit="1" customWidth="1"/>
    <col min="5" max="5" width="12" bestFit="1" customWidth="1"/>
    <col min="6" max="6" width="11.28515625" customWidth="1"/>
    <col min="7" max="8" width="11.28515625" bestFit="1" customWidth="1"/>
  </cols>
  <sheetData>
    <row r="1" spans="1:13">
      <c r="B1" t="s">
        <v>585</v>
      </c>
    </row>
    <row r="2" spans="1:13" ht="15.75">
      <c r="B2" s="122" t="s">
        <v>588</v>
      </c>
    </row>
    <row r="4" spans="1:13"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400</v>
      </c>
      <c r="H4" s="34" t="s">
        <v>401</v>
      </c>
    </row>
    <row r="5" spans="1:13">
      <c r="A5" s="51">
        <v>380</v>
      </c>
      <c r="B5" s="28" t="s">
        <v>91</v>
      </c>
      <c r="C5" s="120">
        <f>SUM(D5:H5)</f>
        <v>266509000</v>
      </c>
      <c r="D5" s="120">
        <f>SUMIF(Detail!$B$27:$B$40,'Avg Cust Unit Costs'!$A$5,Detail!BJ27:BJ40)</f>
        <v>260518281.08693209</v>
      </c>
      <c r="E5" s="120">
        <f>SUMIF(Detail!$B$27:$B$40,'Avg Cust Unit Costs'!$A$5,Detail!BK27:BK40)</f>
        <v>5214489.1553355884</v>
      </c>
      <c r="F5" s="120">
        <f>SUMIF(Detail!$B$27:$B$40,'Avg Cust Unit Costs'!$A$5,Detail!BL27:BL40)</f>
        <v>0</v>
      </c>
      <c r="G5" s="120">
        <f>SUMIF(Detail!$B$27:$B$40,'Avg Cust Unit Costs'!$A$5,Detail!BM27:BM40)</f>
        <v>20039.973729281319</v>
      </c>
      <c r="H5" s="120">
        <f>SUMIF(Detail!$B$27:$B$40,'Avg Cust Unit Costs'!$A$5,Detail!BN27:BN40)</f>
        <v>756189.78400305321</v>
      </c>
      <c r="J5" s="123">
        <f>C5-Detail!E34</f>
        <v>0</v>
      </c>
    </row>
    <row r="6" spans="1:13">
      <c r="A6" s="51">
        <v>380</v>
      </c>
      <c r="B6" s="28" t="s">
        <v>263</v>
      </c>
      <c r="C6" s="121">
        <f>SUM(D6:H6)</f>
        <v>-96139000.000000015</v>
      </c>
      <c r="D6" s="121">
        <f>SUMIF(Detail!$B$74:$B$86,'Avg Cust Unit Costs'!$A$6,Detail!BJ74:BJ86)</f>
        <v>-93977940.802811787</v>
      </c>
      <c r="E6" s="121">
        <f>SUMIF(Detail!$B$74:$B$86,'Avg Cust Unit Costs'!$A$6,Detail!BK74:BK86)</f>
        <v>-1881046.3170279732</v>
      </c>
      <c r="F6" s="121">
        <f>SUMIF(Detail!$B$74:$B$86,'Avg Cust Unit Costs'!$A$6,Detail!BL74:BL86)</f>
        <v>0</v>
      </c>
      <c r="G6" s="121">
        <f>SUMIF(Detail!$B$74:$B$86,'Avg Cust Unit Costs'!$A$6,Detail!BM74:BM86)</f>
        <v>-7229.1105904842861</v>
      </c>
      <c r="H6" s="121">
        <f>SUMIF(Detail!$B$74:$B$86,'Avg Cust Unit Costs'!$A$6,Detail!BN74:BN86)</f>
        <v>-272783.76956976886</v>
      </c>
      <c r="J6" s="123">
        <f>C6-Detail!E80</f>
        <v>0</v>
      </c>
    </row>
    <row r="7" spans="1:13">
      <c r="A7" s="51"/>
      <c r="B7" s="28" t="s">
        <v>586</v>
      </c>
      <c r="C7" s="120">
        <f t="shared" ref="C7:H7" si="0">SUM(C5:C6)</f>
        <v>170370000</v>
      </c>
      <c r="D7" s="120">
        <f t="shared" si="0"/>
        <v>166540340.28412032</v>
      </c>
      <c r="E7" s="120">
        <f t="shared" si="0"/>
        <v>3333442.8383076154</v>
      </c>
      <c r="F7" s="120">
        <f t="shared" si="0"/>
        <v>0</v>
      </c>
      <c r="G7" s="120">
        <f t="shared" si="0"/>
        <v>12810.863138797033</v>
      </c>
      <c r="H7" s="120">
        <f t="shared" si="0"/>
        <v>483406.01443328435</v>
      </c>
      <c r="J7" s="123"/>
    </row>
    <row r="8" spans="1:13">
      <c r="A8" s="51"/>
      <c r="B8" s="28"/>
      <c r="C8" s="120"/>
      <c r="D8" s="120"/>
      <c r="E8" s="120"/>
      <c r="F8" s="120"/>
      <c r="G8" s="120"/>
      <c r="H8" s="120"/>
      <c r="J8" s="123"/>
    </row>
    <row r="9" spans="1:13">
      <c r="A9" s="51">
        <v>381</v>
      </c>
      <c r="B9" s="28" t="s">
        <v>8</v>
      </c>
      <c r="C9" s="120">
        <f>SUM(D9:H9)</f>
        <v>98175000</v>
      </c>
      <c r="D9" s="120">
        <f>SUMIF(Detail!$B$27:$B$40,'Avg Cust Unit Costs'!$A$9,Detail!BJ27:BJ40)</f>
        <v>83899255.576561198</v>
      </c>
      <c r="E9" s="120">
        <f>SUMIF(Detail!$B$27:$B$40,'Avg Cust Unit Costs'!$A$9,Detail!BK27:BK40)</f>
        <v>13588970.539312162</v>
      </c>
      <c r="F9" s="120">
        <f>SUMIF(Detail!$B$27:$B$40,'Avg Cust Unit Costs'!$A$9,Detail!BL27:BL40)</f>
        <v>0</v>
      </c>
      <c r="G9" s="120">
        <f>SUMIF(Detail!$B$27:$B$40,'Avg Cust Unit Costs'!$A$9,Detail!BM27:BM40)</f>
        <v>100679.29808237152</v>
      </c>
      <c r="H9" s="120">
        <f>SUMIF(Detail!$B$27:$B$40,'Avg Cust Unit Costs'!$A$9,Detail!BN27:BN40)</f>
        <v>586094.58604426787</v>
      </c>
      <c r="J9" s="123">
        <f>C9-Detail!E35</f>
        <v>0</v>
      </c>
    </row>
    <row r="10" spans="1:13">
      <c r="A10" s="51">
        <v>381</v>
      </c>
      <c r="B10" s="28" t="s">
        <v>264</v>
      </c>
      <c r="C10" s="121">
        <f>SUM(D10:H10)</f>
        <v>-20529999.999999996</v>
      </c>
      <c r="D10" s="121">
        <f>SUMIF(Detail!$B$74:$B$86,'Avg Cust Unit Costs'!$A$10,Detail!BJ74:BJ86)</f>
        <v>-17544708.092557181</v>
      </c>
      <c r="E10" s="121">
        <f>SUMIF(Detail!$B$74:$B$86,'Avg Cust Unit Costs'!$A$10,Detail!BK74:BK86)</f>
        <v>-2841676.243158428</v>
      </c>
      <c r="F10" s="121">
        <f>SUMIF(Detail!$B$74:$B$86,'Avg Cust Unit Costs'!$A$10,Detail!BL74:BL86)</f>
        <v>0</v>
      </c>
      <c r="G10" s="121">
        <f>SUMIF(Detail!$B$74:$B$86,'Avg Cust Unit Costs'!$A$10,Detail!BM74:BM86)</f>
        <v>-21053.689733955562</v>
      </c>
      <c r="H10" s="121">
        <f>SUMIF(Detail!$B$74:$B$86,'Avg Cust Unit Costs'!$A$10,Detail!BN74:BN86)</f>
        <v>-122561.9745504336</v>
      </c>
      <c r="J10" s="123">
        <f>C10-Detail!E81</f>
        <v>0</v>
      </c>
    </row>
    <row r="11" spans="1:13">
      <c r="B11" s="28" t="s">
        <v>587</v>
      </c>
      <c r="C11" s="120">
        <f t="shared" ref="C11:H11" si="1">SUM(C9:C10)</f>
        <v>77645000</v>
      </c>
      <c r="D11" s="120">
        <f t="shared" si="1"/>
        <v>66354547.484004021</v>
      </c>
      <c r="E11" s="120">
        <f t="shared" si="1"/>
        <v>10747294.296153734</v>
      </c>
      <c r="F11" s="120">
        <f t="shared" si="1"/>
        <v>0</v>
      </c>
      <c r="G11" s="120">
        <f t="shared" si="1"/>
        <v>79625.608348415961</v>
      </c>
      <c r="H11" s="120">
        <f t="shared" si="1"/>
        <v>463532.61149383429</v>
      </c>
      <c r="J11" s="123"/>
    </row>
    <row r="12" spans="1:13">
      <c r="B12" s="28"/>
      <c r="C12" s="120"/>
      <c r="D12" s="120"/>
      <c r="E12" s="120"/>
      <c r="F12" s="120"/>
      <c r="G12" s="120"/>
      <c r="H12" s="120"/>
      <c r="J12" s="123"/>
    </row>
    <row r="13" spans="1:13">
      <c r="B13" s="28" t="s">
        <v>110</v>
      </c>
      <c r="C13" s="120">
        <f t="shared" ref="C13:H13" si="2">C7+C11</f>
        <v>248015000</v>
      </c>
      <c r="D13" s="120">
        <f t="shared" si="2"/>
        <v>232894887.76812434</v>
      </c>
      <c r="E13" s="120">
        <f t="shared" si="2"/>
        <v>14080737.134461349</v>
      </c>
      <c r="F13" s="120">
        <f t="shared" si="2"/>
        <v>0</v>
      </c>
      <c r="G13" s="120">
        <f t="shared" si="2"/>
        <v>92436.471487212999</v>
      </c>
      <c r="H13" s="120">
        <f t="shared" si="2"/>
        <v>946938.62592711858</v>
      </c>
      <c r="J13" s="123"/>
    </row>
    <row r="14" spans="1:13">
      <c r="B14" s="28"/>
      <c r="C14" s="120"/>
      <c r="D14" s="120"/>
      <c r="E14" s="120"/>
      <c r="F14" s="120"/>
      <c r="G14" s="120"/>
      <c r="H14" s="120"/>
      <c r="J14" s="123"/>
    </row>
    <row r="15" spans="1:13">
      <c r="B15" s="368" t="s">
        <v>1284</v>
      </c>
      <c r="C15" s="127">
        <f t="shared" ref="C15:H15" si="3">C13*$I$15</f>
        <v>18873941.5</v>
      </c>
      <c r="D15" s="127">
        <f t="shared" si="3"/>
        <v>17723300.959154263</v>
      </c>
      <c r="E15" s="127">
        <f t="shared" si="3"/>
        <v>1071544.0959325086</v>
      </c>
      <c r="F15" s="127">
        <f t="shared" si="3"/>
        <v>0</v>
      </c>
      <c r="G15" s="127">
        <f t="shared" si="3"/>
        <v>7034.4154801769091</v>
      </c>
      <c r="H15" s="127">
        <f t="shared" si="3"/>
        <v>72062.029433053729</v>
      </c>
      <c r="I15" s="787">
        <v>7.6100000000000001E-2</v>
      </c>
      <c r="J15" s="766"/>
      <c r="L15" s="677"/>
      <c r="M15" s="494"/>
    </row>
    <row r="16" spans="1:13">
      <c r="B16" s="56" t="s">
        <v>1013</v>
      </c>
      <c r="C16" s="127">
        <f>SUM(D16:H16)</f>
        <v>-1338536.9550000001</v>
      </c>
      <c r="D16" s="127">
        <f>(D13*$I$16)*-0.21</f>
        <v>-1256933.709284567</v>
      </c>
      <c r="E16" s="127">
        <f>(E13*$I$16)*-0.21</f>
        <v>-75993.7383146879</v>
      </c>
      <c r="F16" s="127">
        <f>(F13*$I$16)*-0.35</f>
        <v>0</v>
      </c>
      <c r="G16" s="127">
        <f>(G13*$I$16)*-0.21</f>
        <v>-498.87963661648848</v>
      </c>
      <c r="H16" s="127">
        <f>(H13*$I$16)*-0.21</f>
        <v>-5110.6277641286588</v>
      </c>
      <c r="I16" s="787">
        <v>2.5700000000000001E-2</v>
      </c>
      <c r="J16" s="123"/>
      <c r="L16" s="677"/>
      <c r="M16" s="494"/>
    </row>
    <row r="17" spans="1:10">
      <c r="B17" s="28" t="s">
        <v>589</v>
      </c>
      <c r="C17" s="396">
        <f>1-SUM(Summary!L73:L77)</f>
        <v>0.75264900000000001</v>
      </c>
      <c r="D17" s="125">
        <f>$C$17</f>
        <v>0.75264900000000001</v>
      </c>
      <c r="E17" s="125">
        <f>$C$17</f>
        <v>0.75264900000000001</v>
      </c>
      <c r="F17" s="125">
        <f>$C$17</f>
        <v>0.75264900000000001</v>
      </c>
      <c r="G17" s="125">
        <f>$C$17</f>
        <v>0.75264900000000001</v>
      </c>
      <c r="H17" s="125">
        <f>$C$17</f>
        <v>0.75264900000000001</v>
      </c>
      <c r="J17" s="123"/>
    </row>
    <row r="18" spans="1:10">
      <c r="B18" s="28" t="s">
        <v>601</v>
      </c>
      <c r="C18" s="120">
        <f>(C15+C16)/C17</f>
        <v>23298249.974423669</v>
      </c>
      <c r="D18" s="120">
        <f>(D15+D16)/D17</f>
        <v>21877883.648114454</v>
      </c>
      <c r="E18" s="120">
        <f t="shared" ref="E18:H18" si="4">(E15+E16)/E17</f>
        <v>1322728.5994106426</v>
      </c>
      <c r="F18" s="120">
        <f t="shared" si="4"/>
        <v>0</v>
      </c>
      <c r="G18" s="120">
        <f t="shared" si="4"/>
        <v>8683.378099964817</v>
      </c>
      <c r="H18" s="120">
        <f t="shared" si="4"/>
        <v>88954.348798610066</v>
      </c>
      <c r="J18" s="123"/>
    </row>
    <row r="19" spans="1:10">
      <c r="B19" s="28"/>
      <c r="C19" s="120"/>
      <c r="D19" s="120"/>
      <c r="E19" s="120"/>
      <c r="F19" s="120"/>
      <c r="G19" s="120"/>
      <c r="H19" s="120"/>
      <c r="J19" s="123"/>
    </row>
    <row r="20" spans="1:10">
      <c r="J20" s="123"/>
    </row>
    <row r="21" spans="1:10">
      <c r="A21" s="36">
        <v>380</v>
      </c>
      <c r="B21" s="51" t="s">
        <v>590</v>
      </c>
      <c r="C21" s="120">
        <f t="shared" ref="C21:C26" si="5">SUM(D21:H21)</f>
        <v>6030000.0000000009</v>
      </c>
      <c r="D21" s="120">
        <f>SUMIF(Detail!$B$174:$B$409,'Avg Cust Unit Costs'!$A$21,Detail!BJ174:BJ409)</f>
        <v>5894454.7274358487</v>
      </c>
      <c r="E21" s="120">
        <f>SUMIF(Detail!$B$174:$B$409,'Avg Cust Unit Costs'!$A$21,Detail!BK174:BK409)</f>
        <v>117982.39311495521</v>
      </c>
      <c r="F21" s="120">
        <f>SUMIF(Detail!$B$174:$B$409,'Avg Cust Unit Costs'!$A$21,Detail!BL174:BL409)</f>
        <v>0</v>
      </c>
      <c r="G21" s="120">
        <f>SUMIF(Detail!$B$174:$B$409,'Avg Cust Unit Costs'!$A$21,Detail!BM174:BM409)</f>
        <v>453.42199170596996</v>
      </c>
      <c r="H21" s="120">
        <f>SUMIF(Detail!$B$174:$B$409,'Avg Cust Unit Costs'!$A$21,Detail!BN174:BN409)</f>
        <v>17109.457457490782</v>
      </c>
      <c r="J21" s="123">
        <f>C21-Detail!E373</f>
        <v>0</v>
      </c>
    </row>
    <row r="22" spans="1:10">
      <c r="A22" s="36">
        <v>381</v>
      </c>
      <c r="B22" s="51" t="s">
        <v>591</v>
      </c>
      <c r="C22" s="120">
        <f t="shared" si="5"/>
        <v>4148999.9999999995</v>
      </c>
      <c r="D22" s="120">
        <f>SUMIF(Detail!$B$174:$B$409,'Avg Cust Unit Costs'!$A$22,Detail!BJ174:BJ409)</f>
        <v>3545688.9369712495</v>
      </c>
      <c r="E22" s="120">
        <f>SUMIF(Detail!$B$174:$B$409,'Avg Cust Unit Costs'!$A$22,Detail!BK174:BK409)</f>
        <v>574287.12775763846</v>
      </c>
      <c r="F22" s="120">
        <f>SUMIF(Detail!$B$174:$B$409,'Avg Cust Unit Costs'!$A$22,Detail!BL174:BL409)</f>
        <v>0</v>
      </c>
      <c r="G22" s="120">
        <f>SUMIF(Detail!$B$174:$B$409,'Avg Cust Unit Costs'!$A$22,Detail!BM174:BM409)</f>
        <v>4254.8348127706586</v>
      </c>
      <c r="H22" s="120">
        <f>SUMIF(Detail!$B$174:$B$409,'Avg Cust Unit Costs'!$A$22,Detail!BN174:BN409)</f>
        <v>24769.100458341403</v>
      </c>
      <c r="J22" s="123">
        <f>C22-Detail!E374</f>
        <v>0</v>
      </c>
    </row>
    <row r="23" spans="1:10">
      <c r="A23" t="s">
        <v>345</v>
      </c>
      <c r="B23" s="51" t="s">
        <v>592</v>
      </c>
      <c r="C23" s="120">
        <f t="shared" si="5"/>
        <v>1171999.9999999998</v>
      </c>
      <c r="D23" s="120">
        <f>SUMIF(Detail!$B$174:$B$409,'Avg Cust Unit Costs'!$A$23,Detail!BJ174:BJ409)</f>
        <v>1145655.2140223572</v>
      </c>
      <c r="E23" s="120">
        <f>SUMIF(Detail!$B$174:$B$409,'Avg Cust Unit Costs'!$A$23,Detail!BK174:BK409)</f>
        <v>22931.237932127282</v>
      </c>
      <c r="F23" s="120">
        <f>SUMIF(Detail!$B$174:$B$409,'Avg Cust Unit Costs'!$A$23,Detail!BL174:BL409)</f>
        <v>0</v>
      </c>
      <c r="G23" s="120">
        <f>SUMIF(Detail!$B$174:$B$409,'Avg Cust Unit Costs'!$A$23,Detail!BM174:BM409)</f>
        <v>88.127790096085704</v>
      </c>
      <c r="H23" s="120">
        <f>SUMIF(Detail!$B$174:$B$409,'Avg Cust Unit Costs'!$A$23,Detail!BN174:BN409)</f>
        <v>3325.4202554194353</v>
      </c>
      <c r="J23" s="123">
        <f>C23-Detail!E224</f>
        <v>0</v>
      </c>
    </row>
    <row r="24" spans="1:10">
      <c r="A24" t="s">
        <v>346</v>
      </c>
      <c r="B24" s="51" t="s">
        <v>593</v>
      </c>
      <c r="C24" s="120">
        <f t="shared" si="5"/>
        <v>1675999.9999999998</v>
      </c>
      <c r="D24" s="120">
        <f>SUMIF(Detail!$B$174:$B$409,'Avg Cust Unit Costs'!$A$24,Detail!BJ174:BJ409)</f>
        <v>1432290.8311313121</v>
      </c>
      <c r="E24" s="120">
        <f>SUMIF(Detail!$B$174:$B$409,'Avg Cust Unit Costs'!$A$24,Detail!BK174:BK409)</f>
        <v>231984.87011853509</v>
      </c>
      <c r="F24" s="120">
        <f>SUMIF(Detail!$B$174:$B$409,'Avg Cust Unit Costs'!$A$24,Detail!BL174:BL409)</f>
        <v>0</v>
      </c>
      <c r="G24" s="120">
        <f>SUMIF(Detail!$B$174:$B$409,'Avg Cust Unit Costs'!$A$24,Detail!BM174:BM409)</f>
        <v>1718.7522646911602</v>
      </c>
      <c r="H24" s="120">
        <f>SUMIF(Detail!$B$174:$B$409,'Avg Cust Unit Costs'!$A$24,Detail!BN174:BN409)</f>
        <v>10005.546485461604</v>
      </c>
      <c r="J24" s="123">
        <f>C24-Detail!E225</f>
        <v>0</v>
      </c>
    </row>
    <row r="25" spans="1:10">
      <c r="A25" t="s">
        <v>14</v>
      </c>
      <c r="B25" s="51" t="s">
        <v>594</v>
      </c>
      <c r="C25" s="120">
        <f t="shared" si="5"/>
        <v>358000</v>
      </c>
      <c r="D25" s="120">
        <f>SUMIF(Detail!$B$174:$B$409,'Avg Cust Unit Costs'!$A$25,Detail!BJ174:BJ409)</f>
        <v>350891.31684116658</v>
      </c>
      <c r="E25" s="120">
        <f>SUMIF(Detail!$B$174:$B$409,'Avg Cust Unit Costs'!$A$25,Detail!BK174:BK409)</f>
        <v>7023.3803122596601</v>
      </c>
      <c r="F25" s="120">
        <f>SUMIF(Detail!$B$174:$B$409,'Avg Cust Unit Costs'!$A$25,Detail!BL174:BL409)</f>
        <v>0</v>
      </c>
      <c r="G25" s="120">
        <f>SUMIF(Detail!$B$174:$B$409,'Avg Cust Unit Costs'!$A$25,Detail!BM174:BM409)</f>
        <v>6.58774458688585</v>
      </c>
      <c r="H25" s="120">
        <f>SUMIF(Detail!$B$174:$B$409,'Avg Cust Unit Costs'!$A$25,Detail!BN174:BN409)</f>
        <v>78.715101986892449</v>
      </c>
      <c r="J25" s="123">
        <f>C25-Detail!E232</f>
        <v>0</v>
      </c>
    </row>
    <row r="26" spans="1:10">
      <c r="A26" t="s">
        <v>16</v>
      </c>
      <c r="B26" s="51" t="s">
        <v>602</v>
      </c>
      <c r="C26" s="121">
        <f t="shared" si="5"/>
        <v>3672000</v>
      </c>
      <c r="D26" s="121">
        <f>SUMIF(Detail!$B$174:$B$409,'Avg Cust Unit Costs'!$A$26,Detail!BJ174:BJ409)</f>
        <v>3599086.3559797867</v>
      </c>
      <c r="E26" s="121">
        <f>SUMIF(Detail!$B$174:$B$409,'Avg Cust Unit Costs'!$A$26,Detail!BK174:BK409)</f>
        <v>72038.694152562763</v>
      </c>
      <c r="F26" s="121">
        <f>SUMIF(Detail!$B$174:$B$409,'Avg Cust Unit Costs'!$A$26,Detail!BL174:BL409)</f>
        <v>0</v>
      </c>
      <c r="G26" s="121">
        <f>SUMIF(Detail!$B$174:$B$409,'Avg Cust Unit Costs'!$A$26,Detail!BM174:BM409)</f>
        <v>67.570385818561007</v>
      </c>
      <c r="H26" s="121">
        <f>SUMIF(Detail!$B$174:$B$409,'Avg Cust Unit Costs'!$A$26,Detail!BN174:BN409)</f>
        <v>807.37948183203662</v>
      </c>
      <c r="J26" s="123">
        <f>C26-Detail!E233</f>
        <v>0</v>
      </c>
    </row>
    <row r="27" spans="1:10">
      <c r="B27" s="51" t="s">
        <v>600</v>
      </c>
      <c r="C27" s="120">
        <f t="shared" ref="C27:H27" si="6">SUM(C21:C26)</f>
        <v>17057000</v>
      </c>
      <c r="D27" s="120">
        <f t="shared" si="6"/>
        <v>15968067.38238172</v>
      </c>
      <c r="E27" s="120">
        <f t="shared" si="6"/>
        <v>1026247.7033880785</v>
      </c>
      <c r="F27" s="120">
        <f t="shared" si="6"/>
        <v>0</v>
      </c>
      <c r="G27" s="120">
        <f t="shared" si="6"/>
        <v>6589.2949896693208</v>
      </c>
      <c r="H27" s="120">
        <f t="shared" si="6"/>
        <v>56095.619240532156</v>
      </c>
      <c r="J27" s="123"/>
    </row>
    <row r="28" spans="1:10">
      <c r="B28" s="51" t="s">
        <v>595</v>
      </c>
      <c r="C28" s="397">
        <f>1-Summary!L73-Summary!L74-Summary!L75</f>
        <v>0.95272000000000001</v>
      </c>
      <c r="D28" s="126">
        <f>$C$28</f>
        <v>0.95272000000000001</v>
      </c>
      <c r="E28" s="126">
        <f>$C$28</f>
        <v>0.95272000000000001</v>
      </c>
      <c r="F28" s="126">
        <f>$C$28</f>
        <v>0.95272000000000001</v>
      </c>
      <c r="G28" s="126">
        <f>$C$28</f>
        <v>0.95272000000000001</v>
      </c>
      <c r="H28" s="126">
        <f>$C$28</f>
        <v>0.95272000000000001</v>
      </c>
      <c r="J28" s="123"/>
    </row>
    <row r="29" spans="1:10">
      <c r="B29" s="51" t="s">
        <v>596</v>
      </c>
      <c r="C29" s="120">
        <f t="shared" ref="C29:H29" si="7">C27/C28</f>
        <v>17903476.362414978</v>
      </c>
      <c r="D29" s="120">
        <f>D27/D28</f>
        <v>16760504.012072509</v>
      </c>
      <c r="E29" s="120">
        <f t="shared" si="7"/>
        <v>1077176.6136830111</v>
      </c>
      <c r="F29" s="120">
        <f t="shared" si="7"/>
        <v>0</v>
      </c>
      <c r="G29" s="120">
        <f t="shared" si="7"/>
        <v>6916.2975372295332</v>
      </c>
      <c r="H29" s="120">
        <f t="shared" si="7"/>
        <v>58879.439122231248</v>
      </c>
      <c r="J29" s="123"/>
    </row>
    <row r="30" spans="1:10">
      <c r="J30" s="123"/>
    </row>
    <row r="31" spans="1:10">
      <c r="B31" s="51" t="s">
        <v>597</v>
      </c>
      <c r="C31" s="120">
        <f>C18+C29</f>
        <v>41201726.336838648</v>
      </c>
      <c r="D31" s="120">
        <f t="shared" ref="D31:H31" si="8">D18+D29</f>
        <v>38638387.660186961</v>
      </c>
      <c r="E31" s="120">
        <f t="shared" si="8"/>
        <v>2399905.2130936538</v>
      </c>
      <c r="F31" s="120">
        <f t="shared" si="8"/>
        <v>0</v>
      </c>
      <c r="G31" s="120">
        <f t="shared" si="8"/>
        <v>15599.67563719435</v>
      </c>
      <c r="H31" s="120">
        <f t="shared" si="8"/>
        <v>147833.78792084131</v>
      </c>
      <c r="J31" s="123"/>
    </row>
    <row r="32" spans="1:10">
      <c r="C32" s="120"/>
      <c r="D32" s="120"/>
      <c r="E32" s="120"/>
      <c r="F32" s="120"/>
      <c r="G32" s="120"/>
      <c r="H32" s="120"/>
      <c r="J32" s="123"/>
    </row>
    <row r="33" spans="2:10">
      <c r="B33" t="s">
        <v>598</v>
      </c>
      <c r="C33" s="2">
        <f>SUM(D33:H33)</f>
        <v>2119390.0099999998</v>
      </c>
      <c r="D33" s="2">
        <f>Factors!E43</f>
        <v>2077306</v>
      </c>
      <c r="E33" s="2">
        <f>Factors!F43</f>
        <v>41579</v>
      </c>
      <c r="F33" s="2">
        <f>Factors!G43</f>
        <v>0.01</v>
      </c>
      <c r="G33" s="2">
        <f>Factors!H43</f>
        <v>39</v>
      </c>
      <c r="H33" s="2">
        <f>Factors!I43</f>
        <v>466</v>
      </c>
      <c r="J33" s="123">
        <f>SUM(Factors!E43:I43)-'Avg Cust Unit Costs'!C33</f>
        <v>0</v>
      </c>
    </row>
    <row r="35" spans="2:10">
      <c r="B35" t="s">
        <v>599</v>
      </c>
      <c r="C35" s="124">
        <f>C31/C33</f>
        <v>19.44037017369854</v>
      </c>
      <c r="D35" s="124">
        <f>D31/D33</f>
        <v>18.600238799766121</v>
      </c>
      <c r="E35" s="124">
        <f t="shared" ref="E35:H35" si="9">E31/E33</f>
        <v>57.719166240016683</v>
      </c>
      <c r="F35" s="124">
        <f t="shared" si="9"/>
        <v>0</v>
      </c>
      <c r="G35" s="124">
        <f t="shared" si="9"/>
        <v>399.99168300498332</v>
      </c>
      <c r="H35" s="124">
        <f t="shared" si="9"/>
        <v>317.23988824214871</v>
      </c>
    </row>
    <row r="37" spans="2:10">
      <c r="B37" s="802" t="s">
        <v>1005</v>
      </c>
      <c r="C37" s="802"/>
      <c r="D37" s="802"/>
      <c r="E37" s="802"/>
      <c r="F37" s="802"/>
      <c r="G37" s="802"/>
      <c r="H37" s="802"/>
    </row>
    <row r="39" spans="2:10">
      <c r="B39" s="408" t="s">
        <v>1000</v>
      </c>
      <c r="C39" s="409">
        <f>SUM(D39:H39)</f>
        <v>81973213.537523717</v>
      </c>
      <c r="D39" s="409">
        <f>Summary!D243</f>
        <v>77746920.253893033</v>
      </c>
      <c r="E39" s="409">
        <f>Summary!E243</f>
        <v>3973090.0814416073</v>
      </c>
      <c r="F39" s="409">
        <f>Summary!F243</f>
        <v>0</v>
      </c>
      <c r="G39" s="409">
        <f>Summary!G243</f>
        <v>24303.003520830633</v>
      </c>
      <c r="H39" s="409">
        <f>Summary!H243</f>
        <v>228900.19866823711</v>
      </c>
    </row>
    <row r="40" spans="2:10">
      <c r="B40" s="408" t="s">
        <v>1001</v>
      </c>
      <c r="C40" s="411">
        <f t="shared" ref="C40:H40" si="10">C39/C33</f>
        <v>38.677738948823169</v>
      </c>
      <c r="D40" s="411">
        <f t="shared" si="10"/>
        <v>37.426801951129505</v>
      </c>
      <c r="E40" s="411">
        <f t="shared" si="10"/>
        <v>95.55521011668408</v>
      </c>
      <c r="F40" s="411">
        <f t="shared" si="10"/>
        <v>0</v>
      </c>
      <c r="G40" s="411">
        <f t="shared" si="10"/>
        <v>623.15393643155471</v>
      </c>
      <c r="H40" s="411">
        <f t="shared" si="10"/>
        <v>491.20214306488651</v>
      </c>
    </row>
    <row r="42" spans="2:10">
      <c r="B42" s="408" t="s">
        <v>1002</v>
      </c>
      <c r="C42" s="409">
        <f>Summary!C166-C39</f>
        <v>61676633.230272144</v>
      </c>
      <c r="D42" s="409">
        <f>Summary!D166-D39</f>
        <v>36384488.844639421</v>
      </c>
      <c r="E42" s="409">
        <f>Summary!E166-E39</f>
        <v>19392626.080613937</v>
      </c>
      <c r="F42" s="409">
        <f>Summary!F166-F39</f>
        <v>0</v>
      </c>
      <c r="G42" s="409">
        <f>Summary!G166-G39</f>
        <v>548267.66285010031</v>
      </c>
      <c r="H42" s="409">
        <f>Summary!H166-H39</f>
        <v>5351250.6421687128</v>
      </c>
    </row>
    <row r="43" spans="2:10">
      <c r="B43" s="408" t="s">
        <v>1003</v>
      </c>
      <c r="C43" s="411">
        <f t="shared" ref="C43:H43" si="11">C42/C33</f>
        <v>29.101124823303358</v>
      </c>
      <c r="D43" s="411">
        <f t="shared" si="11"/>
        <v>17.515228302734126</v>
      </c>
      <c r="E43" s="411">
        <f t="shared" si="11"/>
        <v>466.4043406674989</v>
      </c>
      <c r="F43" s="411">
        <f t="shared" si="11"/>
        <v>0</v>
      </c>
      <c r="G43" s="411">
        <f t="shared" si="11"/>
        <v>14058.145201284624</v>
      </c>
      <c r="H43" s="411">
        <f t="shared" si="11"/>
        <v>11483.370476756894</v>
      </c>
    </row>
    <row r="45" spans="2:10">
      <c r="B45" s="408" t="s">
        <v>1004</v>
      </c>
      <c r="C45" s="410">
        <f t="shared" ref="C45:H45" si="12">C40+C43</f>
        <v>67.778863772126527</v>
      </c>
      <c r="D45" s="410">
        <f t="shared" si="12"/>
        <v>54.942030253863635</v>
      </c>
      <c r="E45" s="410">
        <f t="shared" si="12"/>
        <v>561.95955078418297</v>
      </c>
      <c r="F45" s="410">
        <f t="shared" si="12"/>
        <v>0</v>
      </c>
      <c r="G45" s="410">
        <f t="shared" si="12"/>
        <v>14681.299137716178</v>
      </c>
      <c r="H45" s="410">
        <f t="shared" si="12"/>
        <v>11974.572619821782</v>
      </c>
    </row>
  </sheetData>
  <mergeCells count="1">
    <mergeCell ref="B37:H37"/>
  </mergeCells>
  <conditionalFormatting sqref="J5:J33">
    <cfRule type="cellIs" dxfId="3" priority="1" operator="notEqual">
      <formula>0</formula>
    </cfRule>
  </conditionalFormatting>
  <pageMargins left="0.7" right="0.7" top="0.75" bottom="0.75" header="0.3" footer="0.3"/>
  <pageSetup scale="96" orientation="landscape" r:id="rId1"/>
  <headerFooter>
    <oddHeader>&amp;LAVISTA UTILITIES
Average Customer Cost&amp;RWA Gas</oddHeader>
    <oddFooter>&amp;LWa Gas COS - Avg Cust Cost&amp;RSupplemental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"/>
  <sheetViews>
    <sheetView workbookViewId="0"/>
  </sheetViews>
  <sheetFormatPr defaultColWidth="9.140625" defaultRowHeight="12.75"/>
  <cols>
    <col min="1" max="16384" width="9.140625" style="460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tabColor theme="5" tint="0.39997558519241921"/>
  </sheetPr>
  <dimension ref="A3:AQ242"/>
  <sheetViews>
    <sheetView zoomScale="75" zoomScaleNormal="75" workbookViewId="0">
      <pane ySplit="1" topLeftCell="A2" activePane="bottomLeft" state="frozen"/>
      <selection activeCell="N53" sqref="N53"/>
      <selection pane="bottomLeft" activeCell="C24" sqref="C24"/>
    </sheetView>
  </sheetViews>
  <sheetFormatPr defaultColWidth="9.140625" defaultRowHeight="12.75"/>
  <cols>
    <col min="1" max="1" width="5.7109375" style="207" customWidth="1"/>
    <col min="2" max="4" width="13.85546875" style="207" customWidth="1"/>
    <col min="5" max="5" width="13.85546875" style="203" customWidth="1"/>
    <col min="6" max="6" width="4" style="207" customWidth="1"/>
    <col min="7" max="7" width="13.85546875" style="207" customWidth="1"/>
    <col min="8" max="9" width="13.85546875" style="207" hidden="1" customWidth="1"/>
    <col min="10" max="10" width="13.85546875" style="203" hidden="1" customWidth="1"/>
    <col min="11" max="11" width="7.5703125" style="207" hidden="1" customWidth="1"/>
    <col min="12" max="14" width="13.85546875" style="207" hidden="1" customWidth="1"/>
    <col min="15" max="15" width="13.85546875" style="203" hidden="1" customWidth="1"/>
    <col min="16" max="19" width="7.5703125" style="207" hidden="1" customWidth="1"/>
    <col min="20" max="23" width="13.85546875" style="207" hidden="1" customWidth="1"/>
    <col min="24" max="24" width="0" style="203" hidden="1" customWidth="1"/>
    <col min="25" max="25" width="12.7109375" style="203" customWidth="1"/>
    <col min="26" max="26" width="11" style="203" customWidth="1"/>
    <col min="27" max="27" width="10.85546875" style="203" customWidth="1"/>
    <col min="28" max="28" width="11.28515625" style="203" customWidth="1"/>
    <col min="29" max="32" width="9.140625" style="203"/>
    <col min="33" max="33" width="9.7109375" style="203" customWidth="1"/>
    <col min="34" max="38" width="9.140625" style="203"/>
    <col min="39" max="39" width="12" style="203" bestFit="1" customWidth="1"/>
    <col min="40" max="40" width="9.140625" style="203"/>
    <col min="41" max="41" width="14.7109375" style="203" bestFit="1" customWidth="1"/>
    <col min="42" max="16384" width="9.140625" style="203"/>
  </cols>
  <sheetData>
    <row r="3" spans="1:43" ht="15">
      <c r="B3" s="265" t="s">
        <v>884</v>
      </c>
      <c r="C3" s="203"/>
      <c r="D3" s="203"/>
      <c r="AP3" s="207"/>
      <c r="AQ3" s="263"/>
    </row>
    <row r="4" spans="1:43" ht="13.5" thickBot="1">
      <c r="B4" s="203"/>
      <c r="C4" s="203"/>
      <c r="D4" s="203"/>
      <c r="AP4" s="207"/>
      <c r="AQ4" s="263"/>
    </row>
    <row r="5" spans="1:43">
      <c r="B5" s="286" t="s">
        <v>882</v>
      </c>
      <c r="C5" s="285" t="s">
        <v>881</v>
      </c>
      <c r="D5" s="284" t="s">
        <v>880</v>
      </c>
      <c r="AP5" s="207"/>
      <c r="AQ5" s="263"/>
    </row>
    <row r="6" spans="1:43" ht="13.5" thickBot="1">
      <c r="B6" s="281">
        <v>44896</v>
      </c>
      <c r="C6" s="436">
        <f>E14</f>
        <v>62865</v>
      </c>
      <c r="D6" s="280">
        <f>C6/C14</f>
        <v>2027.9032258064517</v>
      </c>
      <c r="AP6" s="207"/>
      <c r="AQ6" s="263"/>
    </row>
    <row r="7" spans="1:43">
      <c r="AP7" s="207"/>
      <c r="AQ7" s="263"/>
    </row>
    <row r="8" spans="1:43">
      <c r="AP8" s="207"/>
      <c r="AQ8" s="263"/>
    </row>
    <row r="9" spans="1:43">
      <c r="AP9" s="207"/>
      <c r="AQ9" s="263"/>
    </row>
    <row r="10" spans="1:43">
      <c r="J10" s="207"/>
      <c r="N10" s="203"/>
      <c r="P10" s="203"/>
      <c r="Q10" s="203"/>
      <c r="R10" s="203"/>
      <c r="S10" s="203"/>
      <c r="T10" s="203"/>
      <c r="U10" s="274"/>
      <c r="V10" s="274"/>
      <c r="W10" s="274"/>
      <c r="X10" s="274">
        <f>RSQ(M13:M46,N13:N46)</f>
        <v>0.95356506765737725</v>
      </c>
    </row>
    <row r="11" spans="1:43">
      <c r="J11" s="207"/>
      <c r="N11" s="203"/>
      <c r="P11" s="203"/>
      <c r="Q11" s="203"/>
      <c r="R11" s="203"/>
      <c r="S11" s="203"/>
      <c r="T11" s="203"/>
      <c r="U11" s="203"/>
      <c r="V11" s="273" t="s">
        <v>883</v>
      </c>
      <c r="W11" s="203"/>
      <c r="X11" s="203">
        <f>CORREL(M13:M46,N13:N46)</f>
        <v>0.9765065630385581</v>
      </c>
    </row>
    <row r="12" spans="1:43">
      <c r="A12" s="203"/>
      <c r="B12" s="279" t="s">
        <v>1260</v>
      </c>
      <c r="C12" s="262"/>
      <c r="D12" s="262"/>
      <c r="E12" s="262"/>
      <c r="F12" s="203"/>
      <c r="G12" s="203"/>
      <c r="H12" s="203"/>
      <c r="I12" s="203"/>
      <c r="K12" s="203"/>
      <c r="L12" s="271" t="s">
        <v>874</v>
      </c>
      <c r="M12" s="270" t="s">
        <v>873</v>
      </c>
      <c r="N12" s="270" t="s">
        <v>872</v>
      </c>
      <c r="P12" s="203"/>
      <c r="Q12" s="203"/>
      <c r="R12" s="203"/>
      <c r="S12" s="203"/>
      <c r="T12" s="203"/>
      <c r="U12" s="203"/>
      <c r="V12" s="203"/>
      <c r="W12" s="203"/>
    </row>
    <row r="13" spans="1:43">
      <c r="A13" s="203"/>
      <c r="B13" s="277" t="s">
        <v>879</v>
      </c>
      <c r="C13" s="277" t="s">
        <v>878</v>
      </c>
      <c r="D13" s="277" t="s">
        <v>877</v>
      </c>
      <c r="E13" s="277" t="s">
        <v>872</v>
      </c>
      <c r="F13" s="203"/>
      <c r="G13" s="203" t="s">
        <v>1666</v>
      </c>
      <c r="H13" s="203"/>
      <c r="I13" s="203"/>
      <c r="K13" s="203"/>
      <c r="L13" s="264"/>
      <c r="M13" s="207">
        <v>1015</v>
      </c>
      <c r="N13" s="263">
        <v>44438</v>
      </c>
      <c r="P13" s="203"/>
      <c r="Q13" s="203"/>
      <c r="R13" s="203"/>
      <c r="S13" s="203"/>
      <c r="T13" s="203"/>
      <c r="U13" s="203"/>
      <c r="V13" s="203"/>
      <c r="W13" s="203"/>
    </row>
    <row r="14" spans="1:43">
      <c r="A14" s="203"/>
      <c r="B14" s="276">
        <v>44926</v>
      </c>
      <c r="C14" s="129">
        <v>31</v>
      </c>
      <c r="D14" s="275">
        <v>1279</v>
      </c>
      <c r="E14" s="275">
        <v>62865</v>
      </c>
      <c r="F14" s="203"/>
      <c r="G14" s="203"/>
      <c r="H14" s="203"/>
      <c r="I14" s="203"/>
      <c r="K14" s="203"/>
      <c r="L14" s="203"/>
      <c r="M14" s="207">
        <v>1059</v>
      </c>
      <c r="N14" s="263">
        <v>47815</v>
      </c>
      <c r="P14" s="203"/>
      <c r="Q14" s="203"/>
      <c r="R14" s="203"/>
      <c r="S14" s="203"/>
      <c r="T14" s="203"/>
      <c r="U14" s="203"/>
      <c r="V14" s="203"/>
      <c r="W14" s="203"/>
    </row>
    <row r="15" spans="1:43">
      <c r="A15" s="203"/>
      <c r="B15" s="203"/>
      <c r="C15" s="264"/>
      <c r="D15" s="272"/>
      <c r="E15" s="264">
        <f>E14/C14</f>
        <v>2027.9032258064517</v>
      </c>
      <c r="F15" s="203"/>
      <c r="G15" s="203"/>
      <c r="H15" s="203"/>
      <c r="I15" s="203"/>
      <c r="K15" s="203"/>
      <c r="L15" s="203"/>
      <c r="M15" s="207">
        <v>953</v>
      </c>
      <c r="N15" s="263">
        <v>46644</v>
      </c>
      <c r="P15" s="203"/>
      <c r="Q15" s="203"/>
      <c r="R15" s="203"/>
      <c r="S15" s="203"/>
      <c r="T15" s="203"/>
      <c r="U15" s="203"/>
      <c r="V15" s="203"/>
      <c r="W15" s="203"/>
    </row>
    <row r="16" spans="1:43">
      <c r="A16" s="203"/>
      <c r="B16" s="203"/>
      <c r="C16" s="264"/>
      <c r="D16" s="272"/>
      <c r="E16" s="264">
        <f>E15*5</f>
        <v>10139.516129032258</v>
      </c>
      <c r="F16" s="203"/>
      <c r="G16" s="203"/>
      <c r="H16" s="203"/>
      <c r="I16" s="203"/>
      <c r="K16" s="203"/>
      <c r="L16" s="203"/>
      <c r="M16" s="207">
        <v>445</v>
      </c>
      <c r="N16" s="263">
        <v>20801</v>
      </c>
      <c r="P16" s="203"/>
      <c r="Q16" s="203"/>
      <c r="R16" s="203"/>
      <c r="S16" s="203"/>
      <c r="T16" s="203"/>
      <c r="U16" s="203"/>
      <c r="V16" s="203"/>
      <c r="W16" s="203"/>
    </row>
    <row r="17" spans="2:14" s="203" customFormat="1">
      <c r="B17" s="268"/>
      <c r="C17" s="267"/>
      <c r="D17" s="269"/>
      <c r="E17" s="266"/>
      <c r="M17" s="207">
        <v>84</v>
      </c>
      <c r="N17" s="263">
        <v>7845</v>
      </c>
    </row>
    <row r="18" spans="2:14" s="203" customFormat="1">
      <c r="B18" s="283"/>
      <c r="C18" s="753" t="s">
        <v>873</v>
      </c>
      <c r="D18" s="754" t="s">
        <v>1665</v>
      </c>
      <c r="E18" s="755"/>
      <c r="L18" s="264"/>
      <c r="M18" s="207">
        <v>680</v>
      </c>
      <c r="N18" s="263">
        <v>33627</v>
      </c>
    </row>
    <row r="19" spans="2:14" s="203" customFormat="1">
      <c r="B19" s="283"/>
      <c r="C19" s="278"/>
      <c r="D19" s="272"/>
      <c r="E19" s="264"/>
      <c r="L19" s="264"/>
      <c r="M19" s="207">
        <v>830</v>
      </c>
      <c r="N19" s="263">
        <v>46867</v>
      </c>
    </row>
    <row r="20" spans="2:14" s="203" customFormat="1">
      <c r="B20" s="481">
        <v>44896</v>
      </c>
      <c r="C20" s="129">
        <v>39</v>
      </c>
      <c r="L20" s="264"/>
      <c r="M20" s="207">
        <v>973</v>
      </c>
      <c r="N20" s="263">
        <v>52249</v>
      </c>
    </row>
    <row r="21" spans="2:14" s="203" customFormat="1">
      <c r="B21" s="481">
        <v>44897</v>
      </c>
      <c r="C21" s="129">
        <v>47</v>
      </c>
      <c r="L21" s="264"/>
      <c r="M21" s="207">
        <v>1123</v>
      </c>
      <c r="N21" s="263">
        <v>61375</v>
      </c>
    </row>
    <row r="22" spans="2:14" s="203" customFormat="1">
      <c r="B22" s="481">
        <v>44898</v>
      </c>
      <c r="C22" s="129">
        <v>46</v>
      </c>
      <c r="L22" s="264"/>
      <c r="M22" s="207">
        <v>1075</v>
      </c>
      <c r="N22" s="263">
        <v>58731</v>
      </c>
    </row>
    <row r="23" spans="2:14" s="203" customFormat="1">
      <c r="B23" s="481">
        <v>44899</v>
      </c>
      <c r="C23" s="129">
        <v>47</v>
      </c>
      <c r="L23" s="264"/>
      <c r="M23" s="207">
        <v>877</v>
      </c>
      <c r="N23" s="263">
        <v>42884</v>
      </c>
    </row>
    <row r="24" spans="2:14" s="203" customFormat="1">
      <c r="B24" s="481">
        <v>44900</v>
      </c>
      <c r="C24" s="129">
        <v>43</v>
      </c>
      <c r="L24" s="264"/>
      <c r="M24" s="207">
        <v>386</v>
      </c>
      <c r="N24" s="263">
        <v>15829</v>
      </c>
    </row>
    <row r="25" spans="2:14" s="203" customFormat="1">
      <c r="B25" s="481">
        <v>44901</v>
      </c>
      <c r="C25" s="129">
        <v>42</v>
      </c>
      <c r="D25" s="383"/>
      <c r="E25" s="384"/>
      <c r="L25" s="264"/>
      <c r="M25" s="207">
        <v>196</v>
      </c>
      <c r="N25" s="263">
        <v>6121</v>
      </c>
    </row>
    <row r="26" spans="2:14" s="203" customFormat="1">
      <c r="B26" s="481">
        <v>44902</v>
      </c>
      <c r="C26" s="129">
        <v>39</v>
      </c>
      <c r="D26" s="383"/>
      <c r="E26" s="384"/>
      <c r="L26" s="264"/>
      <c r="M26" s="207">
        <v>7</v>
      </c>
      <c r="N26" s="263">
        <v>1599</v>
      </c>
    </row>
    <row r="27" spans="2:14" s="203" customFormat="1">
      <c r="B27" s="481">
        <v>44903</v>
      </c>
      <c r="C27" s="129">
        <v>39</v>
      </c>
      <c r="D27" s="383"/>
      <c r="E27" s="384"/>
      <c r="L27" s="264"/>
      <c r="M27" s="207">
        <v>56</v>
      </c>
      <c r="N27" s="263">
        <v>4085</v>
      </c>
    </row>
    <row r="28" spans="2:14" s="203" customFormat="1">
      <c r="B28" s="481">
        <v>44904</v>
      </c>
      <c r="C28" s="129">
        <v>36</v>
      </c>
      <c r="D28" s="383"/>
      <c r="E28" s="384"/>
      <c r="L28" s="264"/>
      <c r="M28" s="207">
        <v>255</v>
      </c>
      <c r="N28" s="263">
        <v>14288</v>
      </c>
    </row>
    <row r="29" spans="2:14" s="203" customFormat="1">
      <c r="B29" s="481">
        <v>44905</v>
      </c>
      <c r="C29" s="129">
        <v>31</v>
      </c>
      <c r="D29" s="383"/>
      <c r="E29" s="384"/>
      <c r="L29" s="264"/>
      <c r="M29" s="207">
        <v>399</v>
      </c>
      <c r="N29" s="263">
        <v>11975</v>
      </c>
    </row>
    <row r="30" spans="2:14" s="203" customFormat="1">
      <c r="B30" s="481">
        <v>44906</v>
      </c>
      <c r="C30" s="129">
        <v>32</v>
      </c>
      <c r="D30" s="383"/>
      <c r="E30" s="384"/>
      <c r="L30" s="264"/>
      <c r="M30" s="207">
        <v>647</v>
      </c>
      <c r="N30" s="263">
        <v>30251</v>
      </c>
    </row>
    <row r="31" spans="2:14" s="203" customFormat="1">
      <c r="B31" s="481">
        <v>44907</v>
      </c>
      <c r="C31" s="129">
        <v>37</v>
      </c>
      <c r="D31" s="383"/>
      <c r="E31" s="384"/>
      <c r="L31" s="264"/>
      <c r="M31" s="207">
        <v>816</v>
      </c>
      <c r="N31" s="263">
        <v>37619</v>
      </c>
    </row>
    <row r="32" spans="2:14" s="203" customFormat="1">
      <c r="B32" s="481">
        <v>44908</v>
      </c>
      <c r="C32" s="129">
        <v>40</v>
      </c>
      <c r="D32" s="383"/>
      <c r="E32" s="384"/>
      <c r="L32" s="264"/>
      <c r="M32" s="207">
        <v>782</v>
      </c>
      <c r="N32" s="263">
        <v>38459</v>
      </c>
    </row>
    <row r="33" spans="2:14" s="203" customFormat="1">
      <c r="B33" s="481">
        <v>44909</v>
      </c>
      <c r="C33" s="129">
        <v>40</v>
      </c>
      <c r="D33" s="383"/>
      <c r="E33" s="384"/>
      <c r="L33" s="264"/>
      <c r="M33" s="207">
        <v>1018</v>
      </c>
      <c r="N33" s="263">
        <v>51006</v>
      </c>
    </row>
    <row r="34" spans="2:14" s="203" customFormat="1">
      <c r="B34" s="481">
        <v>44910</v>
      </c>
      <c r="C34" s="267">
        <v>42</v>
      </c>
      <c r="D34" s="207"/>
      <c r="E34" s="207"/>
      <c r="L34" s="264"/>
      <c r="M34" s="207">
        <v>1038</v>
      </c>
      <c r="N34" s="263">
        <v>50450</v>
      </c>
    </row>
    <row r="35" spans="2:14" s="203" customFormat="1">
      <c r="B35" s="481">
        <v>44911</v>
      </c>
      <c r="C35" s="267">
        <v>43</v>
      </c>
      <c r="D35" s="207"/>
      <c r="E35" s="207"/>
      <c r="L35" s="264"/>
      <c r="M35" s="207">
        <v>813</v>
      </c>
      <c r="N35" s="263">
        <v>36636</v>
      </c>
    </row>
    <row r="36" spans="2:14" s="203" customFormat="1">
      <c r="B36" s="481">
        <v>44912</v>
      </c>
      <c r="C36" s="267">
        <v>41</v>
      </c>
      <c r="D36" s="207"/>
      <c r="E36" s="207"/>
      <c r="L36" s="264"/>
      <c r="M36" s="207">
        <v>577</v>
      </c>
      <c r="N36" s="263">
        <v>20143</v>
      </c>
    </row>
    <row r="37" spans="2:14" s="203" customFormat="1">
      <c r="B37" s="481">
        <v>44913</v>
      </c>
      <c r="C37" s="267">
        <v>40</v>
      </c>
      <c r="D37" s="383"/>
      <c r="E37" s="384"/>
      <c r="L37" s="264"/>
      <c r="M37" s="207">
        <v>67</v>
      </c>
      <c r="N37" s="263">
        <v>2952</v>
      </c>
    </row>
    <row r="38" spans="2:14" s="203" customFormat="1">
      <c r="B38" s="481">
        <v>44914</v>
      </c>
      <c r="C38" s="267">
        <v>48</v>
      </c>
      <c r="D38" s="383">
        <f>C38/$D$14</f>
        <v>3.7529319781078971E-2</v>
      </c>
      <c r="E38" s="482">
        <f>D38*$E$14</f>
        <v>2359.2806880375297</v>
      </c>
      <c r="L38" s="264"/>
      <c r="M38" s="207">
        <v>23</v>
      </c>
      <c r="N38" s="263">
        <v>1589</v>
      </c>
    </row>
    <row r="39" spans="2:14" s="203" customFormat="1">
      <c r="B39" s="481">
        <v>44915</v>
      </c>
      <c r="C39" s="267">
        <v>58</v>
      </c>
      <c r="D39" s="383">
        <f t="shared" ref="D39:D42" si="0">C39/$D$14</f>
        <v>4.534792806880375E-2</v>
      </c>
      <c r="E39" s="482">
        <f>D39*$E$14</f>
        <v>2850.7974980453478</v>
      </c>
      <c r="L39" s="264"/>
      <c r="M39" s="207">
        <v>18</v>
      </c>
      <c r="N39" s="263">
        <v>2169</v>
      </c>
    </row>
    <row r="40" spans="2:14" s="203" customFormat="1">
      <c r="B40" s="481">
        <v>44916</v>
      </c>
      <c r="C40" s="267">
        <v>64</v>
      </c>
      <c r="D40" s="383">
        <f t="shared" si="0"/>
        <v>5.0039093041438623E-2</v>
      </c>
      <c r="E40" s="482">
        <f t="shared" ref="E40:E42" si="1">D40*$E$14</f>
        <v>3145.7075840500393</v>
      </c>
      <c r="L40" s="264"/>
      <c r="M40" s="207">
        <v>92</v>
      </c>
      <c r="N40" s="263">
        <v>3921</v>
      </c>
    </row>
    <row r="41" spans="2:14" s="203" customFormat="1">
      <c r="B41" s="481">
        <v>44917</v>
      </c>
      <c r="C41" s="267">
        <v>68</v>
      </c>
      <c r="D41" s="383">
        <f t="shared" si="0"/>
        <v>5.3166536356528536E-2</v>
      </c>
      <c r="E41" s="482">
        <f t="shared" si="1"/>
        <v>3342.3143080531663</v>
      </c>
      <c r="L41" s="264"/>
      <c r="M41" s="207">
        <v>340</v>
      </c>
      <c r="N41" s="263">
        <v>13442</v>
      </c>
    </row>
    <row r="42" spans="2:14" s="203" customFormat="1">
      <c r="B42" s="481">
        <v>44918</v>
      </c>
      <c r="C42" s="267">
        <v>59</v>
      </c>
      <c r="D42" s="383">
        <f t="shared" si="0"/>
        <v>4.6129788897576234E-2</v>
      </c>
      <c r="E42" s="482">
        <f t="shared" si="1"/>
        <v>2899.9491790461298</v>
      </c>
      <c r="L42" s="264"/>
      <c r="M42" s="207">
        <v>549</v>
      </c>
      <c r="N42" s="263">
        <v>37928</v>
      </c>
    </row>
    <row r="43" spans="2:14" s="203" customFormat="1">
      <c r="B43" s="481">
        <v>44919</v>
      </c>
      <c r="C43" s="267">
        <v>45</v>
      </c>
      <c r="D43" s="383"/>
      <c r="E43" s="384"/>
      <c r="L43" s="264"/>
      <c r="M43" s="207">
        <v>883</v>
      </c>
      <c r="N43" s="263">
        <v>29785</v>
      </c>
    </row>
    <row r="44" spans="2:14" s="203" customFormat="1">
      <c r="B44" s="481">
        <v>44920</v>
      </c>
      <c r="C44" s="129">
        <v>37</v>
      </c>
      <c r="D44" s="263"/>
      <c r="E44" s="207"/>
      <c r="L44" s="264"/>
      <c r="M44" s="207">
        <v>1161</v>
      </c>
      <c r="N44" s="263">
        <v>59139</v>
      </c>
    </row>
    <row r="45" spans="2:14" s="203" customFormat="1">
      <c r="B45" s="481">
        <v>44921</v>
      </c>
      <c r="C45" s="129">
        <v>27</v>
      </c>
      <c r="D45" s="263"/>
      <c r="E45" s="207"/>
      <c r="L45" s="264"/>
      <c r="M45" s="207">
        <v>1324</v>
      </c>
      <c r="N45" s="263">
        <v>68028</v>
      </c>
    </row>
    <row r="46" spans="2:14" s="203" customFormat="1">
      <c r="B46" s="481">
        <v>44922</v>
      </c>
      <c r="C46" s="129">
        <v>25</v>
      </c>
      <c r="D46" s="263"/>
      <c r="E46" s="207"/>
      <c r="L46" s="264"/>
      <c r="M46" s="207">
        <v>1324</v>
      </c>
      <c r="N46" s="263">
        <v>68028</v>
      </c>
    </row>
    <row r="47" spans="2:14" s="203" customFormat="1">
      <c r="B47" s="481">
        <v>44923</v>
      </c>
      <c r="C47" s="129">
        <v>32</v>
      </c>
      <c r="D47" s="263"/>
      <c r="E47" s="207"/>
    </row>
    <row r="48" spans="2:14" s="203" customFormat="1">
      <c r="B48" s="481">
        <v>44924</v>
      </c>
      <c r="C48" s="129">
        <v>32</v>
      </c>
      <c r="D48" s="263"/>
      <c r="E48" s="207"/>
    </row>
    <row r="49" spans="1:33">
      <c r="A49" s="203"/>
      <c r="B49" s="481">
        <v>44925</v>
      </c>
      <c r="C49" s="129">
        <v>30</v>
      </c>
      <c r="D49" s="263"/>
      <c r="E49" s="207"/>
      <c r="F49" s="203"/>
      <c r="G49" s="203"/>
      <c r="H49" s="203"/>
      <c r="I49" s="203"/>
      <c r="K49" s="203"/>
      <c r="L49" s="203"/>
      <c r="M49" s="203"/>
      <c r="N49" s="203"/>
      <c r="P49" s="203"/>
      <c r="Q49" s="203"/>
      <c r="R49" s="203"/>
      <c r="S49" s="203"/>
      <c r="T49" s="203"/>
      <c r="U49" s="203"/>
      <c r="V49" s="203"/>
      <c r="W49" s="203"/>
    </row>
    <row r="50" spans="1:33">
      <c r="A50" s="203"/>
      <c r="B50" s="481">
        <v>44926</v>
      </c>
      <c r="C50" s="129">
        <v>30</v>
      </c>
      <c r="E50" s="207"/>
      <c r="F50" s="203"/>
      <c r="G50" s="203"/>
      <c r="H50" s="203"/>
      <c r="I50" s="203"/>
      <c r="K50" s="203"/>
      <c r="L50" s="203"/>
      <c r="M50" s="203"/>
      <c r="N50" s="203"/>
      <c r="P50" s="203"/>
      <c r="Q50" s="203"/>
      <c r="R50" s="203"/>
      <c r="S50" s="203"/>
      <c r="T50" s="203"/>
      <c r="U50" s="203"/>
      <c r="V50" s="203"/>
      <c r="W50" s="203"/>
    </row>
    <row r="51" spans="1:33">
      <c r="A51" s="203"/>
      <c r="B51" s="315">
        <f>COUNT(B17:B50)</f>
        <v>31</v>
      </c>
      <c r="C51" s="287">
        <f>SUM(C17:C50)</f>
        <v>1279</v>
      </c>
      <c r="D51" s="288">
        <f>SUM(D20:D50)</f>
        <v>0.23221266614542613</v>
      </c>
      <c r="E51" s="287">
        <f>SUM(E20:E50)</f>
        <v>14598.049257232211</v>
      </c>
      <c r="F51" s="203"/>
      <c r="G51" s="203"/>
      <c r="H51" s="203"/>
      <c r="I51" s="203"/>
      <c r="K51" s="203"/>
      <c r="L51" s="203"/>
      <c r="N51" s="263"/>
      <c r="P51" s="203"/>
      <c r="Q51" s="203"/>
      <c r="R51" s="203"/>
      <c r="S51" s="203"/>
      <c r="T51" s="203"/>
      <c r="U51" s="203"/>
      <c r="V51" s="203"/>
      <c r="W51" s="203"/>
    </row>
    <row r="52" spans="1:33">
      <c r="A52" s="203"/>
      <c r="B52" s="283"/>
      <c r="C52" s="203"/>
      <c r="D52" s="282">
        <f>5/C14</f>
        <v>0.16129032258064516</v>
      </c>
      <c r="F52" s="203"/>
      <c r="G52" s="203"/>
      <c r="H52" s="203"/>
      <c r="I52" s="203"/>
      <c r="K52" s="203"/>
      <c r="L52" s="203"/>
      <c r="N52" s="263"/>
      <c r="P52" s="203"/>
      <c r="Q52" s="203"/>
      <c r="R52" s="203"/>
      <c r="S52" s="203"/>
      <c r="T52" s="203"/>
      <c r="U52" s="203"/>
      <c r="V52" s="203"/>
      <c r="W52" s="203"/>
    </row>
    <row r="53" spans="1:33">
      <c r="A53" s="203"/>
      <c r="B53" s="203"/>
      <c r="C53" s="203"/>
      <c r="D53" s="203"/>
      <c r="F53" s="203"/>
      <c r="G53" s="203"/>
      <c r="H53" s="203"/>
      <c r="I53" s="203"/>
      <c r="K53" s="203"/>
      <c r="L53" s="203"/>
      <c r="M53" s="203"/>
      <c r="N53" s="203"/>
      <c r="P53" s="203"/>
      <c r="Q53" s="203"/>
      <c r="R53" s="203"/>
      <c r="S53" s="203"/>
      <c r="T53" s="203"/>
      <c r="U53" s="203"/>
      <c r="V53" s="203"/>
      <c r="W53" s="203"/>
    </row>
    <row r="54" spans="1:33">
      <c r="B54" s="203"/>
      <c r="C54" s="203"/>
      <c r="D54" s="203"/>
      <c r="J54" s="207"/>
      <c r="N54" s="203"/>
      <c r="P54" s="203"/>
      <c r="Q54" s="203"/>
      <c r="R54" s="203"/>
      <c r="S54" s="203"/>
      <c r="T54" s="203"/>
      <c r="U54" s="203"/>
      <c r="V54" s="203"/>
      <c r="W54" s="203"/>
    </row>
    <row r="55" spans="1:33">
      <c r="B55" s="203"/>
      <c r="C55" s="203"/>
      <c r="D55" s="203"/>
      <c r="J55" s="207"/>
      <c r="N55" s="203"/>
      <c r="P55" s="203"/>
      <c r="Q55" s="203"/>
      <c r="R55" s="203"/>
      <c r="S55" s="203"/>
      <c r="T55" s="203"/>
      <c r="U55" s="203"/>
      <c r="V55" s="203"/>
      <c r="W55" s="207">
        <v>1101</v>
      </c>
      <c r="X55" s="263">
        <v>35531</v>
      </c>
      <c r="AE55" s="264"/>
    </row>
    <row r="56" spans="1:33">
      <c r="B56" s="203"/>
      <c r="C56" s="203"/>
      <c r="D56" s="203"/>
      <c r="J56" s="207"/>
      <c r="N56" s="203"/>
      <c r="P56" s="203"/>
      <c r="Q56" s="203"/>
      <c r="R56" s="203"/>
      <c r="S56" s="203"/>
      <c r="T56" s="203"/>
      <c r="U56" s="203"/>
      <c r="V56" s="203"/>
      <c r="W56" s="203"/>
      <c r="AF56" s="207"/>
      <c r="AG56" s="207"/>
    </row>
    <row r="57" spans="1:33">
      <c r="B57" s="203"/>
      <c r="C57" s="203"/>
      <c r="D57" s="203"/>
      <c r="J57" s="207"/>
      <c r="N57" s="203"/>
      <c r="P57" s="203"/>
      <c r="Q57" s="203"/>
      <c r="R57" s="203"/>
      <c r="S57" s="203"/>
      <c r="T57" s="203"/>
      <c r="U57" s="203"/>
      <c r="V57" s="203"/>
      <c r="W57" s="203"/>
    </row>
    <row r="58" spans="1:33">
      <c r="B58" s="209" t="s">
        <v>1668</v>
      </c>
      <c r="C58" s="203"/>
      <c r="D58" s="203"/>
      <c r="J58" s="207"/>
      <c r="N58" s="203"/>
      <c r="P58" s="203"/>
      <c r="Q58" s="203"/>
      <c r="R58" s="203"/>
      <c r="S58" s="203"/>
      <c r="T58" s="203"/>
      <c r="U58" s="203"/>
      <c r="V58" s="203"/>
      <c r="W58" s="203"/>
    </row>
    <row r="59" spans="1:33">
      <c r="B59" s="203"/>
      <c r="C59" s="203"/>
      <c r="D59" s="203"/>
      <c r="J59" s="207"/>
      <c r="N59" s="203"/>
      <c r="P59" s="203"/>
      <c r="Q59" s="203"/>
      <c r="R59" s="203"/>
      <c r="S59" s="203"/>
      <c r="T59" s="203"/>
      <c r="U59" s="203"/>
      <c r="V59" s="203"/>
      <c r="W59" s="203"/>
    </row>
    <row r="60" spans="1:33">
      <c r="A60" s="203"/>
      <c r="B60" s="279" t="s">
        <v>1260</v>
      </c>
      <c r="C60" s="262"/>
      <c r="D60" s="262"/>
      <c r="E60" s="262"/>
      <c r="J60" s="207"/>
      <c r="N60" s="203"/>
      <c r="P60" s="203"/>
      <c r="Q60" s="203"/>
      <c r="R60" s="203"/>
      <c r="S60" s="203"/>
      <c r="T60" s="203"/>
      <c r="U60" s="203"/>
      <c r="V60" s="203"/>
      <c r="W60" s="203"/>
      <c r="AF60" s="207"/>
      <c r="AG60" s="263"/>
    </row>
    <row r="61" spans="1:33">
      <c r="B61" s="277" t="s">
        <v>879</v>
      </c>
      <c r="C61" s="277" t="s">
        <v>878</v>
      </c>
      <c r="D61" s="277" t="s">
        <v>877</v>
      </c>
      <c r="E61" s="277" t="s">
        <v>872</v>
      </c>
      <c r="J61" s="207"/>
      <c r="N61" s="203"/>
      <c r="P61" s="203"/>
      <c r="Q61" s="203"/>
      <c r="R61" s="203"/>
      <c r="S61" s="203"/>
      <c r="T61" s="203"/>
      <c r="U61" s="203"/>
      <c r="V61" s="203"/>
      <c r="W61" s="203"/>
      <c r="AF61" s="207"/>
      <c r="AG61" s="263"/>
    </row>
    <row r="62" spans="1:33">
      <c r="A62" s="203"/>
      <c r="B62" s="276">
        <f>B14</f>
        <v>44926</v>
      </c>
      <c r="C62" s="129">
        <v>31</v>
      </c>
      <c r="D62" s="275">
        <v>1279</v>
      </c>
      <c r="E62" s="275">
        <v>124333.86</v>
      </c>
      <c r="F62" s="203"/>
      <c r="G62" s="203"/>
      <c r="H62" s="203"/>
      <c r="I62" s="203"/>
      <c r="K62" s="203"/>
      <c r="L62" s="203"/>
      <c r="N62" s="263"/>
      <c r="P62" s="203"/>
      <c r="Q62" s="203"/>
      <c r="R62" s="203"/>
      <c r="S62" s="203"/>
      <c r="T62" s="203"/>
      <c r="U62" s="203"/>
      <c r="V62" s="203"/>
      <c r="W62" s="203"/>
    </row>
    <row r="63" spans="1:33">
      <c r="A63" s="203"/>
      <c r="B63" s="203"/>
      <c r="C63" s="264"/>
      <c r="D63" s="272"/>
      <c r="E63" s="264">
        <f>E62/C62</f>
        <v>4010.769677419355</v>
      </c>
      <c r="F63" s="203"/>
      <c r="G63" s="203"/>
      <c r="H63" s="203"/>
      <c r="I63" s="203"/>
      <c r="K63" s="203"/>
      <c r="L63" s="203"/>
      <c r="N63" s="263"/>
      <c r="P63" s="203"/>
      <c r="Q63" s="203"/>
      <c r="R63" s="203"/>
      <c r="S63" s="203"/>
      <c r="T63" s="203"/>
      <c r="U63" s="203"/>
      <c r="V63" s="203"/>
      <c r="W63" s="203"/>
    </row>
    <row r="64" spans="1:33">
      <c r="A64" s="203"/>
      <c r="B64" s="203"/>
      <c r="C64" s="264"/>
      <c r="D64" s="272"/>
      <c r="E64" s="264">
        <f>E63*5</f>
        <v>20053.848387096776</v>
      </c>
      <c r="F64" s="203"/>
      <c r="G64" s="203"/>
      <c r="H64" s="203"/>
      <c r="I64" s="203"/>
      <c r="K64" s="203"/>
      <c r="L64" s="203"/>
      <c r="N64" s="263"/>
      <c r="P64" s="203"/>
      <c r="Q64" s="203"/>
      <c r="R64" s="203"/>
      <c r="S64" s="203"/>
      <c r="T64" s="203"/>
      <c r="U64" s="203"/>
      <c r="V64" s="203"/>
      <c r="W64" s="203"/>
    </row>
    <row r="65" spans="2:14" s="203" customFormat="1">
      <c r="B65" s="283"/>
      <c r="C65" s="278"/>
      <c r="D65" s="272"/>
      <c r="E65" s="264"/>
      <c r="M65" s="207">
        <v>502</v>
      </c>
      <c r="N65" s="263">
        <v>51433</v>
      </c>
    </row>
    <row r="66" spans="2:14" s="203" customFormat="1">
      <c r="B66" s="283"/>
      <c r="C66" s="278"/>
      <c r="D66" s="272"/>
      <c r="E66" s="264"/>
      <c r="M66" s="207">
        <v>100</v>
      </c>
      <c r="N66" s="263">
        <v>37595</v>
      </c>
    </row>
    <row r="67" spans="2:14" s="203" customFormat="1">
      <c r="B67" s="283"/>
      <c r="C67" s="278"/>
      <c r="D67" s="272"/>
      <c r="E67" s="264"/>
      <c r="M67" s="207">
        <v>7</v>
      </c>
      <c r="N67" s="263">
        <v>35246</v>
      </c>
    </row>
    <row r="68" spans="2:14" s="203" customFormat="1">
      <c r="B68" s="481">
        <f>B20</f>
        <v>44896</v>
      </c>
      <c r="C68" s="129">
        <f>C20</f>
        <v>39</v>
      </c>
      <c r="M68" s="207">
        <v>2</v>
      </c>
      <c r="N68" s="263">
        <v>29597</v>
      </c>
    </row>
    <row r="69" spans="2:14" s="203" customFormat="1">
      <c r="B69" s="481">
        <f t="shared" ref="B69:C69" si="2">B21</f>
        <v>44897</v>
      </c>
      <c r="C69" s="129">
        <f t="shared" si="2"/>
        <v>47</v>
      </c>
      <c r="L69" s="264"/>
      <c r="M69" s="207">
        <v>220</v>
      </c>
      <c r="N69" s="263">
        <v>43487</v>
      </c>
    </row>
    <row r="70" spans="2:14" s="203" customFormat="1">
      <c r="B70" s="481">
        <f t="shared" ref="B70:C70" si="3">B22</f>
        <v>44898</v>
      </c>
      <c r="C70" s="129">
        <f t="shared" si="3"/>
        <v>46</v>
      </c>
      <c r="L70" s="264"/>
      <c r="M70" s="207">
        <v>280</v>
      </c>
      <c r="N70" s="263">
        <v>41523</v>
      </c>
    </row>
    <row r="71" spans="2:14" s="203" customFormat="1">
      <c r="B71" s="481">
        <f t="shared" ref="B71:C71" si="4">B23</f>
        <v>44899</v>
      </c>
      <c r="C71" s="129">
        <f t="shared" si="4"/>
        <v>47</v>
      </c>
      <c r="L71" s="264"/>
      <c r="M71" s="207">
        <v>575</v>
      </c>
      <c r="N71" s="263">
        <v>52085</v>
      </c>
    </row>
    <row r="72" spans="2:14" s="203" customFormat="1">
      <c r="B72" s="481">
        <f t="shared" ref="B72:C72" si="5">B24</f>
        <v>44900</v>
      </c>
      <c r="C72" s="129">
        <f t="shared" si="5"/>
        <v>43</v>
      </c>
      <c r="L72" s="264"/>
      <c r="M72" s="207">
        <v>811</v>
      </c>
      <c r="N72" s="263">
        <v>62779</v>
      </c>
    </row>
    <row r="73" spans="2:14" s="203" customFormat="1">
      <c r="B73" s="481">
        <f t="shared" ref="B73:C73" si="6">B25</f>
        <v>44901</v>
      </c>
      <c r="C73" s="129">
        <f t="shared" si="6"/>
        <v>42</v>
      </c>
      <c r="D73" s="383"/>
      <c r="E73" s="384"/>
      <c r="L73" s="264"/>
      <c r="M73" s="207">
        <v>920</v>
      </c>
      <c r="N73" s="263">
        <v>65467</v>
      </c>
    </row>
    <row r="74" spans="2:14" s="203" customFormat="1">
      <c r="B74" s="481">
        <f t="shared" ref="B74:C74" si="7">B26</f>
        <v>44902</v>
      </c>
      <c r="C74" s="129">
        <f t="shared" si="7"/>
        <v>39</v>
      </c>
      <c r="D74" s="383"/>
      <c r="E74" s="384"/>
      <c r="L74" s="264"/>
      <c r="M74" s="207">
        <v>1228</v>
      </c>
      <c r="N74" s="263">
        <v>76053</v>
      </c>
    </row>
    <row r="75" spans="2:14" s="203" customFormat="1">
      <c r="B75" s="481">
        <f t="shared" ref="B75:C75" si="8">B27</f>
        <v>44903</v>
      </c>
      <c r="C75" s="129">
        <f t="shared" si="8"/>
        <v>39</v>
      </c>
      <c r="D75" s="383"/>
      <c r="E75" s="384"/>
      <c r="L75" s="264"/>
      <c r="M75" s="207">
        <v>1089</v>
      </c>
      <c r="N75" s="263">
        <v>77926</v>
      </c>
    </row>
    <row r="76" spans="2:14" s="203" customFormat="1">
      <c r="B76" s="481">
        <f t="shared" ref="B76:C76" si="9">B28</f>
        <v>44904</v>
      </c>
      <c r="C76" s="129">
        <f t="shared" si="9"/>
        <v>36</v>
      </c>
      <c r="D76" s="383"/>
      <c r="E76" s="384"/>
      <c r="L76" s="264"/>
      <c r="M76" s="207">
        <v>674</v>
      </c>
      <c r="N76" s="263">
        <v>53427</v>
      </c>
    </row>
    <row r="77" spans="2:14" s="203" customFormat="1">
      <c r="B77" s="481">
        <f t="shared" ref="B77:C77" si="10">B29</f>
        <v>44905</v>
      </c>
      <c r="C77" s="129">
        <f t="shared" si="10"/>
        <v>31</v>
      </c>
      <c r="D77" s="383"/>
      <c r="E77" s="384"/>
      <c r="L77" s="264"/>
      <c r="M77" s="207">
        <v>362</v>
      </c>
      <c r="N77" s="263">
        <v>44285</v>
      </c>
    </row>
    <row r="78" spans="2:14" s="203" customFormat="1">
      <c r="B78" s="481">
        <f t="shared" ref="B78:C78" si="11">B30</f>
        <v>44906</v>
      </c>
      <c r="C78" s="129">
        <f t="shared" si="11"/>
        <v>32</v>
      </c>
      <c r="D78" s="383"/>
      <c r="E78" s="384"/>
      <c r="L78" s="264"/>
      <c r="M78" s="207">
        <v>47</v>
      </c>
      <c r="N78" s="263">
        <v>24288</v>
      </c>
    </row>
    <row r="79" spans="2:14" s="203" customFormat="1">
      <c r="B79" s="481">
        <f t="shared" ref="B79:C79" si="12">B31</f>
        <v>44907</v>
      </c>
      <c r="C79" s="129">
        <f t="shared" si="12"/>
        <v>37</v>
      </c>
      <c r="D79" s="383"/>
      <c r="E79" s="384"/>
      <c r="L79" s="264"/>
      <c r="M79" s="207">
        <v>14</v>
      </c>
      <c r="N79" s="263">
        <v>29436</v>
      </c>
    </row>
    <row r="80" spans="2:14" s="203" customFormat="1">
      <c r="B80" s="481">
        <f t="shared" ref="B80:C80" si="13">B32</f>
        <v>44908</v>
      </c>
      <c r="C80" s="129">
        <f t="shared" si="13"/>
        <v>40</v>
      </c>
      <c r="D80" s="383"/>
      <c r="E80" s="384"/>
      <c r="L80" s="264"/>
      <c r="M80" s="207">
        <v>21</v>
      </c>
      <c r="N80" s="263">
        <v>35773</v>
      </c>
    </row>
    <row r="81" spans="2:14" s="203" customFormat="1">
      <c r="B81" s="481">
        <f t="shared" ref="B81:C81" si="14">B33</f>
        <v>44909</v>
      </c>
      <c r="C81" s="129">
        <f t="shared" si="14"/>
        <v>40</v>
      </c>
      <c r="D81" s="383"/>
      <c r="E81" s="384"/>
      <c r="L81" s="264"/>
      <c r="M81" s="207">
        <v>175</v>
      </c>
      <c r="N81" s="263">
        <v>40415</v>
      </c>
    </row>
    <row r="82" spans="2:14" s="203" customFormat="1">
      <c r="B82" s="481">
        <f t="shared" ref="B82:C82" si="15">B34</f>
        <v>44910</v>
      </c>
      <c r="C82" s="129">
        <f t="shared" si="15"/>
        <v>42</v>
      </c>
      <c r="D82" s="207"/>
      <c r="E82" s="207"/>
      <c r="L82" s="264"/>
      <c r="M82" s="207">
        <v>345</v>
      </c>
      <c r="N82" s="263">
        <v>46356</v>
      </c>
    </row>
    <row r="83" spans="2:14" s="203" customFormat="1">
      <c r="B83" s="481">
        <f t="shared" ref="B83:C83" si="16">B35</f>
        <v>44911</v>
      </c>
      <c r="C83" s="129">
        <f t="shared" si="16"/>
        <v>43</v>
      </c>
      <c r="D83" s="207"/>
      <c r="E83" s="207"/>
      <c r="L83" s="264"/>
      <c r="M83" s="207">
        <v>494</v>
      </c>
      <c r="N83" s="263">
        <v>52218</v>
      </c>
    </row>
    <row r="84" spans="2:14" s="203" customFormat="1">
      <c r="B84" s="481">
        <f t="shared" ref="B84:C84" si="17">B36</f>
        <v>44912</v>
      </c>
      <c r="C84" s="129">
        <f t="shared" si="17"/>
        <v>41</v>
      </c>
      <c r="D84" s="207"/>
      <c r="E84" s="207"/>
      <c r="L84" s="264"/>
      <c r="M84" s="207">
        <v>809</v>
      </c>
      <c r="N84" s="263">
        <v>65505</v>
      </c>
    </row>
    <row r="85" spans="2:14" s="203" customFormat="1">
      <c r="B85" s="481">
        <f t="shared" ref="B85:C85" si="18">B37</f>
        <v>44913</v>
      </c>
      <c r="C85" s="129">
        <f t="shared" si="18"/>
        <v>40</v>
      </c>
      <c r="D85" s="383"/>
      <c r="E85" s="384"/>
      <c r="L85" s="264"/>
      <c r="M85" s="207">
        <v>930</v>
      </c>
      <c r="N85" s="263">
        <v>69249</v>
      </c>
    </row>
    <row r="86" spans="2:14" s="203" customFormat="1">
      <c r="B86" s="481">
        <f t="shared" ref="B86:C86" si="19">B38</f>
        <v>44914</v>
      </c>
      <c r="C86" s="129">
        <f t="shared" si="19"/>
        <v>48</v>
      </c>
      <c r="D86" s="383">
        <f>C86/$D$62</f>
        <v>3.7529319781078971E-2</v>
      </c>
      <c r="E86" s="482">
        <f>D86*$E$62</f>
        <v>4666.1651915559032</v>
      </c>
      <c r="L86" s="264"/>
      <c r="M86" s="207">
        <v>1078</v>
      </c>
      <c r="N86" s="263">
        <v>79378</v>
      </c>
    </row>
    <row r="87" spans="2:14" s="203" customFormat="1">
      <c r="B87" s="481">
        <f t="shared" ref="B87:C87" si="20">B39</f>
        <v>44915</v>
      </c>
      <c r="C87" s="129">
        <f t="shared" si="20"/>
        <v>58</v>
      </c>
      <c r="D87" s="383">
        <f>C87/$D$62</f>
        <v>4.534792806880375E-2</v>
      </c>
      <c r="E87" s="482">
        <f t="shared" ref="E87:E90" si="21">D87*$E$62</f>
        <v>5638.2829397967162</v>
      </c>
      <c r="L87" s="264"/>
      <c r="M87" s="207">
        <v>1118</v>
      </c>
      <c r="N87" s="263">
        <v>80939</v>
      </c>
    </row>
    <row r="88" spans="2:14" s="203" customFormat="1">
      <c r="B88" s="481">
        <f t="shared" ref="B88:C88" si="22">B40</f>
        <v>44916</v>
      </c>
      <c r="C88" s="129">
        <f t="shared" si="22"/>
        <v>64</v>
      </c>
      <c r="D88" s="383">
        <f t="shared" ref="D88:D90" si="23">C88/$D$62</f>
        <v>5.0039093041438623E-2</v>
      </c>
      <c r="E88" s="482">
        <f t="shared" si="21"/>
        <v>6221.5535887412043</v>
      </c>
      <c r="L88" s="264"/>
      <c r="M88" s="207">
        <v>890</v>
      </c>
      <c r="N88" s="263">
        <v>72981</v>
      </c>
    </row>
    <row r="89" spans="2:14" s="203" customFormat="1">
      <c r="B89" s="481">
        <f t="shared" ref="B89:C89" si="24">B41</f>
        <v>44917</v>
      </c>
      <c r="C89" s="129">
        <f t="shared" si="24"/>
        <v>68</v>
      </c>
      <c r="D89" s="383">
        <f t="shared" si="23"/>
        <v>5.3166536356528536E-2</v>
      </c>
      <c r="E89" s="482">
        <f t="shared" si="21"/>
        <v>6610.4006880375291</v>
      </c>
      <c r="L89" s="264"/>
      <c r="M89" s="207"/>
      <c r="N89" s="263"/>
    </row>
    <row r="90" spans="2:14" s="203" customFormat="1">
      <c r="B90" s="481">
        <f t="shared" ref="B90:C90" si="25">B42</f>
        <v>44918</v>
      </c>
      <c r="C90" s="129">
        <f t="shared" si="25"/>
        <v>59</v>
      </c>
      <c r="D90" s="383">
        <f t="shared" si="23"/>
        <v>4.6129788897576234E-2</v>
      </c>
      <c r="E90" s="482">
        <f t="shared" si="21"/>
        <v>5735.4947146207978</v>
      </c>
      <c r="L90" s="264"/>
      <c r="M90" s="207"/>
      <c r="N90" s="263"/>
    </row>
    <row r="91" spans="2:14" s="203" customFormat="1">
      <c r="B91" s="481">
        <f t="shared" ref="B91:C91" si="26">B43</f>
        <v>44919</v>
      </c>
      <c r="C91" s="129">
        <f t="shared" si="26"/>
        <v>45</v>
      </c>
      <c r="D91" s="383"/>
      <c r="E91" s="384"/>
      <c r="L91" s="264"/>
      <c r="M91" s="207"/>
      <c r="N91" s="263"/>
    </row>
    <row r="92" spans="2:14" s="203" customFormat="1">
      <c r="B92" s="481">
        <f t="shared" ref="B92:C92" si="27">B44</f>
        <v>44920</v>
      </c>
      <c r="C92" s="129">
        <f t="shared" si="27"/>
        <v>37</v>
      </c>
      <c r="D92" s="263"/>
      <c r="E92" s="207"/>
      <c r="L92" s="264"/>
      <c r="M92" s="207"/>
      <c r="N92" s="263"/>
    </row>
    <row r="93" spans="2:14" s="203" customFormat="1">
      <c r="B93" s="481">
        <f t="shared" ref="B93:C93" si="28">B45</f>
        <v>44921</v>
      </c>
      <c r="C93" s="129">
        <f t="shared" si="28"/>
        <v>27</v>
      </c>
      <c r="D93" s="263"/>
      <c r="E93" s="207"/>
      <c r="L93" s="264"/>
      <c r="M93" s="207"/>
      <c r="N93" s="263"/>
    </row>
    <row r="94" spans="2:14" s="203" customFormat="1">
      <c r="B94" s="481">
        <f t="shared" ref="B94:C94" si="29">B46</f>
        <v>44922</v>
      </c>
      <c r="C94" s="129">
        <f t="shared" si="29"/>
        <v>25</v>
      </c>
      <c r="D94" s="263"/>
      <c r="E94" s="207"/>
      <c r="L94" s="264"/>
      <c r="M94" s="207"/>
      <c r="N94" s="263"/>
    </row>
    <row r="95" spans="2:14" s="203" customFormat="1">
      <c r="B95" s="481">
        <f t="shared" ref="B95:C95" si="30">B47</f>
        <v>44923</v>
      </c>
      <c r="C95" s="129">
        <f t="shared" si="30"/>
        <v>32</v>
      </c>
      <c r="D95" s="263"/>
      <c r="E95" s="207"/>
      <c r="L95" s="264"/>
      <c r="M95" s="207"/>
      <c r="N95" s="263"/>
    </row>
    <row r="96" spans="2:14" s="203" customFormat="1">
      <c r="B96" s="481">
        <f t="shared" ref="B96:C96" si="31">B48</f>
        <v>44924</v>
      </c>
      <c r="C96" s="129">
        <f t="shared" si="31"/>
        <v>32</v>
      </c>
      <c r="D96" s="263"/>
      <c r="E96" s="207"/>
      <c r="L96" s="264"/>
      <c r="M96" s="207"/>
      <c r="N96" s="263"/>
    </row>
    <row r="97" spans="1:33">
      <c r="A97" s="203"/>
      <c r="B97" s="481">
        <f t="shared" ref="B97:C97" si="32">B49</f>
        <v>44925</v>
      </c>
      <c r="C97" s="129">
        <f t="shared" si="32"/>
        <v>30</v>
      </c>
      <c r="D97" s="263"/>
      <c r="E97" s="207"/>
      <c r="F97" s="203"/>
      <c r="G97" s="203"/>
      <c r="H97" s="203"/>
      <c r="I97" s="203"/>
      <c r="K97" s="203"/>
      <c r="L97" s="264"/>
      <c r="N97" s="263"/>
      <c r="P97" s="203"/>
      <c r="Q97" s="203"/>
      <c r="R97" s="203"/>
      <c r="S97" s="203"/>
      <c r="T97" s="203"/>
      <c r="U97" s="203"/>
      <c r="V97" s="203"/>
      <c r="W97" s="203"/>
    </row>
    <row r="98" spans="1:33">
      <c r="A98" s="203"/>
      <c r="B98" s="481">
        <f t="shared" ref="B98:C98" si="33">B50</f>
        <v>44926</v>
      </c>
      <c r="C98" s="129">
        <f t="shared" si="33"/>
        <v>30</v>
      </c>
      <c r="E98" s="207"/>
      <c r="F98" s="203"/>
      <c r="G98" s="203"/>
      <c r="H98" s="203"/>
      <c r="I98" s="203"/>
      <c r="K98" s="203"/>
      <c r="L98" s="264"/>
      <c r="N98" s="263"/>
      <c r="P98" s="203"/>
      <c r="Q98" s="203"/>
      <c r="R98" s="203"/>
      <c r="S98" s="203"/>
      <c r="T98" s="203"/>
      <c r="U98" s="203"/>
      <c r="V98" s="203"/>
      <c r="W98" s="203"/>
    </row>
    <row r="99" spans="1:33">
      <c r="A99" s="203"/>
      <c r="B99" s="315">
        <f>COUNT(B65:B98)</f>
        <v>31</v>
      </c>
      <c r="C99" s="287">
        <f>SUM(C65:C98)</f>
        <v>1279</v>
      </c>
      <c r="D99" s="288">
        <f>SUM(D68:D98)</f>
        <v>0.23221266614542613</v>
      </c>
      <c r="E99" s="287">
        <f>SUM(E68:E98)</f>
        <v>28871.897122752154</v>
      </c>
      <c r="F99" s="203"/>
      <c r="G99" s="203"/>
      <c r="H99" s="203"/>
      <c r="I99" s="203"/>
      <c r="K99" s="203"/>
      <c r="L99" s="264"/>
      <c r="N99" s="263"/>
      <c r="P99" s="203"/>
      <c r="Q99" s="203"/>
      <c r="R99" s="203"/>
      <c r="S99" s="203"/>
      <c r="T99" s="203"/>
      <c r="U99" s="203"/>
      <c r="V99" s="203"/>
      <c r="W99" s="203"/>
    </row>
    <row r="100" spans="1:33">
      <c r="A100" s="203"/>
      <c r="B100" s="283"/>
      <c r="C100" s="203"/>
      <c r="D100" s="282">
        <f>5/C62</f>
        <v>0.16129032258064516</v>
      </c>
      <c r="F100" s="203"/>
      <c r="G100" s="203"/>
      <c r="H100" s="203"/>
      <c r="I100" s="203"/>
      <c r="K100" s="203"/>
      <c r="L100" s="264"/>
      <c r="N100" s="263"/>
      <c r="P100" s="203"/>
      <c r="Q100" s="203"/>
      <c r="R100" s="203"/>
      <c r="S100" s="203"/>
      <c r="T100" s="203"/>
      <c r="U100" s="203"/>
      <c r="V100" s="203"/>
      <c r="W100" s="203"/>
    </row>
    <row r="101" spans="1:33">
      <c r="A101" s="203"/>
      <c r="B101" s="315"/>
      <c r="C101" s="315"/>
      <c r="D101" s="315"/>
      <c r="E101" s="315"/>
      <c r="F101" s="203"/>
      <c r="G101" s="203"/>
      <c r="H101" s="203"/>
      <c r="I101" s="203"/>
      <c r="K101" s="203"/>
      <c r="L101" s="264"/>
      <c r="N101" s="263"/>
      <c r="P101" s="203"/>
      <c r="Q101" s="203"/>
      <c r="R101" s="203"/>
      <c r="S101" s="203"/>
      <c r="T101" s="203"/>
      <c r="U101" s="203"/>
      <c r="V101" s="203"/>
      <c r="W101" s="203"/>
    </row>
    <row r="102" spans="1:33">
      <c r="A102" s="203"/>
      <c r="B102" s="203"/>
      <c r="C102" s="203"/>
      <c r="D102" s="203"/>
      <c r="F102" s="203"/>
      <c r="G102" s="203"/>
      <c r="H102" s="203"/>
      <c r="I102" s="203"/>
      <c r="K102" s="203"/>
      <c r="L102" s="203"/>
      <c r="M102" s="203"/>
      <c r="N102" s="203"/>
      <c r="P102" s="203"/>
      <c r="Q102" s="203"/>
      <c r="R102" s="203"/>
      <c r="S102" s="203"/>
      <c r="T102" s="203"/>
      <c r="U102" s="203"/>
      <c r="V102" s="203"/>
      <c r="W102" s="203"/>
    </row>
    <row r="103" spans="1:33">
      <c r="A103" s="203"/>
      <c r="B103" s="203"/>
      <c r="C103" s="203"/>
      <c r="D103" s="203"/>
      <c r="F103" s="203"/>
      <c r="G103" s="203"/>
      <c r="H103" s="203"/>
      <c r="I103" s="203"/>
      <c r="K103" s="203"/>
      <c r="L103" s="203"/>
      <c r="M103" s="203"/>
      <c r="N103" s="203"/>
      <c r="P103" s="203"/>
      <c r="Q103" s="203"/>
      <c r="R103" s="203"/>
      <c r="S103" s="203"/>
      <c r="T103" s="203"/>
      <c r="U103" s="203"/>
      <c r="V103" s="203"/>
      <c r="W103" s="203"/>
    </row>
    <row r="104" spans="1:33">
      <c r="A104" s="203"/>
      <c r="B104" s="203"/>
      <c r="C104" s="203"/>
      <c r="D104" s="203"/>
      <c r="F104" s="203"/>
      <c r="G104" s="203"/>
      <c r="H104" s="203"/>
      <c r="I104" s="203"/>
      <c r="K104" s="203"/>
      <c r="L104" s="203"/>
      <c r="M104" s="203"/>
      <c r="N104" s="203"/>
      <c r="P104" s="203"/>
      <c r="Q104" s="203"/>
      <c r="R104" s="203"/>
      <c r="S104" s="203"/>
      <c r="T104" s="203"/>
      <c r="U104" s="203"/>
      <c r="V104" s="203"/>
      <c r="W104" s="203"/>
    </row>
    <row r="105" spans="1:33">
      <c r="B105" s="209" t="s">
        <v>1667</v>
      </c>
      <c r="C105" s="203"/>
      <c r="D105" s="203"/>
      <c r="J105" s="207"/>
      <c r="N105" s="203"/>
      <c r="P105" s="203"/>
      <c r="Q105" s="203"/>
      <c r="R105" s="203"/>
      <c r="S105" s="203"/>
      <c r="T105" s="203"/>
      <c r="U105" s="203"/>
      <c r="V105" s="203"/>
      <c r="W105" s="203"/>
    </row>
    <row r="106" spans="1:33">
      <c r="B106" s="203"/>
      <c r="C106" s="203"/>
      <c r="D106" s="203"/>
      <c r="J106" s="207"/>
      <c r="N106" s="203"/>
      <c r="P106" s="203"/>
      <c r="Q106" s="203"/>
      <c r="R106" s="203"/>
      <c r="S106" s="203"/>
      <c r="T106" s="203"/>
      <c r="U106" s="203"/>
      <c r="V106" s="203"/>
      <c r="W106" s="203"/>
    </row>
    <row r="107" spans="1:33">
      <c r="A107" s="203"/>
      <c r="B107" s="279" t="s">
        <v>1260</v>
      </c>
      <c r="C107" s="262"/>
      <c r="D107" s="262"/>
      <c r="E107" s="262"/>
      <c r="J107" s="207"/>
      <c r="N107" s="203"/>
      <c r="P107" s="203"/>
      <c r="Q107" s="203"/>
      <c r="R107" s="203"/>
      <c r="S107" s="203"/>
      <c r="T107" s="203"/>
      <c r="U107" s="203"/>
      <c r="V107" s="203"/>
      <c r="W107" s="203"/>
      <c r="AF107" s="207"/>
      <c r="AG107" s="263"/>
    </row>
    <row r="108" spans="1:33">
      <c r="B108" s="277" t="s">
        <v>879</v>
      </c>
      <c r="C108" s="277" t="s">
        <v>878</v>
      </c>
      <c r="D108" s="277" t="s">
        <v>877</v>
      </c>
      <c r="E108" s="277" t="s">
        <v>872</v>
      </c>
      <c r="J108" s="207"/>
      <c r="N108" s="203"/>
      <c r="P108" s="203"/>
      <c r="Q108" s="203"/>
      <c r="R108" s="203"/>
      <c r="S108" s="203"/>
      <c r="T108" s="203"/>
      <c r="U108" s="203"/>
      <c r="V108" s="203"/>
      <c r="W108" s="203"/>
      <c r="AF108" s="207"/>
      <c r="AG108" s="263"/>
    </row>
    <row r="109" spans="1:33">
      <c r="A109" s="263"/>
      <c r="B109" s="276">
        <f>B62</f>
        <v>44926</v>
      </c>
      <c r="C109" s="129">
        <v>31</v>
      </c>
      <c r="D109" s="275">
        <v>1279</v>
      </c>
      <c r="E109" s="275">
        <v>73597.854999999996</v>
      </c>
      <c r="F109" s="263"/>
      <c r="G109" s="263"/>
      <c r="H109" s="263"/>
      <c r="I109" s="263"/>
      <c r="K109" s="203"/>
      <c r="L109" s="203"/>
      <c r="M109" s="203"/>
      <c r="N109" s="203"/>
      <c r="P109" s="203"/>
      <c r="Q109" s="203"/>
      <c r="R109" s="203"/>
      <c r="S109" s="203"/>
      <c r="T109" s="203"/>
      <c r="U109" s="203"/>
      <c r="V109" s="203"/>
      <c r="W109" s="203"/>
    </row>
    <row r="110" spans="1:33">
      <c r="A110" s="263"/>
      <c r="B110" s="203"/>
      <c r="C110" s="264"/>
      <c r="D110" s="272"/>
      <c r="E110" s="264">
        <f>E109/C109</f>
        <v>2374.1243548387097</v>
      </c>
      <c r="F110" s="263"/>
      <c r="G110" s="263"/>
      <c r="H110" s="263"/>
      <c r="I110" s="263"/>
      <c r="K110" s="203"/>
      <c r="L110" s="203"/>
      <c r="M110" s="203"/>
      <c r="N110" s="203"/>
      <c r="P110" s="203"/>
      <c r="Q110" s="203"/>
      <c r="R110" s="203"/>
      <c r="S110" s="203"/>
      <c r="T110" s="203"/>
      <c r="U110" s="203"/>
      <c r="V110" s="203"/>
      <c r="W110" s="203"/>
    </row>
    <row r="111" spans="1:33">
      <c r="A111" s="263"/>
      <c r="B111" s="203"/>
      <c r="C111" s="264"/>
      <c r="D111" s="272"/>
      <c r="E111" s="264">
        <f>E110*5</f>
        <v>11870.621774193549</v>
      </c>
      <c r="F111" s="263"/>
      <c r="G111" s="263"/>
      <c r="H111" s="263"/>
      <c r="I111" s="263"/>
      <c r="K111" s="203"/>
      <c r="L111" s="203"/>
      <c r="M111" s="203"/>
      <c r="N111" s="203"/>
      <c r="P111" s="203"/>
      <c r="Q111" s="203"/>
      <c r="R111" s="203"/>
      <c r="S111" s="203"/>
      <c r="T111" s="203"/>
      <c r="U111" s="203"/>
      <c r="V111" s="203"/>
      <c r="W111" s="203"/>
    </row>
    <row r="112" spans="1:33">
      <c r="A112" s="203"/>
      <c r="B112" s="283"/>
      <c r="C112" s="278"/>
      <c r="D112" s="272"/>
      <c r="E112" s="264"/>
      <c r="F112" s="203"/>
      <c r="G112" s="203"/>
      <c r="H112" s="203"/>
      <c r="I112" s="203"/>
      <c r="K112" s="203"/>
      <c r="L112" s="203"/>
      <c r="M112" s="203"/>
      <c r="N112" s="203"/>
      <c r="P112" s="207">
        <v>200</v>
      </c>
      <c r="Q112" s="263">
        <v>31034</v>
      </c>
      <c r="R112" s="263"/>
      <c r="S112" s="263"/>
      <c r="T112" s="263"/>
      <c r="U112" s="263"/>
      <c r="V112" s="263"/>
      <c r="W112" s="203"/>
    </row>
    <row r="113" spans="1:23">
      <c r="A113" s="203"/>
      <c r="B113" s="283"/>
      <c r="C113" s="278"/>
      <c r="D113" s="272"/>
      <c r="E113" s="264"/>
      <c r="F113" s="203"/>
      <c r="G113" s="203"/>
      <c r="H113" s="203"/>
      <c r="I113" s="203"/>
      <c r="K113" s="203"/>
      <c r="L113" s="203"/>
      <c r="M113" s="203"/>
      <c r="N113" s="203"/>
      <c r="P113" s="207">
        <v>7</v>
      </c>
      <c r="Q113" s="263">
        <v>19207</v>
      </c>
      <c r="R113" s="263"/>
      <c r="S113" s="263"/>
      <c r="T113" s="263"/>
      <c r="U113" s="263"/>
      <c r="V113" s="263"/>
      <c r="W113" s="203"/>
    </row>
    <row r="114" spans="1:23" s="203" customFormat="1">
      <c r="B114" s="481">
        <f>B68</f>
        <v>44896</v>
      </c>
      <c r="C114" s="129">
        <f>C68</f>
        <v>39</v>
      </c>
      <c r="P114" s="207">
        <v>0</v>
      </c>
      <c r="Q114" s="263">
        <v>19834</v>
      </c>
      <c r="R114" s="263"/>
      <c r="S114" s="263"/>
      <c r="T114" s="263"/>
      <c r="U114" s="263"/>
      <c r="V114" s="263"/>
    </row>
    <row r="115" spans="1:23">
      <c r="A115" s="203"/>
      <c r="B115" s="481">
        <f t="shared" ref="B115:C115" si="34">B69</f>
        <v>44897</v>
      </c>
      <c r="C115" s="129">
        <f t="shared" si="34"/>
        <v>47</v>
      </c>
      <c r="D115" s="203"/>
      <c r="F115" s="203"/>
      <c r="G115" s="203"/>
      <c r="H115" s="203"/>
      <c r="I115" s="203"/>
      <c r="J115" s="264"/>
      <c r="K115" s="264"/>
      <c r="L115" s="264"/>
      <c r="M115" s="264"/>
      <c r="N115" s="264"/>
      <c r="O115" s="264"/>
      <c r="P115" s="207">
        <v>146</v>
      </c>
      <c r="Q115" s="263">
        <v>31146</v>
      </c>
      <c r="R115" s="263"/>
      <c r="S115" s="263"/>
      <c r="T115" s="263"/>
      <c r="U115" s="263"/>
      <c r="V115" s="263"/>
      <c r="W115" s="203"/>
    </row>
    <row r="116" spans="1:23">
      <c r="A116" s="203"/>
      <c r="B116" s="481">
        <f t="shared" ref="B116:C116" si="35">B70</f>
        <v>44898</v>
      </c>
      <c r="C116" s="129">
        <f t="shared" si="35"/>
        <v>46</v>
      </c>
      <c r="D116" s="203"/>
      <c r="F116" s="203"/>
      <c r="G116" s="203"/>
      <c r="H116" s="203"/>
      <c r="I116" s="203"/>
      <c r="J116" s="264"/>
      <c r="K116" s="264"/>
      <c r="L116" s="264"/>
      <c r="M116" s="264"/>
      <c r="N116" s="264"/>
      <c r="O116" s="264"/>
      <c r="P116" s="207">
        <v>272</v>
      </c>
      <c r="Q116" s="263">
        <v>36012</v>
      </c>
      <c r="R116" s="263"/>
      <c r="S116" s="263"/>
      <c r="T116" s="263"/>
      <c r="U116" s="263"/>
      <c r="V116" s="263"/>
      <c r="W116" s="203"/>
    </row>
    <row r="117" spans="1:23">
      <c r="A117" s="203"/>
      <c r="B117" s="481">
        <f t="shared" ref="B117:C117" si="36">B71</f>
        <v>44899</v>
      </c>
      <c r="C117" s="129">
        <f t="shared" si="36"/>
        <v>47</v>
      </c>
      <c r="D117" s="203"/>
      <c r="F117" s="203"/>
      <c r="G117" s="203"/>
      <c r="H117" s="203"/>
      <c r="I117" s="203"/>
      <c r="J117" s="264"/>
      <c r="K117" s="264"/>
      <c r="L117" s="264"/>
      <c r="M117" s="264"/>
      <c r="N117" s="264"/>
      <c r="O117" s="264"/>
      <c r="P117" s="207">
        <v>588</v>
      </c>
      <c r="Q117" s="263">
        <v>55507</v>
      </c>
      <c r="R117" s="263"/>
      <c r="S117" s="263"/>
      <c r="T117" s="263"/>
      <c r="U117" s="263"/>
      <c r="V117" s="263"/>
      <c r="W117" s="203"/>
    </row>
    <row r="118" spans="1:23">
      <c r="A118" s="203"/>
      <c r="B118" s="481">
        <f t="shared" ref="B118:C118" si="37">B72</f>
        <v>44900</v>
      </c>
      <c r="C118" s="129">
        <f t="shared" si="37"/>
        <v>43</v>
      </c>
      <c r="D118" s="203"/>
      <c r="F118" s="203"/>
      <c r="G118" s="203"/>
      <c r="H118" s="203"/>
      <c r="I118" s="203"/>
      <c r="J118" s="264"/>
      <c r="K118" s="264"/>
      <c r="L118" s="264"/>
      <c r="M118" s="264"/>
      <c r="N118" s="264"/>
      <c r="O118" s="264"/>
      <c r="P118" s="207">
        <v>703</v>
      </c>
      <c r="Q118" s="263">
        <v>63637</v>
      </c>
      <c r="R118" s="263"/>
      <c r="S118" s="263"/>
      <c r="T118" s="263"/>
      <c r="U118" s="263"/>
      <c r="V118" s="263"/>
      <c r="W118" s="203"/>
    </row>
    <row r="119" spans="1:23">
      <c r="A119" s="203"/>
      <c r="B119" s="481">
        <f t="shared" ref="B119:C119" si="38">B73</f>
        <v>44901</v>
      </c>
      <c r="C119" s="129">
        <f t="shared" si="38"/>
        <v>42</v>
      </c>
      <c r="D119" s="383"/>
      <c r="E119" s="384"/>
      <c r="F119" s="203"/>
      <c r="G119" s="203"/>
      <c r="H119" s="203"/>
      <c r="I119" s="203"/>
      <c r="J119" s="264"/>
      <c r="K119" s="264"/>
      <c r="L119" s="264"/>
      <c r="M119" s="264"/>
      <c r="N119" s="264"/>
      <c r="O119" s="264"/>
      <c r="P119" s="207">
        <v>902</v>
      </c>
      <c r="Q119" s="263">
        <v>69787</v>
      </c>
      <c r="R119" s="263"/>
      <c r="S119" s="263"/>
      <c r="T119" s="263"/>
      <c r="U119" s="263"/>
      <c r="V119" s="263"/>
      <c r="W119" s="203"/>
    </row>
    <row r="120" spans="1:23">
      <c r="A120" s="203"/>
      <c r="B120" s="481">
        <f t="shared" ref="B120:C120" si="39">B74</f>
        <v>44902</v>
      </c>
      <c r="C120" s="129">
        <f t="shared" si="39"/>
        <v>39</v>
      </c>
      <c r="D120" s="383"/>
      <c r="E120" s="384"/>
      <c r="F120" s="203"/>
      <c r="G120" s="203"/>
      <c r="H120" s="203"/>
      <c r="I120" s="203"/>
      <c r="J120" s="264"/>
      <c r="K120" s="264"/>
      <c r="L120" s="264"/>
      <c r="M120" s="264"/>
      <c r="N120" s="264"/>
      <c r="O120" s="264"/>
      <c r="P120" s="207">
        <v>1350</v>
      </c>
      <c r="Q120" s="263">
        <v>95998</v>
      </c>
      <c r="R120" s="263"/>
      <c r="S120" s="263"/>
      <c r="T120" s="263"/>
      <c r="U120" s="263"/>
      <c r="V120" s="263"/>
      <c r="W120" s="203"/>
    </row>
    <row r="121" spans="1:23">
      <c r="A121" s="203"/>
      <c r="B121" s="481">
        <f t="shared" ref="B121:C121" si="40">B75</f>
        <v>44903</v>
      </c>
      <c r="C121" s="129">
        <f t="shared" si="40"/>
        <v>39</v>
      </c>
      <c r="D121" s="383"/>
      <c r="E121" s="384"/>
      <c r="F121" s="203"/>
      <c r="G121" s="203"/>
      <c r="H121" s="203"/>
      <c r="I121" s="203"/>
      <c r="J121" s="264"/>
      <c r="K121" s="264"/>
      <c r="L121" s="264"/>
      <c r="M121" s="264"/>
      <c r="N121" s="264"/>
      <c r="O121" s="264"/>
      <c r="P121" s="207">
        <v>924</v>
      </c>
      <c r="Q121" s="263">
        <v>73310</v>
      </c>
      <c r="R121" s="263"/>
      <c r="S121" s="263"/>
      <c r="T121" s="263"/>
      <c r="U121" s="263"/>
      <c r="V121" s="263"/>
      <c r="W121" s="203"/>
    </row>
    <row r="122" spans="1:23">
      <c r="A122" s="203"/>
      <c r="B122" s="481">
        <f t="shared" ref="B122:C122" si="41">B76</f>
        <v>44904</v>
      </c>
      <c r="C122" s="129">
        <f t="shared" si="41"/>
        <v>36</v>
      </c>
      <c r="D122" s="383"/>
      <c r="E122" s="384"/>
      <c r="F122" s="203"/>
      <c r="G122" s="203"/>
      <c r="H122" s="203"/>
      <c r="I122" s="203"/>
      <c r="J122" s="264"/>
      <c r="K122" s="264"/>
      <c r="L122" s="264"/>
      <c r="M122" s="264"/>
      <c r="N122" s="264"/>
      <c r="O122" s="264"/>
      <c r="P122" s="207">
        <v>828</v>
      </c>
      <c r="Q122" s="263">
        <v>71957</v>
      </c>
      <c r="R122" s="263"/>
      <c r="S122" s="263"/>
      <c r="T122" s="263"/>
      <c r="U122" s="263"/>
      <c r="V122" s="263"/>
      <c r="W122" s="203"/>
    </row>
    <row r="123" spans="1:23">
      <c r="A123" s="203"/>
      <c r="B123" s="481">
        <f t="shared" ref="B123:C123" si="42">B77</f>
        <v>44905</v>
      </c>
      <c r="C123" s="129">
        <f t="shared" si="42"/>
        <v>31</v>
      </c>
      <c r="D123" s="383"/>
      <c r="E123" s="384"/>
      <c r="F123" s="203"/>
      <c r="G123" s="203"/>
      <c r="H123" s="203"/>
      <c r="I123" s="203"/>
      <c r="J123" s="264"/>
      <c r="K123" s="264"/>
      <c r="L123" s="264"/>
      <c r="M123" s="264"/>
      <c r="N123" s="264"/>
      <c r="O123" s="264"/>
      <c r="P123" s="207">
        <v>431</v>
      </c>
      <c r="Q123" s="263">
        <v>42234</v>
      </c>
      <c r="R123" s="263"/>
      <c r="S123" s="263"/>
      <c r="T123" s="263"/>
      <c r="U123" s="263"/>
      <c r="V123" s="263"/>
      <c r="W123" s="203"/>
    </row>
    <row r="124" spans="1:23">
      <c r="A124" s="203"/>
      <c r="B124" s="481">
        <f t="shared" ref="B124:C124" si="43">B78</f>
        <v>44906</v>
      </c>
      <c r="C124" s="129">
        <f t="shared" si="43"/>
        <v>32</v>
      </c>
      <c r="D124" s="383"/>
      <c r="E124" s="384"/>
      <c r="F124" s="203"/>
      <c r="G124" s="203"/>
      <c r="H124" s="203"/>
      <c r="I124" s="203"/>
      <c r="J124" s="264"/>
      <c r="K124" s="264"/>
      <c r="L124" s="264"/>
      <c r="M124" s="264"/>
      <c r="N124" s="264"/>
      <c r="O124" s="264"/>
      <c r="P124" s="207">
        <v>69</v>
      </c>
      <c r="Q124" s="263">
        <v>30272</v>
      </c>
      <c r="R124" s="263"/>
      <c r="S124" s="263"/>
      <c r="T124" s="263"/>
      <c r="U124" s="263"/>
      <c r="V124" s="263"/>
      <c r="W124" s="203"/>
    </row>
    <row r="125" spans="1:23">
      <c r="A125" s="203"/>
      <c r="B125" s="481">
        <f t="shared" ref="B125:C125" si="44">B79</f>
        <v>44907</v>
      </c>
      <c r="C125" s="129">
        <f t="shared" si="44"/>
        <v>37</v>
      </c>
      <c r="D125" s="383"/>
      <c r="E125" s="384"/>
      <c r="F125" s="203"/>
      <c r="G125" s="203"/>
      <c r="H125" s="203"/>
      <c r="I125" s="203"/>
      <c r="J125" s="264"/>
      <c r="K125" s="264"/>
      <c r="L125" s="264"/>
      <c r="M125" s="264"/>
      <c r="N125" s="264"/>
      <c r="O125" s="264"/>
      <c r="P125" s="207">
        <v>9</v>
      </c>
      <c r="Q125" s="263">
        <v>21285</v>
      </c>
      <c r="R125" s="263"/>
      <c r="S125" s="263"/>
      <c r="T125" s="263"/>
      <c r="U125" s="263"/>
      <c r="V125" s="263"/>
      <c r="W125" s="203"/>
    </row>
    <row r="126" spans="1:23">
      <c r="A126" s="203"/>
      <c r="B126" s="481">
        <f t="shared" ref="B126:C126" si="45">B80</f>
        <v>44908</v>
      </c>
      <c r="C126" s="129">
        <f t="shared" si="45"/>
        <v>40</v>
      </c>
      <c r="D126" s="383"/>
      <c r="E126" s="384"/>
      <c r="F126" s="203"/>
      <c r="G126" s="203"/>
      <c r="H126" s="203"/>
      <c r="I126" s="203"/>
      <c r="J126" s="264"/>
      <c r="K126" s="264"/>
      <c r="L126" s="264"/>
      <c r="M126" s="264"/>
      <c r="N126" s="264"/>
      <c r="O126" s="264"/>
      <c r="P126" s="207">
        <v>20</v>
      </c>
      <c r="Q126" s="263">
        <v>25552</v>
      </c>
      <c r="R126" s="263"/>
      <c r="S126" s="263"/>
      <c r="T126" s="263"/>
      <c r="U126" s="263"/>
      <c r="V126" s="263"/>
      <c r="W126" s="203"/>
    </row>
    <row r="127" spans="1:23">
      <c r="A127" s="203"/>
      <c r="B127" s="481">
        <f t="shared" ref="B127:C127" si="46">B81</f>
        <v>44909</v>
      </c>
      <c r="C127" s="129">
        <f t="shared" si="46"/>
        <v>40</v>
      </c>
      <c r="D127" s="383"/>
      <c r="E127" s="384"/>
      <c r="F127" s="203"/>
      <c r="G127" s="203"/>
      <c r="H127" s="203"/>
      <c r="I127" s="203"/>
      <c r="J127" s="264"/>
      <c r="K127" s="264"/>
      <c r="L127" s="264"/>
      <c r="M127" s="264"/>
      <c r="N127" s="264"/>
      <c r="O127" s="264"/>
      <c r="P127" s="207">
        <v>175</v>
      </c>
      <c r="Q127" s="263">
        <v>34430</v>
      </c>
      <c r="R127" s="263"/>
      <c r="S127" s="263"/>
      <c r="T127" s="263"/>
      <c r="U127" s="263"/>
      <c r="V127" s="263"/>
      <c r="W127" s="203"/>
    </row>
    <row r="128" spans="1:23">
      <c r="A128" s="203"/>
      <c r="B128" s="481">
        <f t="shared" ref="B128:C128" si="47">B82</f>
        <v>44910</v>
      </c>
      <c r="C128" s="129">
        <f t="shared" si="47"/>
        <v>42</v>
      </c>
      <c r="E128" s="207"/>
      <c r="F128" s="203"/>
      <c r="G128" s="203"/>
      <c r="H128" s="203"/>
      <c r="I128" s="203"/>
      <c r="J128" s="264"/>
      <c r="K128" s="264"/>
      <c r="L128" s="264"/>
      <c r="M128" s="264"/>
      <c r="N128" s="264"/>
      <c r="O128" s="264"/>
      <c r="P128" s="207">
        <v>345</v>
      </c>
      <c r="Q128" s="263">
        <v>45449</v>
      </c>
      <c r="R128" s="263"/>
      <c r="S128" s="263"/>
      <c r="T128" s="263"/>
      <c r="U128" s="263"/>
      <c r="V128" s="263"/>
      <c r="W128" s="203"/>
    </row>
    <row r="129" spans="1:23">
      <c r="A129" s="203"/>
      <c r="B129" s="481">
        <f t="shared" ref="B129:C129" si="48">B83</f>
        <v>44911</v>
      </c>
      <c r="C129" s="129">
        <f t="shared" si="48"/>
        <v>43</v>
      </c>
      <c r="E129" s="207"/>
      <c r="F129" s="203"/>
      <c r="G129" s="203"/>
      <c r="H129" s="203"/>
      <c r="I129" s="203"/>
      <c r="J129" s="264"/>
      <c r="K129" s="264"/>
      <c r="L129" s="264"/>
      <c r="M129" s="264"/>
      <c r="N129" s="264"/>
      <c r="O129" s="264"/>
      <c r="P129" s="207">
        <v>537</v>
      </c>
      <c r="Q129" s="263">
        <v>58001</v>
      </c>
      <c r="R129" s="263"/>
      <c r="S129" s="263"/>
      <c r="T129" s="263"/>
      <c r="U129" s="263"/>
      <c r="V129" s="263"/>
      <c r="W129" s="203"/>
    </row>
    <row r="130" spans="1:23">
      <c r="A130" s="203"/>
      <c r="B130" s="481">
        <f t="shared" ref="B130:C130" si="49">B84</f>
        <v>44912</v>
      </c>
      <c r="C130" s="129">
        <f t="shared" si="49"/>
        <v>41</v>
      </c>
      <c r="E130" s="207"/>
      <c r="F130" s="203"/>
      <c r="G130" s="203"/>
      <c r="H130" s="203"/>
      <c r="I130" s="203"/>
      <c r="J130" s="264"/>
      <c r="K130" s="264"/>
      <c r="L130" s="264"/>
      <c r="M130" s="264"/>
      <c r="N130" s="264"/>
      <c r="O130" s="264"/>
      <c r="P130" s="207">
        <v>766</v>
      </c>
      <c r="Q130" s="263">
        <v>67390</v>
      </c>
      <c r="R130" s="263"/>
      <c r="S130" s="263"/>
      <c r="T130" s="263"/>
      <c r="U130" s="263"/>
      <c r="V130" s="263"/>
      <c r="W130" s="203"/>
    </row>
    <row r="131" spans="1:23">
      <c r="A131" s="203"/>
      <c r="B131" s="481">
        <f t="shared" ref="B131:C131" si="50">B85</f>
        <v>44913</v>
      </c>
      <c r="C131" s="129">
        <f t="shared" si="50"/>
        <v>40</v>
      </c>
      <c r="D131" s="383"/>
      <c r="E131" s="384"/>
      <c r="F131" s="203"/>
      <c r="G131" s="203"/>
      <c r="H131" s="203"/>
      <c r="I131" s="203"/>
      <c r="J131" s="264"/>
      <c r="K131" s="264"/>
      <c r="L131" s="264"/>
      <c r="M131" s="264"/>
      <c r="N131" s="264"/>
      <c r="O131" s="264"/>
      <c r="P131" s="207">
        <v>957</v>
      </c>
      <c r="Q131" s="263">
        <v>75130</v>
      </c>
      <c r="R131" s="263"/>
      <c r="S131" s="263"/>
      <c r="T131" s="263"/>
      <c r="U131" s="263"/>
      <c r="V131" s="263"/>
      <c r="W131" s="203"/>
    </row>
    <row r="132" spans="1:23">
      <c r="A132" s="203"/>
      <c r="B132" s="481">
        <f t="shared" ref="B132:C132" si="51">B86</f>
        <v>44914</v>
      </c>
      <c r="C132" s="129">
        <f t="shared" si="51"/>
        <v>48</v>
      </c>
      <c r="D132" s="383">
        <f>C132/$D$109</f>
        <v>3.7529319781078971E-2</v>
      </c>
      <c r="E132" s="482">
        <f>D132*$E$109</f>
        <v>2762.0774354964815</v>
      </c>
      <c r="F132" s="203"/>
      <c r="G132" s="203"/>
      <c r="H132" s="203"/>
      <c r="I132" s="203"/>
      <c r="J132" s="264"/>
      <c r="K132" s="264"/>
      <c r="L132" s="264"/>
      <c r="M132" s="264"/>
      <c r="N132" s="264"/>
      <c r="O132" s="264"/>
      <c r="P132" s="207">
        <v>1086</v>
      </c>
      <c r="Q132" s="263">
        <v>83372</v>
      </c>
      <c r="R132" s="263"/>
      <c r="S132" s="263"/>
      <c r="T132" s="263"/>
      <c r="U132" s="263"/>
      <c r="V132" s="263"/>
      <c r="W132" s="203"/>
    </row>
    <row r="133" spans="1:23">
      <c r="A133" s="203"/>
      <c r="B133" s="481">
        <f t="shared" ref="B133:C133" si="52">B87</f>
        <v>44915</v>
      </c>
      <c r="C133" s="129">
        <f t="shared" si="52"/>
        <v>58</v>
      </c>
      <c r="D133" s="383">
        <f t="shared" ref="D133:D136" si="53">C133/$D$109</f>
        <v>4.534792806880375E-2</v>
      </c>
      <c r="E133" s="482">
        <f t="shared" ref="E133:E136" si="54">D133*$E$109</f>
        <v>3337.5102345582482</v>
      </c>
      <c r="F133" s="203"/>
      <c r="G133" s="203"/>
      <c r="H133" s="203"/>
      <c r="I133" s="203"/>
      <c r="J133" s="264"/>
      <c r="K133" s="264"/>
      <c r="L133" s="264"/>
      <c r="M133" s="264"/>
      <c r="N133" s="264"/>
      <c r="O133" s="264"/>
      <c r="P133" s="207">
        <v>1049</v>
      </c>
      <c r="Q133" s="263">
        <v>81039</v>
      </c>
      <c r="R133" s="263"/>
      <c r="S133" s="263"/>
      <c r="T133" s="263"/>
      <c r="U133" s="263"/>
      <c r="V133" s="263"/>
      <c r="W133" s="203"/>
    </row>
    <row r="134" spans="1:23">
      <c r="A134" s="203"/>
      <c r="B134" s="481">
        <f t="shared" ref="B134:C134" si="55">B88</f>
        <v>44916</v>
      </c>
      <c r="C134" s="129">
        <f t="shared" si="55"/>
        <v>64</v>
      </c>
      <c r="D134" s="383">
        <f t="shared" si="53"/>
        <v>5.0039093041438623E-2</v>
      </c>
      <c r="E134" s="482">
        <f t="shared" si="54"/>
        <v>3682.7699139953088</v>
      </c>
      <c r="F134" s="203"/>
      <c r="G134" s="203"/>
      <c r="H134" s="203"/>
      <c r="I134" s="203"/>
      <c r="J134" s="264"/>
      <c r="K134" s="264"/>
      <c r="L134" s="264"/>
      <c r="M134" s="264"/>
      <c r="N134" s="264"/>
      <c r="O134" s="264"/>
      <c r="P134" s="207">
        <v>992</v>
      </c>
      <c r="Q134" s="263">
        <v>81249</v>
      </c>
      <c r="R134" s="263"/>
      <c r="S134" s="263"/>
      <c r="T134" s="263"/>
      <c r="U134" s="263"/>
      <c r="V134" s="263"/>
      <c r="W134" s="203"/>
    </row>
    <row r="135" spans="1:23">
      <c r="A135" s="203"/>
      <c r="B135" s="481">
        <f t="shared" ref="B135:C135" si="56">B89</f>
        <v>44917</v>
      </c>
      <c r="C135" s="129">
        <f t="shared" si="56"/>
        <v>68</v>
      </c>
      <c r="D135" s="383">
        <f t="shared" si="53"/>
        <v>5.3166536356528536E-2</v>
      </c>
      <c r="E135" s="482">
        <f t="shared" si="54"/>
        <v>3912.9430336200153</v>
      </c>
      <c r="F135" s="203"/>
      <c r="G135" s="203"/>
      <c r="H135" s="203"/>
      <c r="I135" s="203"/>
      <c r="J135" s="264"/>
      <c r="K135" s="264"/>
      <c r="L135" s="264"/>
      <c r="M135" s="264"/>
      <c r="N135" s="264"/>
      <c r="O135" s="264"/>
      <c r="P135" s="207">
        <v>449</v>
      </c>
      <c r="Q135" s="263">
        <v>47057</v>
      </c>
      <c r="R135" s="263"/>
      <c r="S135" s="263"/>
      <c r="T135" s="263"/>
      <c r="U135" s="263"/>
      <c r="V135" s="263"/>
      <c r="W135" s="203"/>
    </row>
    <row r="136" spans="1:23">
      <c r="A136" s="203"/>
      <c r="B136" s="481">
        <f t="shared" ref="B136:C136" si="57">B90</f>
        <v>44918</v>
      </c>
      <c r="C136" s="129">
        <f t="shared" si="57"/>
        <v>59</v>
      </c>
      <c r="D136" s="383">
        <f t="shared" si="53"/>
        <v>4.6129788897576234E-2</v>
      </c>
      <c r="E136" s="482">
        <f t="shared" si="54"/>
        <v>3395.0535144644255</v>
      </c>
      <c r="F136" s="203"/>
      <c r="G136" s="203"/>
      <c r="H136" s="203"/>
      <c r="I136" s="203"/>
      <c r="J136" s="264"/>
      <c r="K136" s="264"/>
      <c r="L136" s="264"/>
      <c r="M136" s="264"/>
      <c r="N136" s="264"/>
      <c r="O136" s="264"/>
      <c r="P136" s="207">
        <v>104</v>
      </c>
      <c r="Q136" s="263">
        <v>29404</v>
      </c>
      <c r="R136" s="263"/>
      <c r="S136" s="263"/>
      <c r="T136" s="263"/>
      <c r="U136" s="263"/>
      <c r="V136" s="263"/>
      <c r="W136" s="203"/>
    </row>
    <row r="137" spans="1:23">
      <c r="A137" s="203"/>
      <c r="B137" s="481">
        <f t="shared" ref="B137:C137" si="58">B91</f>
        <v>44919</v>
      </c>
      <c r="C137" s="129">
        <f t="shared" si="58"/>
        <v>45</v>
      </c>
      <c r="D137" s="383"/>
      <c r="E137" s="384"/>
      <c r="F137" s="203"/>
      <c r="G137" s="203"/>
      <c r="H137" s="203"/>
      <c r="I137" s="203"/>
      <c r="J137" s="264"/>
      <c r="K137" s="264"/>
      <c r="L137" s="264"/>
      <c r="M137" s="264"/>
      <c r="N137" s="264"/>
      <c r="O137" s="264"/>
      <c r="P137" s="207">
        <v>2</v>
      </c>
      <c r="Q137" s="263">
        <v>20338</v>
      </c>
      <c r="R137" s="263"/>
      <c r="S137" s="263"/>
      <c r="T137" s="263"/>
      <c r="U137" s="263"/>
      <c r="V137" s="263"/>
      <c r="W137" s="203"/>
    </row>
    <row r="138" spans="1:23">
      <c r="A138" s="203"/>
      <c r="B138" s="481">
        <f t="shared" ref="B138:C138" si="59">B92</f>
        <v>44920</v>
      </c>
      <c r="C138" s="129">
        <f t="shared" si="59"/>
        <v>37</v>
      </c>
      <c r="D138" s="263"/>
      <c r="E138" s="207"/>
      <c r="F138" s="203"/>
      <c r="G138" s="203"/>
      <c r="H138" s="203"/>
      <c r="I138" s="203"/>
      <c r="J138" s="264"/>
      <c r="K138" s="264"/>
      <c r="L138" s="264"/>
      <c r="M138" s="264"/>
      <c r="N138" s="264"/>
      <c r="O138" s="264"/>
      <c r="P138" s="207">
        <v>45</v>
      </c>
      <c r="Q138" s="263">
        <v>25688</v>
      </c>
      <c r="R138" s="263"/>
      <c r="S138" s="263"/>
      <c r="T138" s="263"/>
      <c r="U138" s="263"/>
      <c r="V138" s="263"/>
      <c r="W138" s="203"/>
    </row>
    <row r="139" spans="1:23">
      <c r="A139" s="203"/>
      <c r="B139" s="481">
        <f t="shared" ref="B139:C139" si="60">B93</f>
        <v>44921</v>
      </c>
      <c r="C139" s="129">
        <f t="shared" si="60"/>
        <v>27</v>
      </c>
      <c r="D139" s="263"/>
      <c r="E139" s="207"/>
      <c r="F139" s="203"/>
      <c r="G139" s="203"/>
      <c r="H139" s="203"/>
      <c r="I139" s="203"/>
      <c r="J139" s="264"/>
      <c r="K139" s="264"/>
      <c r="L139" s="264"/>
      <c r="M139" s="264"/>
      <c r="N139" s="264"/>
      <c r="O139" s="264"/>
      <c r="P139" s="207">
        <v>235</v>
      </c>
      <c r="Q139" s="263">
        <v>37486</v>
      </c>
      <c r="R139" s="263"/>
      <c r="S139" s="263"/>
      <c r="T139" s="263"/>
      <c r="U139" s="263"/>
      <c r="V139" s="263"/>
      <c r="W139" s="203"/>
    </row>
    <row r="140" spans="1:23">
      <c r="A140" s="203"/>
      <c r="B140" s="481">
        <f t="shared" ref="B140:C140" si="61">B94</f>
        <v>44922</v>
      </c>
      <c r="C140" s="129">
        <f t="shared" si="61"/>
        <v>25</v>
      </c>
      <c r="D140" s="263"/>
      <c r="E140" s="207"/>
      <c r="F140" s="203"/>
      <c r="G140" s="203"/>
      <c r="H140" s="203"/>
      <c r="I140" s="203"/>
      <c r="J140" s="264"/>
      <c r="K140" s="264"/>
      <c r="L140" s="264"/>
      <c r="M140" s="264"/>
      <c r="N140" s="264"/>
      <c r="O140" s="264"/>
      <c r="P140" s="207">
        <v>421</v>
      </c>
      <c r="Q140" s="263">
        <v>46787</v>
      </c>
      <c r="R140" s="263"/>
      <c r="S140" s="263"/>
      <c r="T140" s="263"/>
      <c r="U140" s="263"/>
      <c r="V140" s="263"/>
      <c r="W140" s="203"/>
    </row>
    <row r="141" spans="1:23">
      <c r="A141" s="203"/>
      <c r="B141" s="481">
        <f t="shared" ref="B141:C141" si="62">B95</f>
        <v>44923</v>
      </c>
      <c r="C141" s="129">
        <f t="shared" si="62"/>
        <v>32</v>
      </c>
      <c r="D141" s="263"/>
      <c r="E141" s="207"/>
      <c r="F141" s="203"/>
      <c r="G141" s="203"/>
      <c r="H141" s="203"/>
      <c r="I141" s="203"/>
      <c r="J141" s="264"/>
      <c r="K141" s="264"/>
      <c r="L141" s="264"/>
      <c r="M141" s="264"/>
      <c r="N141" s="264"/>
      <c r="O141" s="264"/>
      <c r="P141" s="207">
        <v>683</v>
      </c>
      <c r="Q141" s="263">
        <v>61271</v>
      </c>
      <c r="R141" s="263"/>
      <c r="S141" s="263"/>
      <c r="T141" s="263"/>
      <c r="U141" s="263"/>
      <c r="V141" s="263"/>
      <c r="W141" s="203"/>
    </row>
    <row r="142" spans="1:23">
      <c r="A142" s="203"/>
      <c r="B142" s="481">
        <f t="shared" ref="B142:C142" si="63">B96</f>
        <v>44924</v>
      </c>
      <c r="C142" s="129">
        <f t="shared" si="63"/>
        <v>32</v>
      </c>
      <c r="D142" s="263"/>
      <c r="E142" s="207"/>
      <c r="F142" s="203"/>
      <c r="G142" s="203"/>
      <c r="H142" s="203"/>
      <c r="I142" s="203"/>
      <c r="J142" s="264"/>
      <c r="K142" s="264"/>
      <c r="L142" s="264"/>
      <c r="M142" s="264"/>
      <c r="N142" s="264"/>
      <c r="O142" s="264"/>
      <c r="P142" s="207">
        <v>737</v>
      </c>
      <c r="Q142" s="263">
        <v>62438</v>
      </c>
      <c r="R142" s="263"/>
      <c r="S142" s="263"/>
      <c r="T142" s="263"/>
      <c r="U142" s="263"/>
      <c r="V142" s="263"/>
      <c r="W142" s="203"/>
    </row>
    <row r="143" spans="1:23">
      <c r="A143" s="203"/>
      <c r="B143" s="481">
        <f t="shared" ref="B143:C143" si="64">B97</f>
        <v>44925</v>
      </c>
      <c r="C143" s="129">
        <f t="shared" si="64"/>
        <v>30</v>
      </c>
      <c r="D143" s="263"/>
      <c r="E143" s="207"/>
      <c r="F143" s="203"/>
      <c r="G143" s="203"/>
      <c r="H143" s="203"/>
      <c r="I143" s="203"/>
      <c r="J143" s="264"/>
      <c r="K143" s="264"/>
      <c r="L143" s="264"/>
      <c r="M143" s="264"/>
      <c r="N143" s="264"/>
      <c r="O143" s="264"/>
      <c r="P143" s="207">
        <v>1141</v>
      </c>
      <c r="Q143" s="263">
        <v>81893</v>
      </c>
      <c r="R143" s="263"/>
      <c r="S143" s="263"/>
      <c r="T143" s="263"/>
      <c r="U143" s="263"/>
      <c r="V143" s="263"/>
      <c r="W143" s="203"/>
    </row>
    <row r="144" spans="1:23">
      <c r="A144" s="203"/>
      <c r="B144" s="481">
        <f t="shared" ref="B144:C144" si="65">B98</f>
        <v>44926</v>
      </c>
      <c r="C144" s="129">
        <f t="shared" si="65"/>
        <v>30</v>
      </c>
      <c r="E144" s="207"/>
      <c r="F144" s="203"/>
      <c r="G144" s="203"/>
      <c r="H144" s="203"/>
      <c r="I144" s="203"/>
      <c r="J144" s="264"/>
      <c r="K144" s="264"/>
      <c r="L144" s="264"/>
      <c r="M144" s="264"/>
      <c r="N144" s="264"/>
      <c r="O144" s="264"/>
      <c r="P144" s="207">
        <v>853</v>
      </c>
      <c r="Q144" s="263">
        <v>63213</v>
      </c>
      <c r="R144" s="263"/>
      <c r="S144" s="263"/>
      <c r="T144" s="263"/>
      <c r="U144" s="263"/>
      <c r="V144" s="263"/>
      <c r="W144" s="203"/>
    </row>
    <row r="145" spans="1:23">
      <c r="A145" s="203"/>
      <c r="B145" s="315">
        <f>COUNT(B112:B144)</f>
        <v>31</v>
      </c>
      <c r="C145" s="287">
        <f>SUM(C112:C144)</f>
        <v>1279</v>
      </c>
      <c r="D145" s="288">
        <f>SUM(D114:D144)</f>
        <v>0.23221266614542613</v>
      </c>
      <c r="E145" s="287">
        <f>SUM(E114:E144)</f>
        <v>17090.354132134478</v>
      </c>
      <c r="F145" s="203"/>
      <c r="G145" s="203"/>
      <c r="H145" s="203"/>
      <c r="I145" s="203"/>
      <c r="J145" s="264"/>
      <c r="K145" s="264"/>
      <c r="L145" s="264"/>
      <c r="M145" s="264"/>
      <c r="N145" s="264"/>
      <c r="O145" s="264"/>
      <c r="P145" s="207">
        <v>1029</v>
      </c>
      <c r="Q145" s="263">
        <v>73677</v>
      </c>
      <c r="R145" s="263"/>
      <c r="S145" s="263"/>
      <c r="T145" s="263"/>
      <c r="U145" s="263"/>
      <c r="V145" s="263"/>
      <c r="W145" s="203"/>
    </row>
    <row r="146" spans="1:23">
      <c r="A146" s="203"/>
      <c r="B146" s="283"/>
      <c r="C146" s="203"/>
      <c r="D146" s="282">
        <f>5/C109</f>
        <v>0.16129032258064516</v>
      </c>
      <c r="F146" s="203"/>
      <c r="G146" s="203"/>
      <c r="H146" s="203"/>
      <c r="I146" s="203"/>
      <c r="J146" s="264"/>
      <c r="K146" s="264"/>
      <c r="L146" s="264"/>
      <c r="M146" s="264"/>
      <c r="N146" s="264"/>
      <c r="O146" s="264"/>
      <c r="P146" s="207">
        <v>1035</v>
      </c>
      <c r="Q146" s="263">
        <v>75617</v>
      </c>
      <c r="R146" s="263"/>
      <c r="S146" s="263"/>
      <c r="T146" s="263"/>
      <c r="U146" s="263"/>
      <c r="V146" s="263"/>
      <c r="W146" s="203"/>
    </row>
    <row r="147" spans="1:23">
      <c r="A147" s="263"/>
      <c r="B147" s="315"/>
      <c r="C147" s="315"/>
      <c r="D147" s="315"/>
      <c r="E147" s="315"/>
      <c r="F147" s="263"/>
      <c r="G147" s="263"/>
      <c r="H147" s="263"/>
      <c r="I147" s="263"/>
      <c r="K147" s="203"/>
      <c r="L147" s="203"/>
      <c r="M147" s="203"/>
      <c r="N147" s="203"/>
      <c r="P147" s="203"/>
      <c r="Q147" s="203"/>
      <c r="R147" s="203"/>
      <c r="S147" s="203"/>
      <c r="T147" s="203"/>
      <c r="U147" s="203"/>
      <c r="V147" s="203"/>
      <c r="W147" s="203"/>
    </row>
    <row r="148" spans="1:23">
      <c r="B148" s="203"/>
      <c r="C148" s="203"/>
      <c r="D148" s="203"/>
      <c r="K148" s="203"/>
      <c r="L148" s="203"/>
      <c r="M148" s="203"/>
      <c r="N148" s="203"/>
      <c r="P148" s="203"/>
      <c r="Q148" s="203"/>
      <c r="R148" s="203"/>
      <c r="S148" s="203"/>
      <c r="T148" s="203"/>
      <c r="U148" s="203"/>
      <c r="V148" s="203"/>
      <c r="W148" s="203"/>
    </row>
    <row r="149" spans="1:23">
      <c r="E149" s="207"/>
      <c r="K149" s="203"/>
      <c r="L149" s="203"/>
      <c r="M149" s="203"/>
      <c r="N149" s="203"/>
      <c r="P149" s="203"/>
      <c r="Q149" s="203"/>
      <c r="R149" s="203"/>
      <c r="S149" s="203"/>
      <c r="T149" s="203"/>
      <c r="U149" s="203"/>
      <c r="V149" s="203"/>
      <c r="W149" s="203"/>
    </row>
    <row r="150" spans="1:23" ht="13.5" customHeight="1">
      <c r="B150" s="203"/>
      <c r="C150" s="203"/>
      <c r="D150" s="203"/>
      <c r="J150" s="207"/>
      <c r="N150" s="203"/>
      <c r="P150" s="203"/>
      <c r="Q150" s="203"/>
      <c r="R150" s="203"/>
      <c r="S150" s="203"/>
      <c r="T150" s="203"/>
      <c r="U150" s="203"/>
      <c r="V150" s="203"/>
      <c r="W150" s="203"/>
    </row>
    <row r="151" spans="1:23">
      <c r="J151" s="207"/>
      <c r="N151" s="203"/>
      <c r="P151" s="203"/>
      <c r="Q151" s="203"/>
      <c r="R151" s="203"/>
      <c r="S151" s="203"/>
      <c r="T151" s="203"/>
      <c r="U151" s="203"/>
      <c r="V151" s="203"/>
      <c r="W151" s="203"/>
    </row>
    <row r="152" spans="1:23" ht="15.75">
      <c r="B152" s="767" t="s">
        <v>1650</v>
      </c>
      <c r="J152" s="207"/>
      <c r="N152" s="203"/>
      <c r="P152" s="203"/>
      <c r="Q152" s="203"/>
      <c r="R152" s="203"/>
      <c r="S152" s="203"/>
      <c r="T152" s="203"/>
      <c r="U152" s="203"/>
      <c r="V152" s="203"/>
      <c r="W152" s="203"/>
    </row>
    <row r="153" spans="1:23">
      <c r="J153" s="207"/>
      <c r="N153" s="203"/>
      <c r="P153" s="203"/>
      <c r="Q153" s="203"/>
      <c r="R153" s="203"/>
      <c r="S153" s="203"/>
      <c r="T153" s="203"/>
      <c r="U153" s="203"/>
      <c r="V153" s="203"/>
      <c r="W153" s="203"/>
    </row>
    <row r="154" spans="1:23">
      <c r="J154" s="207"/>
      <c r="N154" s="203"/>
      <c r="P154" s="203"/>
      <c r="Q154" s="203"/>
      <c r="R154" s="203"/>
      <c r="S154" s="203"/>
      <c r="T154" s="203"/>
      <c r="U154" s="203"/>
      <c r="V154" s="203"/>
      <c r="W154" s="203"/>
    </row>
    <row r="155" spans="1:23">
      <c r="A155" s="203"/>
      <c r="B155" s="279" t="s">
        <v>1260</v>
      </c>
      <c r="C155" s="262"/>
      <c r="D155" s="262"/>
      <c r="E155" s="262"/>
      <c r="F155" s="263"/>
      <c r="G155" s="263"/>
      <c r="H155" s="263"/>
      <c r="I155" s="263"/>
      <c r="K155" s="203"/>
      <c r="L155" s="203"/>
      <c r="M155" s="203"/>
      <c r="N155" s="203"/>
      <c r="P155" s="203"/>
      <c r="Q155" s="203"/>
      <c r="R155" s="203"/>
      <c r="S155" s="203"/>
      <c r="T155" s="203"/>
      <c r="U155" s="203"/>
      <c r="V155" s="203"/>
      <c r="W155" s="203"/>
    </row>
    <row r="156" spans="1:23">
      <c r="A156" s="263"/>
      <c r="B156" s="277" t="s">
        <v>879</v>
      </c>
      <c r="C156" s="277" t="s">
        <v>878</v>
      </c>
      <c r="D156" s="277" t="s">
        <v>877</v>
      </c>
      <c r="E156" s="277" t="s">
        <v>872</v>
      </c>
      <c r="F156" s="263"/>
      <c r="G156" s="263"/>
      <c r="H156" s="263"/>
      <c r="I156" s="263"/>
      <c r="K156" s="203"/>
      <c r="L156" s="203"/>
      <c r="M156" s="203"/>
      <c r="N156" s="203"/>
      <c r="P156" s="203"/>
      <c r="Q156" s="203"/>
      <c r="R156" s="203"/>
      <c r="S156" s="203"/>
      <c r="T156" s="203"/>
      <c r="U156" s="203"/>
      <c r="V156" s="203"/>
      <c r="W156" s="203"/>
    </row>
    <row r="157" spans="1:23">
      <c r="A157" s="263"/>
      <c r="B157" s="276">
        <f>B109</f>
        <v>44926</v>
      </c>
      <c r="C157" s="129">
        <v>31</v>
      </c>
      <c r="D157" s="275">
        <v>1279</v>
      </c>
      <c r="E157" s="275">
        <v>37976.834999999999</v>
      </c>
      <c r="F157" s="266"/>
      <c r="G157" s="208" t="s">
        <v>1649</v>
      </c>
      <c r="H157" s="263"/>
      <c r="I157" s="263"/>
      <c r="K157" s="203"/>
      <c r="L157" s="203"/>
      <c r="M157" s="203"/>
      <c r="N157" s="203"/>
      <c r="P157" s="203"/>
      <c r="Q157" s="203"/>
      <c r="R157" s="203"/>
      <c r="S157" s="203"/>
      <c r="T157" s="203"/>
      <c r="U157" s="203"/>
      <c r="V157" s="203"/>
      <c r="W157" s="203"/>
    </row>
    <row r="158" spans="1:23">
      <c r="A158" s="676"/>
      <c r="B158" s="203"/>
      <c r="C158" s="264"/>
      <c r="D158" s="272"/>
      <c r="E158" s="264">
        <f>E157/C157</f>
        <v>1225.0591935483872</v>
      </c>
      <c r="F158" s="208"/>
      <c r="G158" s="208"/>
      <c r="H158" s="676"/>
      <c r="I158" s="676"/>
      <c r="J158" s="274"/>
      <c r="K158" s="274"/>
      <c r="L158" s="274"/>
      <c r="M158" s="274"/>
      <c r="N158" s="274"/>
      <c r="O158" s="274"/>
      <c r="P158" s="274"/>
      <c r="Q158" s="274">
        <f>RSQ(P161:P193,Q161:Q193)</f>
        <v>0.9420300840926169</v>
      </c>
      <c r="R158" s="216"/>
      <c r="S158" s="216"/>
      <c r="T158" s="216"/>
      <c r="U158" s="216"/>
      <c r="V158" s="216"/>
      <c r="W158" s="274" t="s">
        <v>876</v>
      </c>
    </row>
    <row r="159" spans="1:23">
      <c r="A159" s="203"/>
      <c r="B159" s="203"/>
      <c r="C159" s="264"/>
      <c r="D159" s="272"/>
      <c r="E159" s="264">
        <f>E158*5</f>
        <v>6125.2959677419358</v>
      </c>
      <c r="F159" s="203"/>
      <c r="G159" s="203"/>
      <c r="H159" s="203"/>
      <c r="I159" s="203"/>
      <c r="J159" s="273" t="s">
        <v>975</v>
      </c>
      <c r="K159" s="273"/>
      <c r="L159" s="273"/>
      <c r="M159" s="273"/>
      <c r="N159" s="273"/>
      <c r="O159" s="273"/>
      <c r="P159" s="203"/>
      <c r="Q159" s="203">
        <f>CORREL(P161:P193,Q161:Q193)</f>
        <v>0.97058234276779254</v>
      </c>
      <c r="W159" s="203" t="s">
        <v>875</v>
      </c>
    </row>
    <row r="160" spans="1:23">
      <c r="A160" s="203"/>
      <c r="B160" s="268"/>
      <c r="C160" s="267"/>
      <c r="D160" s="269"/>
      <c r="E160" s="266"/>
      <c r="F160" s="203"/>
      <c r="G160" s="203"/>
      <c r="H160" s="203"/>
      <c r="I160" s="203"/>
      <c r="J160" s="271" t="s">
        <v>874</v>
      </c>
      <c r="K160" s="271"/>
      <c r="L160" s="271"/>
      <c r="M160" s="271"/>
      <c r="N160" s="271"/>
      <c r="O160" s="271"/>
      <c r="P160" s="270" t="s">
        <v>873</v>
      </c>
      <c r="Q160" s="270" t="s">
        <v>872</v>
      </c>
      <c r="R160" s="437"/>
      <c r="S160" s="437"/>
      <c r="T160" s="437"/>
      <c r="U160" s="437"/>
      <c r="V160" s="437"/>
      <c r="W160" s="203"/>
    </row>
    <row r="161" spans="1:23">
      <c r="A161" s="203"/>
      <c r="B161" s="283"/>
      <c r="C161" s="278"/>
      <c r="D161" s="272"/>
      <c r="E161" s="264"/>
      <c r="F161" s="203"/>
      <c r="G161" s="203"/>
      <c r="H161" s="203"/>
      <c r="I161" s="203"/>
      <c r="J161" s="264"/>
      <c r="K161" s="264"/>
      <c r="L161" s="264"/>
      <c r="M161" s="264"/>
      <c r="N161" s="264"/>
      <c r="O161" s="264"/>
      <c r="P161" s="207">
        <v>146</v>
      </c>
      <c r="Q161" s="263">
        <v>17465</v>
      </c>
      <c r="R161" s="263"/>
      <c r="S161" s="263"/>
      <c r="T161" s="263"/>
      <c r="U161" s="263"/>
      <c r="V161" s="263"/>
      <c r="W161" s="203"/>
    </row>
    <row r="162" spans="1:23">
      <c r="A162" s="203"/>
      <c r="B162" s="481">
        <f>B114</f>
        <v>44896</v>
      </c>
      <c r="C162" s="129">
        <f>C114</f>
        <v>39</v>
      </c>
      <c r="D162" s="203"/>
      <c r="F162" s="203"/>
      <c r="G162" s="203"/>
      <c r="H162" s="203"/>
      <c r="I162" s="203"/>
      <c r="J162" s="264"/>
      <c r="K162" s="264"/>
      <c r="L162" s="264"/>
      <c r="M162" s="264"/>
      <c r="N162" s="264"/>
      <c r="O162" s="264"/>
      <c r="P162" s="207">
        <v>272</v>
      </c>
      <c r="Q162" s="263">
        <v>20530</v>
      </c>
      <c r="R162" s="263"/>
      <c r="S162" s="263"/>
      <c r="T162" s="263"/>
      <c r="U162" s="263"/>
      <c r="V162" s="263"/>
      <c r="W162" s="203"/>
    </row>
    <row r="163" spans="1:23">
      <c r="A163" s="203"/>
      <c r="B163" s="481">
        <f t="shared" ref="B163:C163" si="66">B115</f>
        <v>44897</v>
      </c>
      <c r="C163" s="129">
        <f t="shared" si="66"/>
        <v>47</v>
      </c>
      <c r="D163" s="203"/>
      <c r="F163" s="203"/>
      <c r="G163" s="203"/>
      <c r="H163" s="203"/>
      <c r="I163" s="203"/>
      <c r="J163" s="264"/>
      <c r="K163" s="264"/>
      <c r="L163" s="264"/>
      <c r="M163" s="264"/>
      <c r="N163" s="264"/>
      <c r="O163" s="264"/>
      <c r="P163" s="207">
        <v>561</v>
      </c>
      <c r="Q163" s="263">
        <v>27806</v>
      </c>
      <c r="R163" s="263"/>
      <c r="S163" s="263"/>
      <c r="T163" s="263"/>
      <c r="U163" s="263"/>
      <c r="V163" s="263"/>
      <c r="W163" s="203"/>
    </row>
    <row r="164" spans="1:23">
      <c r="A164" s="203"/>
      <c r="B164" s="481">
        <f t="shared" ref="B164:C164" si="67">B116</f>
        <v>44898</v>
      </c>
      <c r="C164" s="129">
        <f t="shared" si="67"/>
        <v>46</v>
      </c>
      <c r="D164" s="203"/>
      <c r="F164" s="203"/>
      <c r="G164" s="203"/>
      <c r="H164" s="203"/>
      <c r="I164" s="203"/>
      <c r="J164" s="264"/>
      <c r="K164" s="264"/>
      <c r="L164" s="264"/>
      <c r="M164" s="264"/>
      <c r="N164" s="264"/>
      <c r="O164" s="264"/>
      <c r="P164" s="207">
        <v>730</v>
      </c>
      <c r="Q164" s="263">
        <v>31760</v>
      </c>
      <c r="R164" s="263"/>
      <c r="S164" s="263"/>
      <c r="T164" s="263"/>
      <c r="U164" s="263"/>
      <c r="V164" s="263"/>
      <c r="W164" s="203"/>
    </row>
    <row r="165" spans="1:23">
      <c r="A165" s="203"/>
      <c r="B165" s="481">
        <f t="shared" ref="B165:C165" si="68">B117</f>
        <v>44899</v>
      </c>
      <c r="C165" s="129">
        <f t="shared" si="68"/>
        <v>47</v>
      </c>
      <c r="D165" s="203"/>
      <c r="F165" s="203"/>
      <c r="G165" s="203"/>
      <c r="H165" s="203"/>
      <c r="I165" s="203"/>
      <c r="J165" s="264"/>
      <c r="K165" s="264"/>
      <c r="L165" s="264"/>
      <c r="M165" s="264"/>
      <c r="N165" s="264"/>
      <c r="O165" s="264"/>
      <c r="P165" s="207">
        <v>874</v>
      </c>
      <c r="Q165" s="263">
        <v>32849</v>
      </c>
      <c r="R165" s="263"/>
      <c r="S165" s="263"/>
      <c r="T165" s="263"/>
      <c r="U165" s="263"/>
      <c r="V165" s="263"/>
      <c r="W165" s="203"/>
    </row>
    <row r="166" spans="1:23">
      <c r="A166" s="203"/>
      <c r="B166" s="481">
        <f t="shared" ref="B166:C166" si="69">B118</f>
        <v>44900</v>
      </c>
      <c r="C166" s="129">
        <f t="shared" si="69"/>
        <v>43</v>
      </c>
      <c r="D166" s="203"/>
      <c r="F166" s="203"/>
      <c r="G166" s="203"/>
      <c r="H166" s="203"/>
      <c r="I166" s="203"/>
      <c r="J166" s="264"/>
      <c r="K166" s="264"/>
      <c r="L166" s="264"/>
      <c r="M166" s="264"/>
      <c r="N166" s="264"/>
      <c r="O166" s="264"/>
      <c r="P166" s="207">
        <v>1244</v>
      </c>
      <c r="Q166" s="263">
        <v>41075</v>
      </c>
      <c r="R166" s="263"/>
      <c r="S166" s="263"/>
      <c r="T166" s="263"/>
      <c r="U166" s="263"/>
      <c r="V166" s="263"/>
      <c r="W166" s="203"/>
    </row>
    <row r="167" spans="1:23">
      <c r="A167" s="203"/>
      <c r="B167" s="481">
        <f t="shared" ref="B167:C167" si="70">B119</f>
        <v>44901</v>
      </c>
      <c r="C167" s="129">
        <f t="shared" si="70"/>
        <v>42</v>
      </c>
      <c r="D167" s="383"/>
      <c r="E167" s="384"/>
      <c r="F167" s="203"/>
      <c r="G167" s="203"/>
      <c r="H167" s="203"/>
      <c r="I167" s="203"/>
      <c r="J167" s="264"/>
      <c r="K167" s="264"/>
      <c r="L167" s="264"/>
      <c r="M167" s="264"/>
      <c r="N167" s="264"/>
      <c r="O167" s="264"/>
      <c r="P167" s="207">
        <v>1040</v>
      </c>
      <c r="Q167" s="263">
        <v>36509</v>
      </c>
      <c r="R167" s="263"/>
      <c r="S167" s="263"/>
      <c r="T167" s="263"/>
      <c r="U167" s="263"/>
      <c r="V167" s="263"/>
      <c r="W167" s="203"/>
    </row>
    <row r="168" spans="1:23">
      <c r="A168" s="203"/>
      <c r="B168" s="481">
        <f t="shared" ref="B168:C168" si="71">B120</f>
        <v>44902</v>
      </c>
      <c r="C168" s="129">
        <f t="shared" si="71"/>
        <v>39</v>
      </c>
      <c r="D168" s="383"/>
      <c r="E168" s="384"/>
      <c r="F168" s="203"/>
      <c r="G168" s="203"/>
      <c r="H168" s="203"/>
      <c r="I168" s="203"/>
      <c r="J168" s="264"/>
      <c r="K168" s="264"/>
      <c r="L168" s="264"/>
      <c r="M168" s="264"/>
      <c r="N168" s="264"/>
      <c r="O168" s="264"/>
      <c r="P168" s="207">
        <v>769</v>
      </c>
      <c r="Q168" s="263">
        <v>28731</v>
      </c>
      <c r="R168" s="263"/>
      <c r="S168" s="263"/>
      <c r="T168" s="263"/>
      <c r="U168" s="263"/>
      <c r="V168" s="263"/>
      <c r="W168" s="203"/>
    </row>
    <row r="169" spans="1:23">
      <c r="A169" s="203"/>
      <c r="B169" s="481">
        <f t="shared" ref="B169:C169" si="72">B121</f>
        <v>44903</v>
      </c>
      <c r="C169" s="129">
        <f t="shared" si="72"/>
        <v>39</v>
      </c>
      <c r="D169" s="383"/>
      <c r="E169" s="384"/>
      <c r="F169" s="203"/>
      <c r="G169" s="203"/>
      <c r="H169" s="203"/>
      <c r="I169" s="203"/>
      <c r="J169" s="264"/>
      <c r="K169" s="264"/>
      <c r="L169" s="264"/>
      <c r="M169" s="264"/>
      <c r="N169" s="264"/>
      <c r="O169" s="264"/>
      <c r="P169" s="207">
        <v>504</v>
      </c>
      <c r="Q169" s="263">
        <v>23248</v>
      </c>
      <c r="R169" s="263"/>
      <c r="S169" s="263"/>
      <c r="T169" s="263"/>
      <c r="U169" s="263"/>
      <c r="V169" s="263"/>
      <c r="W169" s="203"/>
    </row>
    <row r="170" spans="1:23">
      <c r="A170" s="203"/>
      <c r="B170" s="481">
        <f t="shared" ref="B170:C170" si="73">B122</f>
        <v>44904</v>
      </c>
      <c r="C170" s="129">
        <f t="shared" si="73"/>
        <v>36</v>
      </c>
      <c r="D170" s="383"/>
      <c r="E170" s="384"/>
      <c r="F170" s="203"/>
      <c r="G170" s="203"/>
      <c r="H170" s="203"/>
      <c r="I170" s="203"/>
      <c r="J170" s="264"/>
      <c r="K170" s="264"/>
      <c r="L170" s="264"/>
      <c r="M170" s="264"/>
      <c r="N170" s="264"/>
      <c r="O170" s="264"/>
      <c r="P170" s="207">
        <v>68</v>
      </c>
      <c r="Q170" s="263">
        <v>17441</v>
      </c>
      <c r="R170" s="263"/>
      <c r="S170" s="263"/>
      <c r="T170" s="263"/>
      <c r="U170" s="263"/>
      <c r="V170" s="263"/>
      <c r="W170" s="203"/>
    </row>
    <row r="171" spans="1:23">
      <c r="A171" s="203"/>
      <c r="B171" s="481">
        <f t="shared" ref="B171:C171" si="74">B123</f>
        <v>44905</v>
      </c>
      <c r="C171" s="129">
        <f t="shared" si="74"/>
        <v>31</v>
      </c>
      <c r="D171" s="383"/>
      <c r="E171" s="384"/>
      <c r="F171" s="203"/>
      <c r="G171" s="203"/>
      <c r="H171" s="203"/>
      <c r="I171" s="203"/>
      <c r="J171" s="264"/>
      <c r="K171" s="264"/>
      <c r="L171" s="264"/>
      <c r="M171" s="264"/>
      <c r="N171" s="264"/>
      <c r="O171" s="264"/>
      <c r="P171" s="207">
        <v>14</v>
      </c>
      <c r="Q171" s="263">
        <v>16410</v>
      </c>
      <c r="R171" s="263"/>
      <c r="S171" s="263"/>
      <c r="T171" s="263"/>
      <c r="U171" s="263"/>
      <c r="V171" s="263"/>
      <c r="W171" s="203"/>
    </row>
    <row r="172" spans="1:23">
      <c r="A172" s="203"/>
      <c r="B172" s="481">
        <f t="shared" ref="B172:C172" si="75">B124</f>
        <v>44906</v>
      </c>
      <c r="C172" s="129">
        <f t="shared" si="75"/>
        <v>32</v>
      </c>
      <c r="D172" s="383"/>
      <c r="E172" s="384"/>
      <c r="F172" s="203"/>
      <c r="G172" s="203"/>
      <c r="H172" s="203"/>
      <c r="I172" s="203"/>
      <c r="J172" s="264"/>
      <c r="K172" s="264"/>
      <c r="L172" s="264"/>
      <c r="M172" s="264"/>
      <c r="N172" s="264"/>
      <c r="O172" s="264"/>
      <c r="P172" s="207">
        <v>20</v>
      </c>
      <c r="Q172" s="263">
        <v>16324</v>
      </c>
      <c r="R172" s="263"/>
      <c r="S172" s="263"/>
      <c r="T172" s="263"/>
      <c r="U172" s="263"/>
      <c r="V172" s="263"/>
      <c r="W172" s="203"/>
    </row>
    <row r="173" spans="1:23">
      <c r="A173" s="203"/>
      <c r="B173" s="481">
        <f t="shared" ref="B173:C173" si="76">B125</f>
        <v>44907</v>
      </c>
      <c r="C173" s="129">
        <f t="shared" si="76"/>
        <v>37</v>
      </c>
      <c r="D173" s="383"/>
      <c r="E173" s="384"/>
      <c r="F173" s="203"/>
      <c r="G173" s="203"/>
      <c r="H173" s="203"/>
      <c r="I173" s="203"/>
      <c r="J173" s="264"/>
      <c r="K173" s="264"/>
      <c r="L173" s="264"/>
      <c r="M173" s="264"/>
      <c r="N173" s="264"/>
      <c r="O173" s="264"/>
      <c r="P173" s="207">
        <v>175</v>
      </c>
      <c r="Q173" s="263">
        <v>19740</v>
      </c>
      <c r="R173" s="263"/>
      <c r="S173" s="263"/>
      <c r="T173" s="263"/>
      <c r="U173" s="263"/>
      <c r="V173" s="263"/>
      <c r="W173" s="203"/>
    </row>
    <row r="174" spans="1:23">
      <c r="A174" s="203"/>
      <c r="B174" s="481">
        <f t="shared" ref="B174:C174" si="77">B126</f>
        <v>44908</v>
      </c>
      <c r="C174" s="129">
        <f t="shared" si="77"/>
        <v>40</v>
      </c>
      <c r="D174" s="383"/>
      <c r="E174" s="384"/>
      <c r="F174" s="203"/>
      <c r="G174" s="203"/>
      <c r="H174" s="203"/>
      <c r="I174" s="203"/>
      <c r="J174" s="264"/>
      <c r="K174" s="264"/>
      <c r="L174" s="264"/>
      <c r="M174" s="264"/>
      <c r="N174" s="264"/>
      <c r="O174" s="264"/>
      <c r="P174" s="207">
        <v>345</v>
      </c>
      <c r="Q174" s="263">
        <v>22588</v>
      </c>
      <c r="R174" s="263"/>
      <c r="S174" s="263"/>
      <c r="T174" s="263"/>
      <c r="U174" s="263"/>
      <c r="V174" s="263"/>
      <c r="W174" s="203"/>
    </row>
    <row r="175" spans="1:23">
      <c r="A175" s="203"/>
      <c r="B175" s="481">
        <f t="shared" ref="B175:C175" si="78">B127</f>
        <v>44909</v>
      </c>
      <c r="C175" s="129">
        <f t="shared" si="78"/>
        <v>40</v>
      </c>
      <c r="D175" s="383"/>
      <c r="E175" s="384"/>
      <c r="F175" s="203"/>
      <c r="G175" s="203"/>
      <c r="H175" s="203"/>
      <c r="I175" s="203"/>
      <c r="J175" s="264"/>
      <c r="K175" s="264"/>
      <c r="L175" s="264"/>
      <c r="M175" s="264"/>
      <c r="N175" s="264"/>
      <c r="O175" s="264"/>
      <c r="P175" s="207">
        <v>494</v>
      </c>
      <c r="Q175" s="263">
        <v>25069</v>
      </c>
      <c r="R175" s="263"/>
      <c r="S175" s="263"/>
      <c r="T175" s="263"/>
      <c r="U175" s="263"/>
      <c r="V175" s="263"/>
      <c r="W175" s="203"/>
    </row>
    <row r="176" spans="1:23">
      <c r="A176" s="203"/>
      <c r="B176" s="481">
        <f t="shared" ref="B176:C176" si="79">B128</f>
        <v>44910</v>
      </c>
      <c r="C176" s="129">
        <f t="shared" si="79"/>
        <v>42</v>
      </c>
      <c r="E176" s="207"/>
      <c r="F176" s="203"/>
      <c r="G176" s="203"/>
      <c r="H176" s="203"/>
      <c r="I176" s="203"/>
      <c r="J176" s="264"/>
      <c r="K176" s="264"/>
      <c r="L176" s="264"/>
      <c r="M176" s="264"/>
      <c r="N176" s="264"/>
      <c r="O176" s="264"/>
      <c r="P176" s="207">
        <v>809</v>
      </c>
      <c r="Q176" s="263">
        <v>31810</v>
      </c>
      <c r="R176" s="263"/>
      <c r="S176" s="263"/>
      <c r="T176" s="263"/>
      <c r="U176" s="263"/>
      <c r="V176" s="263"/>
      <c r="W176" s="203"/>
    </row>
    <row r="177" spans="1:23">
      <c r="A177" s="203"/>
      <c r="B177" s="481">
        <f t="shared" ref="B177:C177" si="80">B129</f>
        <v>44911</v>
      </c>
      <c r="C177" s="129">
        <f t="shared" si="80"/>
        <v>43</v>
      </c>
      <c r="E177" s="207"/>
      <c r="F177" s="203"/>
      <c r="G177" s="203"/>
      <c r="H177" s="203"/>
      <c r="I177" s="203"/>
      <c r="J177" s="264"/>
      <c r="K177" s="264"/>
      <c r="L177" s="264"/>
      <c r="M177" s="264"/>
      <c r="N177" s="264"/>
      <c r="O177" s="264"/>
      <c r="P177" s="207">
        <v>930</v>
      </c>
      <c r="Q177" s="263">
        <v>31268</v>
      </c>
      <c r="R177" s="263"/>
      <c r="S177" s="263"/>
      <c r="T177" s="263"/>
      <c r="U177" s="263"/>
      <c r="V177" s="263"/>
      <c r="W177" s="203"/>
    </row>
    <row r="178" spans="1:23">
      <c r="A178" s="203"/>
      <c r="B178" s="481">
        <f t="shared" ref="B178:C178" si="81">B130</f>
        <v>44912</v>
      </c>
      <c r="C178" s="129">
        <f t="shared" si="81"/>
        <v>41</v>
      </c>
      <c r="E178" s="207"/>
      <c r="F178" s="203"/>
      <c r="G178" s="203"/>
      <c r="H178" s="203"/>
      <c r="I178" s="203"/>
      <c r="J178" s="264"/>
      <c r="K178" s="264"/>
      <c r="L178" s="264"/>
      <c r="M178" s="264"/>
      <c r="N178" s="264"/>
      <c r="O178" s="264"/>
      <c r="P178" s="207">
        <v>1078</v>
      </c>
      <c r="Q178" s="263">
        <v>32888</v>
      </c>
      <c r="R178" s="263"/>
      <c r="S178" s="263"/>
      <c r="T178" s="263"/>
      <c r="U178" s="263"/>
      <c r="V178" s="263"/>
      <c r="W178" s="203"/>
    </row>
    <row r="179" spans="1:23">
      <c r="A179" s="203"/>
      <c r="B179" s="481">
        <f t="shared" ref="B179:C179" si="82">B131</f>
        <v>44913</v>
      </c>
      <c r="C179" s="129">
        <f t="shared" si="82"/>
        <v>40</v>
      </c>
      <c r="D179" s="383"/>
      <c r="E179" s="384"/>
      <c r="F179" s="203"/>
      <c r="G179" s="203"/>
      <c r="H179" s="203"/>
      <c r="I179" s="203"/>
      <c r="J179" s="264"/>
      <c r="K179" s="264"/>
      <c r="L179" s="264"/>
      <c r="M179" s="264"/>
      <c r="N179" s="264"/>
      <c r="O179" s="264"/>
      <c r="P179" s="207">
        <v>1118</v>
      </c>
      <c r="Q179" s="263">
        <v>33189</v>
      </c>
      <c r="R179" s="263"/>
      <c r="S179" s="263"/>
      <c r="T179" s="263"/>
      <c r="U179" s="263"/>
      <c r="V179" s="263"/>
      <c r="W179" s="203"/>
    </row>
    <row r="180" spans="1:23">
      <c r="A180" s="203"/>
      <c r="B180" s="481">
        <f t="shared" ref="B180:C180" si="83">B132</f>
        <v>44914</v>
      </c>
      <c r="C180" s="129">
        <f t="shared" si="83"/>
        <v>48</v>
      </c>
      <c r="D180" s="383">
        <f>C180/$D$157</f>
        <v>3.7529319781078971E-2</v>
      </c>
      <c r="E180" s="482">
        <f>D180*$E$157</f>
        <v>1425.2447849882722</v>
      </c>
      <c r="F180" s="203"/>
      <c r="G180" s="203"/>
      <c r="H180" s="203"/>
      <c r="I180" s="203"/>
      <c r="J180" s="264"/>
      <c r="K180" s="264"/>
      <c r="L180" s="264"/>
      <c r="M180" s="264"/>
      <c r="N180" s="264"/>
      <c r="O180" s="264"/>
      <c r="P180" s="207">
        <v>890</v>
      </c>
      <c r="Q180" s="263">
        <v>29312</v>
      </c>
      <c r="R180" s="263"/>
      <c r="S180" s="263"/>
      <c r="T180" s="263"/>
      <c r="U180" s="263"/>
      <c r="V180" s="263"/>
      <c r="W180" s="203"/>
    </row>
    <row r="181" spans="1:23">
      <c r="A181" s="203"/>
      <c r="B181" s="481">
        <f t="shared" ref="B181:C181" si="84">B133</f>
        <v>44915</v>
      </c>
      <c r="C181" s="129">
        <f t="shared" si="84"/>
        <v>58</v>
      </c>
      <c r="D181" s="383">
        <f t="shared" ref="D181:D184" si="85">C181/$D$157</f>
        <v>4.534792806880375E-2</v>
      </c>
      <c r="E181" s="482">
        <f t="shared" ref="E181:E184" si="86">D181*$E$157</f>
        <v>1722.1707818608286</v>
      </c>
      <c r="F181" s="203"/>
      <c r="G181" s="203"/>
      <c r="H181" s="203"/>
      <c r="I181" s="203"/>
      <c r="J181" s="264"/>
      <c r="K181" s="264"/>
      <c r="L181" s="264"/>
      <c r="M181" s="264"/>
      <c r="N181" s="264"/>
      <c r="O181" s="264"/>
      <c r="P181" s="207">
        <v>516</v>
      </c>
      <c r="Q181" s="263">
        <v>22582</v>
      </c>
      <c r="R181" s="263"/>
      <c r="S181" s="263"/>
      <c r="T181" s="263"/>
      <c r="U181" s="263"/>
      <c r="V181" s="263"/>
      <c r="W181" s="203"/>
    </row>
    <row r="182" spans="1:23">
      <c r="A182" s="203"/>
      <c r="B182" s="481">
        <f t="shared" ref="B182:C182" si="87">B134</f>
        <v>44916</v>
      </c>
      <c r="C182" s="129">
        <f t="shared" si="87"/>
        <v>64</v>
      </c>
      <c r="D182" s="383">
        <f t="shared" si="85"/>
        <v>5.0039093041438623E-2</v>
      </c>
      <c r="E182" s="482">
        <f t="shared" si="86"/>
        <v>1900.3263799843628</v>
      </c>
      <c r="F182" s="203"/>
      <c r="G182" s="203"/>
      <c r="H182" s="203"/>
      <c r="I182" s="203"/>
      <c r="J182" s="264"/>
      <c r="K182" s="264"/>
      <c r="L182" s="264"/>
      <c r="M182" s="264"/>
      <c r="N182" s="264"/>
      <c r="O182" s="264"/>
      <c r="P182" s="207">
        <v>99</v>
      </c>
      <c r="Q182" s="263">
        <v>16724</v>
      </c>
      <c r="R182" s="263"/>
      <c r="S182" s="263"/>
      <c r="T182" s="263"/>
      <c r="U182" s="263"/>
      <c r="V182" s="263"/>
      <c r="W182" s="203"/>
    </row>
    <row r="183" spans="1:23">
      <c r="A183" s="263"/>
      <c r="B183" s="481">
        <f t="shared" ref="B183:C183" si="88">B135</f>
        <v>44917</v>
      </c>
      <c r="C183" s="129">
        <f t="shared" si="88"/>
        <v>68</v>
      </c>
      <c r="D183" s="383">
        <f t="shared" si="85"/>
        <v>5.3166536356528536E-2</v>
      </c>
      <c r="E183" s="482">
        <f t="shared" si="86"/>
        <v>2019.0967787333852</v>
      </c>
      <c r="F183" s="203"/>
      <c r="G183" s="203"/>
      <c r="H183" s="203"/>
      <c r="I183" s="203"/>
      <c r="J183" s="264"/>
      <c r="K183" s="264"/>
      <c r="L183" s="264"/>
      <c r="M183" s="264"/>
      <c r="N183" s="264"/>
      <c r="O183" s="264"/>
      <c r="P183" s="207">
        <v>8</v>
      </c>
      <c r="Q183" s="263">
        <v>15317</v>
      </c>
      <c r="R183" s="263"/>
      <c r="S183" s="263"/>
      <c r="T183" s="263"/>
      <c r="U183" s="263"/>
      <c r="V183" s="263"/>
      <c r="W183" s="203"/>
    </row>
    <row r="184" spans="1:23">
      <c r="A184" s="263"/>
      <c r="B184" s="481">
        <f t="shared" ref="B184:C184" si="89">B136</f>
        <v>44918</v>
      </c>
      <c r="C184" s="129">
        <f t="shared" si="89"/>
        <v>59</v>
      </c>
      <c r="D184" s="383">
        <f t="shared" si="85"/>
        <v>4.6129788897576234E-2</v>
      </c>
      <c r="E184" s="482">
        <f t="shared" si="86"/>
        <v>1751.8633815480846</v>
      </c>
      <c r="F184" s="203"/>
      <c r="G184" s="203"/>
      <c r="H184" s="203"/>
      <c r="I184" s="203"/>
      <c r="J184" s="264"/>
      <c r="K184" s="264"/>
      <c r="L184" s="264"/>
      <c r="M184" s="264"/>
      <c r="N184" s="264"/>
      <c r="O184" s="264"/>
      <c r="P184" s="207">
        <v>40</v>
      </c>
      <c r="Q184" s="263">
        <v>15833</v>
      </c>
      <c r="R184" s="263"/>
      <c r="S184" s="263"/>
      <c r="T184" s="263"/>
      <c r="U184" s="263"/>
      <c r="V184" s="263"/>
      <c r="W184" s="203"/>
    </row>
    <row r="185" spans="1:23">
      <c r="A185" s="263"/>
      <c r="B185" s="481">
        <f t="shared" ref="B185:C185" si="90">B137</f>
        <v>44919</v>
      </c>
      <c r="C185" s="129">
        <f t="shared" si="90"/>
        <v>45</v>
      </c>
      <c r="D185" s="383"/>
      <c r="E185" s="384"/>
      <c r="F185" s="203"/>
      <c r="G185" s="203"/>
      <c r="H185" s="203"/>
      <c r="I185" s="203"/>
      <c r="J185" s="264"/>
      <c r="K185" s="264"/>
      <c r="L185" s="264"/>
      <c r="M185" s="264"/>
      <c r="N185" s="264"/>
      <c r="O185" s="264"/>
      <c r="P185" s="207">
        <v>192</v>
      </c>
      <c r="Q185" s="263">
        <v>17348</v>
      </c>
      <c r="R185" s="263"/>
      <c r="S185" s="263"/>
      <c r="T185" s="263"/>
      <c r="U185" s="263"/>
      <c r="V185" s="263"/>
      <c r="W185" s="203"/>
    </row>
    <row r="186" spans="1:23">
      <c r="A186" s="263"/>
      <c r="B186" s="481">
        <f t="shared" ref="B186:C186" si="91">B138</f>
        <v>44920</v>
      </c>
      <c r="C186" s="129">
        <f t="shared" si="91"/>
        <v>37</v>
      </c>
      <c r="D186" s="263"/>
      <c r="E186" s="207"/>
      <c r="F186" s="203"/>
      <c r="G186" s="203"/>
      <c r="H186" s="203"/>
      <c r="I186" s="203"/>
      <c r="J186" s="264"/>
      <c r="K186" s="264"/>
      <c r="L186" s="264"/>
      <c r="M186" s="264"/>
      <c r="N186" s="264"/>
      <c r="O186" s="264"/>
      <c r="P186" s="207">
        <v>401</v>
      </c>
      <c r="Q186" s="263">
        <v>20905</v>
      </c>
      <c r="R186" s="263"/>
      <c r="S186" s="263"/>
      <c r="T186" s="263"/>
      <c r="U186" s="263"/>
      <c r="V186" s="263"/>
      <c r="W186" s="203"/>
    </row>
    <row r="187" spans="1:23">
      <c r="A187" s="263"/>
      <c r="B187" s="481">
        <f t="shared" ref="B187:C187" si="92">B139</f>
        <v>44921</v>
      </c>
      <c r="C187" s="129">
        <f t="shared" si="92"/>
        <v>27</v>
      </c>
      <c r="D187" s="263"/>
      <c r="E187" s="207"/>
      <c r="F187" s="203"/>
      <c r="G187" s="203"/>
      <c r="H187" s="203"/>
      <c r="I187" s="203"/>
      <c r="J187" s="264"/>
      <c r="K187" s="264"/>
      <c r="L187" s="264"/>
      <c r="M187" s="264"/>
      <c r="N187" s="264"/>
      <c r="O187" s="264"/>
      <c r="P187" s="207">
        <v>698</v>
      </c>
      <c r="Q187" s="263">
        <v>26624</v>
      </c>
      <c r="R187" s="263"/>
      <c r="S187" s="263"/>
      <c r="T187" s="263"/>
      <c r="U187" s="263"/>
      <c r="V187" s="263"/>
      <c r="W187" s="203"/>
    </row>
    <row r="188" spans="1:23">
      <c r="A188" s="263"/>
      <c r="B188" s="481">
        <f t="shared" ref="B188:C188" si="93">B140</f>
        <v>44922</v>
      </c>
      <c r="C188" s="129">
        <f t="shared" si="93"/>
        <v>25</v>
      </c>
      <c r="D188" s="263"/>
      <c r="E188" s="207"/>
      <c r="F188" s="203"/>
      <c r="G188" s="203"/>
      <c r="H188" s="203"/>
      <c r="I188" s="203"/>
      <c r="J188" s="264"/>
      <c r="K188" s="264"/>
      <c r="L188" s="264"/>
      <c r="M188" s="264"/>
      <c r="N188" s="264"/>
      <c r="O188" s="264"/>
      <c r="P188" s="207">
        <v>790</v>
      </c>
      <c r="Q188" s="263">
        <v>28546</v>
      </c>
      <c r="R188" s="263"/>
      <c r="S188" s="263"/>
      <c r="T188" s="263"/>
      <c r="U188" s="263"/>
      <c r="V188" s="263"/>
      <c r="W188" s="203"/>
    </row>
    <row r="189" spans="1:23">
      <c r="A189" s="263"/>
      <c r="B189" s="481">
        <f t="shared" ref="B189:C189" si="94">B141</f>
        <v>44923</v>
      </c>
      <c r="C189" s="129">
        <f t="shared" si="94"/>
        <v>32</v>
      </c>
      <c r="D189" s="263"/>
      <c r="E189" s="207"/>
      <c r="F189" s="203"/>
      <c r="G189" s="203"/>
      <c r="H189" s="203"/>
      <c r="I189" s="203"/>
      <c r="J189" s="264"/>
      <c r="K189" s="264"/>
      <c r="L189" s="264"/>
      <c r="M189" s="264"/>
      <c r="N189" s="264"/>
      <c r="O189" s="264"/>
      <c r="P189" s="207">
        <v>1006</v>
      </c>
      <c r="Q189" s="263">
        <v>31585</v>
      </c>
      <c r="R189" s="263"/>
      <c r="S189" s="263"/>
      <c r="T189" s="263"/>
      <c r="U189" s="263"/>
      <c r="V189" s="263"/>
      <c r="W189" s="203"/>
    </row>
    <row r="190" spans="1:23">
      <c r="A190" s="263"/>
      <c r="B190" s="481">
        <f t="shared" ref="B190:C190" si="95">B142</f>
        <v>44924</v>
      </c>
      <c r="C190" s="129">
        <f t="shared" si="95"/>
        <v>32</v>
      </c>
      <c r="D190" s="263"/>
      <c r="E190" s="207"/>
      <c r="F190" s="203"/>
      <c r="G190" s="203"/>
      <c r="H190" s="203"/>
      <c r="I190" s="203"/>
      <c r="J190" s="264"/>
      <c r="K190" s="264"/>
      <c r="L190" s="264"/>
      <c r="M190" s="264"/>
      <c r="N190" s="264"/>
      <c r="O190" s="264"/>
      <c r="P190" s="207">
        <v>1103</v>
      </c>
      <c r="Q190" s="263">
        <v>33653</v>
      </c>
      <c r="R190" s="263"/>
      <c r="S190" s="263"/>
      <c r="T190" s="263"/>
      <c r="U190" s="263"/>
      <c r="V190" s="263"/>
      <c r="W190" s="203"/>
    </row>
    <row r="191" spans="1:23">
      <c r="A191" s="263"/>
      <c r="B191" s="481">
        <f t="shared" ref="B191:C191" si="96">B143</f>
        <v>44925</v>
      </c>
      <c r="C191" s="129">
        <f t="shared" si="96"/>
        <v>30</v>
      </c>
      <c r="D191" s="263"/>
      <c r="E191" s="207"/>
      <c r="F191" s="203"/>
      <c r="G191" s="203"/>
      <c r="H191" s="203"/>
      <c r="I191" s="203"/>
      <c r="J191" s="264"/>
      <c r="K191" s="264"/>
      <c r="L191" s="264"/>
      <c r="M191" s="264"/>
      <c r="N191" s="264"/>
      <c r="O191" s="264"/>
      <c r="P191" s="207">
        <v>1096</v>
      </c>
      <c r="Q191" s="263">
        <v>32687</v>
      </c>
      <c r="R191" s="263"/>
      <c r="S191" s="263"/>
      <c r="T191" s="263"/>
      <c r="U191" s="263"/>
      <c r="V191" s="263"/>
      <c r="W191" s="203"/>
    </row>
    <row r="192" spans="1:23">
      <c r="A192" s="263"/>
      <c r="B192" s="481">
        <f t="shared" ref="B192:C192" si="97">B144</f>
        <v>44926</v>
      </c>
      <c r="C192" s="129">
        <f t="shared" si="97"/>
        <v>30</v>
      </c>
      <c r="E192" s="207"/>
      <c r="F192" s="203"/>
      <c r="G192" s="203"/>
      <c r="H192" s="203"/>
      <c r="I192" s="203"/>
      <c r="J192" s="264"/>
      <c r="K192" s="264"/>
      <c r="L192" s="264"/>
      <c r="M192" s="264"/>
      <c r="N192" s="264"/>
      <c r="O192" s="264"/>
      <c r="P192" s="207">
        <v>948</v>
      </c>
      <c r="Q192" s="263">
        <v>29844</v>
      </c>
      <c r="R192" s="263"/>
      <c r="S192" s="263"/>
      <c r="T192" s="263"/>
      <c r="U192" s="263"/>
      <c r="V192" s="263"/>
      <c r="W192" s="203"/>
    </row>
    <row r="193" spans="1:23">
      <c r="A193" s="263"/>
      <c r="B193" s="315">
        <f>COUNT(B160:B192)</f>
        <v>31</v>
      </c>
      <c r="C193" s="287">
        <f>SUM(C160:C192)</f>
        <v>1279</v>
      </c>
      <c r="D193" s="288">
        <f>SUM(D162:D192)</f>
        <v>0.23221266614542613</v>
      </c>
      <c r="E193" s="287">
        <f>SUM(E162:E192)</f>
        <v>8818.7021071149338</v>
      </c>
      <c r="F193" s="203"/>
      <c r="G193" s="203"/>
      <c r="H193" s="203"/>
      <c r="I193" s="203"/>
      <c r="J193" s="264"/>
      <c r="K193" s="264"/>
      <c r="L193" s="264"/>
      <c r="M193" s="264"/>
      <c r="N193" s="264"/>
      <c r="O193" s="264"/>
      <c r="P193" s="207">
        <v>472</v>
      </c>
      <c r="Q193" s="263">
        <v>21482</v>
      </c>
      <c r="R193" s="263"/>
      <c r="S193" s="263"/>
      <c r="T193" s="263"/>
      <c r="U193" s="263"/>
      <c r="V193" s="263"/>
      <c r="W193" s="203"/>
    </row>
    <row r="194" spans="1:23">
      <c r="B194" s="283"/>
      <c r="C194" s="203"/>
      <c r="D194" s="282">
        <f>5/C157</f>
        <v>0.16129032258064516</v>
      </c>
      <c r="K194" s="203"/>
      <c r="L194" s="203"/>
      <c r="M194" s="203"/>
      <c r="N194" s="203"/>
      <c r="P194" s="203"/>
      <c r="Q194" s="203"/>
      <c r="R194" s="203"/>
      <c r="S194" s="203"/>
      <c r="T194" s="203"/>
      <c r="U194" s="203"/>
      <c r="V194" s="203"/>
      <c r="W194" s="203"/>
    </row>
    <row r="195" spans="1:23">
      <c r="B195" s="129"/>
      <c r="C195" s="129"/>
      <c r="D195" s="129"/>
      <c r="E195" s="129"/>
      <c r="K195" s="203"/>
      <c r="L195" s="203"/>
      <c r="M195" s="203"/>
      <c r="N195" s="203"/>
      <c r="P195" s="203"/>
      <c r="Q195" s="203"/>
      <c r="R195" s="203"/>
      <c r="S195" s="203"/>
      <c r="T195" s="203"/>
      <c r="U195" s="203"/>
      <c r="V195" s="203"/>
      <c r="W195" s="203"/>
    </row>
    <row r="196" spans="1:23">
      <c r="A196" s="129"/>
      <c r="B196" s="129"/>
      <c r="C196" s="129"/>
      <c r="D196" s="129"/>
      <c r="E196" s="129"/>
      <c r="G196" s="129"/>
      <c r="H196" s="129"/>
      <c r="I196" s="129"/>
      <c r="J196" s="129"/>
      <c r="L196" s="129"/>
      <c r="M196" s="129"/>
      <c r="N196" s="129"/>
      <c r="O196" s="129"/>
    </row>
    <row r="197" spans="1:23">
      <c r="A197" s="129"/>
      <c r="B197" s="129"/>
      <c r="C197" s="129"/>
      <c r="D197" s="129"/>
      <c r="E197" s="129"/>
      <c r="G197" s="129"/>
      <c r="H197" s="129"/>
      <c r="I197" s="129"/>
      <c r="J197" s="129"/>
      <c r="L197" s="129"/>
      <c r="M197" s="129"/>
      <c r="N197" s="129"/>
      <c r="O197" s="129"/>
    </row>
    <row r="198" spans="1:23">
      <c r="A198" s="129"/>
      <c r="B198" s="129"/>
      <c r="C198" s="129"/>
      <c r="D198" s="129"/>
      <c r="E198" s="129"/>
      <c r="G198" s="129"/>
      <c r="H198" s="129"/>
      <c r="I198" s="129"/>
      <c r="J198" s="129"/>
      <c r="L198" s="129"/>
      <c r="M198" s="129"/>
      <c r="N198" s="129"/>
      <c r="O198" s="129"/>
    </row>
    <row r="200" spans="1:23" ht="15.75">
      <c r="B200" s="767" t="s">
        <v>1669</v>
      </c>
    </row>
    <row r="203" spans="1:23">
      <c r="B203" s="279" t="s">
        <v>1260</v>
      </c>
      <c r="C203" s="262"/>
      <c r="D203" s="262"/>
      <c r="E203" s="262"/>
      <c r="F203" s="263"/>
      <c r="G203" s="263"/>
    </row>
    <row r="204" spans="1:23">
      <c r="B204" s="277" t="s">
        <v>879</v>
      </c>
      <c r="C204" s="277" t="s">
        <v>878</v>
      </c>
      <c r="D204" s="277" t="s">
        <v>877</v>
      </c>
      <c r="E204" s="277" t="s">
        <v>872</v>
      </c>
      <c r="F204" s="263"/>
      <c r="G204" s="263"/>
    </row>
    <row r="205" spans="1:23">
      <c r="B205" s="276">
        <f>B157</f>
        <v>44926</v>
      </c>
      <c r="C205" s="129">
        <v>31</v>
      </c>
      <c r="D205" s="275">
        <v>1279</v>
      </c>
      <c r="E205" s="275">
        <v>152982.82999999999</v>
      </c>
      <c r="F205" s="266"/>
      <c r="G205" s="208" t="s">
        <v>1649</v>
      </c>
    </row>
    <row r="206" spans="1:23">
      <c r="B206" s="203"/>
      <c r="C206" s="264"/>
      <c r="D206" s="272"/>
      <c r="E206" s="264">
        <f>E205/C205</f>
        <v>4934.9299999999994</v>
      </c>
      <c r="F206" s="208"/>
      <c r="G206" s="208"/>
    </row>
    <row r="207" spans="1:23">
      <c r="B207" s="203"/>
      <c r="C207" s="264"/>
      <c r="D207" s="272"/>
      <c r="E207" s="264">
        <f>E206*5</f>
        <v>24674.649999999998</v>
      </c>
      <c r="F207" s="203"/>
      <c r="G207" s="203"/>
    </row>
    <row r="208" spans="1:23">
      <c r="B208" s="268"/>
      <c r="C208" s="267"/>
      <c r="D208" s="269"/>
      <c r="E208" s="266"/>
      <c r="F208" s="203"/>
      <c r="G208" s="203"/>
    </row>
    <row r="209" spans="2:7">
      <c r="B209" s="283"/>
      <c r="C209" s="278"/>
      <c r="D209" s="272"/>
      <c r="E209" s="264"/>
      <c r="F209" s="203"/>
      <c r="G209" s="203"/>
    </row>
    <row r="210" spans="2:7">
      <c r="B210" s="481">
        <f>B162</f>
        <v>44896</v>
      </c>
      <c r="C210" s="129">
        <f>C162</f>
        <v>39</v>
      </c>
      <c r="D210" s="203"/>
      <c r="F210" s="203"/>
      <c r="G210" s="203"/>
    </row>
    <row r="211" spans="2:7">
      <c r="B211" s="481">
        <f t="shared" ref="B211:C211" si="98">B163</f>
        <v>44897</v>
      </c>
      <c r="C211" s="129">
        <f t="shared" si="98"/>
        <v>47</v>
      </c>
      <c r="D211" s="203"/>
      <c r="F211" s="203"/>
      <c r="G211" s="203"/>
    </row>
    <row r="212" spans="2:7">
      <c r="B212" s="481">
        <f t="shared" ref="B212:C212" si="99">B164</f>
        <v>44898</v>
      </c>
      <c r="C212" s="129">
        <f t="shared" si="99"/>
        <v>46</v>
      </c>
      <c r="D212" s="203"/>
      <c r="F212" s="203"/>
      <c r="G212" s="203"/>
    </row>
    <row r="213" spans="2:7">
      <c r="B213" s="481">
        <f t="shared" ref="B213:C213" si="100">B165</f>
        <v>44899</v>
      </c>
      <c r="C213" s="129">
        <f t="shared" si="100"/>
        <v>47</v>
      </c>
      <c r="D213" s="203"/>
      <c r="F213" s="203"/>
      <c r="G213" s="203"/>
    </row>
    <row r="214" spans="2:7">
      <c r="B214" s="481">
        <f t="shared" ref="B214:C214" si="101">B166</f>
        <v>44900</v>
      </c>
      <c r="C214" s="129">
        <f t="shared" si="101"/>
        <v>43</v>
      </c>
      <c r="D214" s="203"/>
      <c r="F214" s="203"/>
      <c r="G214" s="203"/>
    </row>
    <row r="215" spans="2:7">
      <c r="B215" s="481">
        <f t="shared" ref="B215:C215" si="102">B167</f>
        <v>44901</v>
      </c>
      <c r="C215" s="129">
        <f t="shared" si="102"/>
        <v>42</v>
      </c>
      <c r="D215" s="383"/>
      <c r="E215" s="384"/>
      <c r="F215" s="203"/>
      <c r="G215" s="203"/>
    </row>
    <row r="216" spans="2:7">
      <c r="B216" s="481">
        <f t="shared" ref="B216:C216" si="103">B168</f>
        <v>44902</v>
      </c>
      <c r="C216" s="129">
        <f t="shared" si="103"/>
        <v>39</v>
      </c>
      <c r="D216" s="383"/>
      <c r="E216" s="384"/>
      <c r="F216" s="203"/>
      <c r="G216" s="203"/>
    </row>
    <row r="217" spans="2:7">
      <c r="B217" s="481">
        <f t="shared" ref="B217:C217" si="104">B169</f>
        <v>44903</v>
      </c>
      <c r="C217" s="129">
        <f t="shared" si="104"/>
        <v>39</v>
      </c>
      <c r="D217" s="383"/>
      <c r="E217" s="384"/>
      <c r="F217" s="203"/>
      <c r="G217" s="203"/>
    </row>
    <row r="218" spans="2:7">
      <c r="B218" s="481">
        <f t="shared" ref="B218:C218" si="105">B170</f>
        <v>44904</v>
      </c>
      <c r="C218" s="129">
        <f t="shared" si="105"/>
        <v>36</v>
      </c>
      <c r="D218" s="383"/>
      <c r="E218" s="384"/>
      <c r="F218" s="203"/>
      <c r="G218" s="203"/>
    </row>
    <row r="219" spans="2:7">
      <c r="B219" s="481">
        <f t="shared" ref="B219:C219" si="106">B171</f>
        <v>44905</v>
      </c>
      <c r="C219" s="129">
        <f t="shared" si="106"/>
        <v>31</v>
      </c>
      <c r="D219" s="383"/>
      <c r="E219" s="384"/>
      <c r="F219" s="203"/>
      <c r="G219" s="203"/>
    </row>
    <row r="220" spans="2:7">
      <c r="B220" s="481">
        <f t="shared" ref="B220:C220" si="107">B172</f>
        <v>44906</v>
      </c>
      <c r="C220" s="129">
        <f t="shared" si="107"/>
        <v>32</v>
      </c>
      <c r="D220" s="383"/>
      <c r="E220" s="384"/>
      <c r="F220" s="203"/>
      <c r="G220" s="203"/>
    </row>
    <row r="221" spans="2:7">
      <c r="B221" s="481">
        <f t="shared" ref="B221:C221" si="108">B173</f>
        <v>44907</v>
      </c>
      <c r="C221" s="129">
        <f t="shared" si="108"/>
        <v>37</v>
      </c>
      <c r="D221" s="383"/>
      <c r="E221" s="384"/>
      <c r="F221" s="203"/>
      <c r="G221" s="203"/>
    </row>
    <row r="222" spans="2:7">
      <c r="B222" s="481">
        <f t="shared" ref="B222:C222" si="109">B174</f>
        <v>44908</v>
      </c>
      <c r="C222" s="129">
        <f t="shared" si="109"/>
        <v>40</v>
      </c>
      <c r="D222" s="383"/>
      <c r="E222" s="384"/>
      <c r="F222" s="203"/>
      <c r="G222" s="203"/>
    </row>
    <row r="223" spans="2:7">
      <c r="B223" s="481">
        <f t="shared" ref="B223:C223" si="110">B175</f>
        <v>44909</v>
      </c>
      <c r="C223" s="129">
        <f t="shared" si="110"/>
        <v>40</v>
      </c>
      <c r="D223" s="383"/>
      <c r="E223" s="384"/>
      <c r="F223" s="203"/>
      <c r="G223" s="203"/>
    </row>
    <row r="224" spans="2:7">
      <c r="B224" s="481">
        <f t="shared" ref="B224:C224" si="111">B176</f>
        <v>44910</v>
      </c>
      <c r="C224" s="129">
        <f t="shared" si="111"/>
        <v>42</v>
      </c>
      <c r="E224" s="207"/>
      <c r="F224" s="203"/>
      <c r="G224" s="203"/>
    </row>
    <row r="225" spans="2:7">
      <c r="B225" s="481">
        <f t="shared" ref="B225:C225" si="112">B177</f>
        <v>44911</v>
      </c>
      <c r="C225" s="129">
        <f t="shared" si="112"/>
        <v>43</v>
      </c>
      <c r="E225" s="207"/>
      <c r="F225" s="203"/>
      <c r="G225" s="203"/>
    </row>
    <row r="226" spans="2:7">
      <c r="B226" s="481">
        <f t="shared" ref="B226:C226" si="113">B178</f>
        <v>44912</v>
      </c>
      <c r="C226" s="129">
        <f t="shared" si="113"/>
        <v>41</v>
      </c>
      <c r="E226" s="207"/>
      <c r="F226" s="203"/>
      <c r="G226" s="203"/>
    </row>
    <row r="227" spans="2:7">
      <c r="B227" s="481">
        <f t="shared" ref="B227:C227" si="114">B179</f>
        <v>44913</v>
      </c>
      <c r="C227" s="129">
        <f t="shared" si="114"/>
        <v>40</v>
      </c>
      <c r="D227" s="383"/>
      <c r="E227" s="384"/>
      <c r="F227" s="203"/>
      <c r="G227" s="203"/>
    </row>
    <row r="228" spans="2:7">
      <c r="B228" s="481">
        <f t="shared" ref="B228:C228" si="115">B180</f>
        <v>44914</v>
      </c>
      <c r="C228" s="129">
        <f t="shared" si="115"/>
        <v>48</v>
      </c>
      <c r="D228" s="383">
        <f>C228/$D$157</f>
        <v>3.7529319781078971E-2</v>
      </c>
      <c r="E228" s="482">
        <f>D228*$E$205</f>
        <v>5741.3415480844405</v>
      </c>
      <c r="F228" s="203"/>
      <c r="G228" s="203"/>
    </row>
    <row r="229" spans="2:7">
      <c r="B229" s="481">
        <f t="shared" ref="B229:C229" si="116">B181</f>
        <v>44915</v>
      </c>
      <c r="C229" s="129">
        <f t="shared" si="116"/>
        <v>58</v>
      </c>
      <c r="D229" s="383">
        <f t="shared" ref="D229:D232" si="117">C229/$D$157</f>
        <v>4.534792806880375E-2</v>
      </c>
      <c r="E229" s="482">
        <f t="shared" ref="E229:E232" si="118">D229*$E$205</f>
        <v>6937.4543706020322</v>
      </c>
      <c r="F229" s="203"/>
      <c r="G229" s="203"/>
    </row>
    <row r="230" spans="2:7">
      <c r="B230" s="481">
        <f t="shared" ref="B230:C230" si="119">B182</f>
        <v>44916</v>
      </c>
      <c r="C230" s="129">
        <f t="shared" si="119"/>
        <v>64</v>
      </c>
      <c r="D230" s="383">
        <f t="shared" si="117"/>
        <v>5.0039093041438623E-2</v>
      </c>
      <c r="E230" s="482">
        <f t="shared" si="118"/>
        <v>7655.1220641125874</v>
      </c>
      <c r="F230" s="203"/>
      <c r="G230" s="203"/>
    </row>
    <row r="231" spans="2:7">
      <c r="B231" s="481">
        <f t="shared" ref="B231:C231" si="120">B183</f>
        <v>44917</v>
      </c>
      <c r="C231" s="129">
        <f t="shared" si="120"/>
        <v>68</v>
      </c>
      <c r="D231" s="383">
        <f t="shared" si="117"/>
        <v>5.3166536356528536E-2</v>
      </c>
      <c r="E231" s="482">
        <f t="shared" si="118"/>
        <v>8133.5671931196239</v>
      </c>
      <c r="F231" s="203"/>
      <c r="G231" s="203"/>
    </row>
    <row r="232" spans="2:7">
      <c r="B232" s="481">
        <f t="shared" ref="B232:C232" si="121">B184</f>
        <v>44918</v>
      </c>
      <c r="C232" s="129">
        <f t="shared" si="121"/>
        <v>59</v>
      </c>
      <c r="D232" s="383">
        <f t="shared" si="117"/>
        <v>4.6129788897576234E-2</v>
      </c>
      <c r="E232" s="482">
        <f t="shared" si="118"/>
        <v>7057.065652853792</v>
      </c>
      <c r="F232" s="203"/>
      <c r="G232" s="203"/>
    </row>
    <row r="233" spans="2:7">
      <c r="B233" s="481">
        <f t="shared" ref="B233:C233" si="122">B185</f>
        <v>44919</v>
      </c>
      <c r="C233" s="129">
        <f t="shared" si="122"/>
        <v>45</v>
      </c>
      <c r="D233" s="383"/>
      <c r="E233" s="384"/>
      <c r="F233" s="203"/>
      <c r="G233" s="203"/>
    </row>
    <row r="234" spans="2:7">
      <c r="B234" s="481">
        <f t="shared" ref="B234:C234" si="123">B186</f>
        <v>44920</v>
      </c>
      <c r="C234" s="129">
        <f t="shared" si="123"/>
        <v>37</v>
      </c>
      <c r="D234" s="263"/>
      <c r="E234" s="207"/>
      <c r="F234" s="203"/>
      <c r="G234" s="203"/>
    </row>
    <row r="235" spans="2:7">
      <c r="B235" s="481">
        <f t="shared" ref="B235:C235" si="124">B187</f>
        <v>44921</v>
      </c>
      <c r="C235" s="129">
        <f t="shared" si="124"/>
        <v>27</v>
      </c>
      <c r="D235" s="263"/>
      <c r="E235" s="207"/>
      <c r="F235" s="203"/>
      <c r="G235" s="203"/>
    </row>
    <row r="236" spans="2:7">
      <c r="B236" s="481">
        <f t="shared" ref="B236:C236" si="125">B188</f>
        <v>44922</v>
      </c>
      <c r="C236" s="129">
        <f t="shared" si="125"/>
        <v>25</v>
      </c>
      <c r="D236" s="263"/>
      <c r="E236" s="207"/>
      <c r="F236" s="203"/>
      <c r="G236" s="203"/>
    </row>
    <row r="237" spans="2:7">
      <c r="B237" s="481">
        <f t="shared" ref="B237:C237" si="126">B189</f>
        <v>44923</v>
      </c>
      <c r="C237" s="129">
        <f t="shared" si="126"/>
        <v>32</v>
      </c>
      <c r="D237" s="263"/>
      <c r="E237" s="207"/>
      <c r="F237" s="203"/>
      <c r="G237" s="203"/>
    </row>
    <row r="238" spans="2:7">
      <c r="B238" s="481">
        <f t="shared" ref="B238:C238" si="127">B190</f>
        <v>44924</v>
      </c>
      <c r="C238" s="129">
        <f t="shared" si="127"/>
        <v>32</v>
      </c>
      <c r="D238" s="263"/>
      <c r="E238" s="207"/>
      <c r="F238" s="203"/>
      <c r="G238" s="203"/>
    </row>
    <row r="239" spans="2:7">
      <c r="B239" s="481">
        <f t="shared" ref="B239:C239" si="128">B191</f>
        <v>44925</v>
      </c>
      <c r="C239" s="129">
        <f t="shared" si="128"/>
        <v>30</v>
      </c>
      <c r="D239" s="263"/>
      <c r="E239" s="207"/>
      <c r="F239" s="203"/>
      <c r="G239" s="203"/>
    </row>
    <row r="240" spans="2:7">
      <c r="B240" s="481">
        <f t="shared" ref="B240:C240" si="129">B192</f>
        <v>44926</v>
      </c>
      <c r="C240" s="129">
        <f t="shared" si="129"/>
        <v>30</v>
      </c>
      <c r="E240" s="207"/>
      <c r="F240" s="203"/>
      <c r="G240" s="203"/>
    </row>
    <row r="241" spans="2:7">
      <c r="B241" s="315">
        <f>COUNT(B208:B240)</f>
        <v>31</v>
      </c>
      <c r="C241" s="287">
        <f>SUM(C208:C240)</f>
        <v>1279</v>
      </c>
      <c r="D241" s="288">
        <f>SUM(D210:D240)</f>
        <v>0.23221266614542613</v>
      </c>
      <c r="E241" s="287">
        <f>SUM(E210:E240)</f>
        <v>35524.550828772473</v>
      </c>
      <c r="F241" s="203"/>
      <c r="G241" s="203"/>
    </row>
    <row r="242" spans="2:7">
      <c r="B242" s="283"/>
      <c r="C242" s="203"/>
      <c r="D242" s="282">
        <f>5/C205</f>
        <v>0.16129032258064516</v>
      </c>
    </row>
  </sheetData>
  <pageMargins left="0.5" right="0.5" top="1" bottom="1" header="0.5" footer="0.5"/>
  <pageSetup scale="74" fitToHeight="3" orientation="landscape" r:id="rId1"/>
  <headerFooter alignWithMargins="0">
    <oddFooter>&amp;R&amp;F
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theme="5" tint="0.39997558519241921"/>
    <pageSetUpPr fitToPage="1"/>
  </sheetPr>
  <dimension ref="A1:Q86"/>
  <sheetViews>
    <sheetView zoomScale="75" zoomScaleNormal="75" workbookViewId="0">
      <pane xSplit="2" ySplit="2" topLeftCell="C3" activePane="bottomRight" state="frozen"/>
      <selection activeCell="N53" sqref="N53"/>
      <selection pane="topRight" activeCell="N53" sqref="N53"/>
      <selection pane="bottomLeft" activeCell="N53" sqref="N53"/>
      <selection pane="bottomRight" activeCell="D35" sqref="D35"/>
    </sheetView>
  </sheetViews>
  <sheetFormatPr defaultColWidth="9.140625" defaultRowHeight="12.75"/>
  <cols>
    <col min="1" max="1" width="42" style="206" customWidth="1"/>
    <col min="2" max="2" width="5.28515625" style="205" customWidth="1"/>
    <col min="3" max="3" width="2.7109375" style="203" customWidth="1"/>
    <col min="4" max="8" width="11.42578125" style="207" customWidth="1"/>
    <col min="9" max="9" width="12.28515625" style="207" bestFit="1" customWidth="1"/>
    <col min="10" max="10" width="1.7109375" style="203" customWidth="1"/>
    <col min="11" max="16384" width="9.140625" style="203"/>
  </cols>
  <sheetData>
    <row r="1" spans="1:11">
      <c r="D1" s="312" t="s">
        <v>1664</v>
      </c>
      <c r="E1" s="311"/>
      <c r="F1" s="311"/>
      <c r="G1" s="311"/>
      <c r="H1" s="311"/>
      <c r="I1" s="311"/>
    </row>
    <row r="2" spans="1:11" ht="13.5" thickBot="1">
      <c r="A2" s="628"/>
      <c r="B2" s="310" t="s">
        <v>915</v>
      </c>
      <c r="C2" s="309"/>
      <c r="D2" s="308">
        <f>'Demand - Firm Peak by Sch'!D4</f>
        <v>44914</v>
      </c>
      <c r="E2" s="308">
        <f>'Demand - Firm Peak by Sch'!E4</f>
        <v>44915</v>
      </c>
      <c r="F2" s="308">
        <f>'Demand - Firm Peak by Sch'!F4</f>
        <v>44916</v>
      </c>
      <c r="G2" s="308">
        <f>'Demand - Firm Peak by Sch'!G4</f>
        <v>44917</v>
      </c>
      <c r="H2" s="308">
        <f>'Demand - Firm Peak by Sch'!H4</f>
        <v>44918</v>
      </c>
      <c r="I2" s="307"/>
    </row>
    <row r="3" spans="1:11">
      <c r="A3" s="209" t="s">
        <v>914</v>
      </c>
      <c r="D3" s="129">
        <f>'5 Day Peak'!B36</f>
        <v>1708498</v>
      </c>
      <c r="E3" s="129">
        <f>'5 Day Peak'!C36</f>
        <v>1804010</v>
      </c>
      <c r="F3" s="129">
        <f>'5 Day Peak'!D36</f>
        <v>2115227</v>
      </c>
      <c r="G3" s="129">
        <f>'5 Day Peak'!E36</f>
        <v>2170116</v>
      </c>
      <c r="H3" s="129">
        <f>'5 Day Peak'!F36</f>
        <v>1953743</v>
      </c>
      <c r="I3" s="295">
        <f>SUM(D3:H3)</f>
        <v>9751594</v>
      </c>
      <c r="K3" s="203" t="s">
        <v>1285</v>
      </c>
    </row>
    <row r="4" spans="1:11">
      <c r="A4" s="303" t="s">
        <v>893</v>
      </c>
      <c r="D4" s="263">
        <f>-SUM(D27:D30)</f>
        <v>-14594.828960125096</v>
      </c>
      <c r="E4" s="263">
        <f>-SUM(E27:E30)</f>
        <v>-17635.418326817824</v>
      </c>
      <c r="F4" s="263">
        <f t="shared" ref="F4:H4" si="0">-SUM(F27:F30)</f>
        <v>-19459.771946833462</v>
      </c>
      <c r="G4" s="263">
        <f t="shared" si="0"/>
        <v>-20676.007693510554</v>
      </c>
      <c r="H4" s="263">
        <f t="shared" si="0"/>
        <v>-17939.477263487101</v>
      </c>
      <c r="I4" s="295">
        <f>SUM(D4:H4)</f>
        <v>-90305.504190774038</v>
      </c>
    </row>
    <row r="5" spans="1:11">
      <c r="A5" s="303" t="s">
        <v>892</v>
      </c>
      <c r="D5" s="263">
        <f>-D73</f>
        <v>-307154.28068803751</v>
      </c>
      <c r="E5" s="263">
        <f>-E73</f>
        <v>-309342.79749804537</v>
      </c>
      <c r="F5" s="263">
        <f>-F73</f>
        <v>-325813.70758405002</v>
      </c>
      <c r="G5" s="263">
        <f>-G73</f>
        <v>-322684.31430805317</v>
      </c>
      <c r="H5" s="263">
        <f>-H73</f>
        <v>-287448.94917904615</v>
      </c>
      <c r="I5" s="295">
        <f>SUM(D5:H5)</f>
        <v>-1552444.0492572321</v>
      </c>
    </row>
    <row r="6" spans="1:11">
      <c r="A6" s="629" t="s">
        <v>913</v>
      </c>
      <c r="D6" s="298">
        <f>SUM(D3:D5)</f>
        <v>1386748.8903518375</v>
      </c>
      <c r="E6" s="298">
        <f>SUM(E3:E5)</f>
        <v>1477031.7841751366</v>
      </c>
      <c r="F6" s="298">
        <f>SUM(F3:F5)</f>
        <v>1769953.5204691165</v>
      </c>
      <c r="G6" s="298">
        <f>SUM(G3:G5)</f>
        <v>1826755.6779984364</v>
      </c>
      <c r="H6" s="298">
        <f>SUM(H3:H5)</f>
        <v>1648354.5735574667</v>
      </c>
      <c r="I6" s="298">
        <f>IF(ROUND(SUM(I3:I5),0)&lt;&gt;ROUND(SUM(D6:H6),0),#VALUE!,SUM(D6:H6))</f>
        <v>8108844.4465519935</v>
      </c>
    </row>
    <row r="7" spans="1:11">
      <c r="A7" s="303"/>
      <c r="I7" s="129"/>
    </row>
    <row r="8" spans="1:11">
      <c r="A8" s="303"/>
      <c r="I8" s="290"/>
    </row>
    <row r="9" spans="1:11">
      <c r="A9" s="629" t="s">
        <v>757</v>
      </c>
      <c r="D9" s="263">
        <f>D3</f>
        <v>1708498</v>
      </c>
      <c r="E9" s="263">
        <f>E3</f>
        <v>1804010</v>
      </c>
      <c r="F9" s="263">
        <f>F3</f>
        <v>2115227</v>
      </c>
      <c r="G9" s="263">
        <f>G3</f>
        <v>2170116</v>
      </c>
      <c r="H9" s="263">
        <f>H3</f>
        <v>1953743</v>
      </c>
      <c r="I9" s="295">
        <f>SUM(D9:H9)</f>
        <v>9751594</v>
      </c>
    </row>
    <row r="10" spans="1:11">
      <c r="A10" s="629" t="s">
        <v>912</v>
      </c>
      <c r="I10" s="129"/>
    </row>
    <row r="11" spans="1:11">
      <c r="A11" s="306"/>
      <c r="B11" s="386">
        <v>146</v>
      </c>
      <c r="D11" s="263"/>
      <c r="E11" s="263"/>
      <c r="F11" s="263"/>
      <c r="G11" s="263"/>
      <c r="H11" s="263"/>
      <c r="I11" s="295">
        <f>SUM(D11:H11)</f>
        <v>0</v>
      </c>
    </row>
    <row r="12" spans="1:11">
      <c r="A12" s="303"/>
      <c r="D12" s="263"/>
      <c r="E12" s="263"/>
      <c r="F12" s="263"/>
      <c r="G12" s="263"/>
      <c r="H12" s="263"/>
      <c r="I12" s="295">
        <f>SUM(D12:H12)</f>
        <v>0</v>
      </c>
    </row>
    <row r="13" spans="1:11">
      <c r="A13" s="629" t="s">
        <v>911</v>
      </c>
      <c r="D13" s="294">
        <f>SUM(D9:D12)</f>
        <v>1708498</v>
      </c>
      <c r="E13" s="294">
        <f t="shared" ref="E13:I13" si="1">SUM(E9:E12)</f>
        <v>1804010</v>
      </c>
      <c r="F13" s="294">
        <f t="shared" si="1"/>
        <v>2115227</v>
      </c>
      <c r="G13" s="294">
        <f t="shared" si="1"/>
        <v>2170116</v>
      </c>
      <c r="H13" s="294">
        <f t="shared" si="1"/>
        <v>1953743</v>
      </c>
      <c r="I13" s="294">
        <f t="shared" si="1"/>
        <v>9751594</v>
      </c>
    </row>
    <row r="14" spans="1:11">
      <c r="A14" s="303"/>
      <c r="I14" s="129"/>
    </row>
    <row r="15" spans="1:11">
      <c r="A15" s="629" t="s">
        <v>891</v>
      </c>
      <c r="D15" s="263">
        <f>-(D4+D5)</f>
        <v>321749.10964816262</v>
      </c>
      <c r="E15" s="263">
        <f>-(E4+E5)</f>
        <v>326978.21582486317</v>
      </c>
      <c r="F15" s="263">
        <f>-(F4+F5)</f>
        <v>345273.47953088349</v>
      </c>
      <c r="G15" s="263">
        <f>-(G4+G5)</f>
        <v>343360.32200156373</v>
      </c>
      <c r="H15" s="263">
        <f>-(H4+H5)</f>
        <v>305388.42644253327</v>
      </c>
      <c r="I15" s="295">
        <f>SUM(D15:H15)</f>
        <v>1642749.5534480063</v>
      </c>
    </row>
    <row r="16" spans="1:11">
      <c r="A16" s="629" t="s">
        <v>890</v>
      </c>
      <c r="I16" s="129"/>
    </row>
    <row r="17" spans="1:11">
      <c r="A17" s="303"/>
      <c r="B17" s="304">
        <v>146</v>
      </c>
      <c r="C17" s="207"/>
      <c r="D17" s="295"/>
      <c r="E17" s="295"/>
      <c r="F17" s="295"/>
      <c r="G17" s="295"/>
      <c r="H17" s="295"/>
      <c r="I17" s="295">
        <f t="shared" ref="I17:I22" si="2">SUM(D17:H17)</f>
        <v>0</v>
      </c>
    </row>
    <row r="18" spans="1:11">
      <c r="A18" s="306"/>
      <c r="B18" s="304">
        <v>146</v>
      </c>
      <c r="C18" s="207"/>
      <c r="D18" s="295"/>
      <c r="E18" s="295"/>
      <c r="F18" s="295"/>
      <c r="G18" s="295"/>
      <c r="H18" s="295"/>
      <c r="I18" s="295">
        <f t="shared" si="2"/>
        <v>0</v>
      </c>
      <c r="K18" s="264"/>
    </row>
    <row r="19" spans="1:11">
      <c r="A19" s="306"/>
      <c r="B19" s="304">
        <v>146</v>
      </c>
      <c r="C19" s="207"/>
      <c r="I19" s="295">
        <f t="shared" si="2"/>
        <v>0</v>
      </c>
      <c r="K19" s="264"/>
    </row>
    <row r="20" spans="1:11">
      <c r="A20" s="306"/>
      <c r="B20" s="304">
        <v>146</v>
      </c>
      <c r="C20" s="207"/>
      <c r="D20" s="295"/>
      <c r="E20" s="295"/>
      <c r="F20" s="295"/>
      <c r="G20" s="295"/>
      <c r="H20" s="295"/>
      <c r="I20" s="295">
        <f t="shared" si="2"/>
        <v>0</v>
      </c>
      <c r="K20" s="264"/>
    </row>
    <row r="21" spans="1:11" s="207" customFormat="1">
      <c r="A21" s="306"/>
      <c r="B21" s="305"/>
      <c r="D21" s="295"/>
      <c r="E21" s="295"/>
      <c r="F21" s="295"/>
      <c r="G21" s="295"/>
      <c r="H21" s="295"/>
      <c r="I21" s="295">
        <f t="shared" si="2"/>
        <v>0</v>
      </c>
    </row>
    <row r="22" spans="1:11">
      <c r="A22" s="303" t="s">
        <v>889</v>
      </c>
      <c r="D22" s="302">
        <f>SUM(D15:D21)</f>
        <v>321749.10964816262</v>
      </c>
      <c r="E22" s="302">
        <f>SUM(E15:E21)</f>
        <v>326978.21582486317</v>
      </c>
      <c r="F22" s="302">
        <f>SUM(F15:F21)</f>
        <v>345273.47953088349</v>
      </c>
      <c r="G22" s="302">
        <f>SUM(G15:G21)</f>
        <v>343360.32200156373</v>
      </c>
      <c r="H22" s="302">
        <f>SUM(H15:H21)</f>
        <v>305388.42644253327</v>
      </c>
      <c r="I22" s="302">
        <f t="shared" si="2"/>
        <v>1642749.5534480063</v>
      </c>
    </row>
    <row r="23" spans="1:11" ht="13.5" thickBot="1">
      <c r="A23" s="301" t="s">
        <v>910</v>
      </c>
      <c r="D23" s="291">
        <f>D13-D22</f>
        <v>1386748.8903518375</v>
      </c>
      <c r="E23" s="291">
        <f>E13-E22</f>
        <v>1477031.7841751368</v>
      </c>
      <c r="F23" s="291">
        <f>F13-F22</f>
        <v>1769953.5204691165</v>
      </c>
      <c r="G23" s="291">
        <f>G13-G22</f>
        <v>1826755.6779984361</v>
      </c>
      <c r="H23" s="291">
        <f>H13-H22</f>
        <v>1648354.5735574667</v>
      </c>
      <c r="I23" s="291">
        <f>IF(ROUND(I13-I22,0)&lt;&gt;ROUND(SUM(D23:H23),0),#VALUE!,SUM(D23:H23))</f>
        <v>8108844.4465519935</v>
      </c>
    </row>
    <row r="24" spans="1:11" ht="13.5" thickTop="1"/>
    <row r="25" spans="1:11">
      <c r="A25" s="629" t="s">
        <v>1015</v>
      </c>
    </row>
    <row r="26" spans="1:11">
      <c r="A26" s="297" t="s">
        <v>909</v>
      </c>
      <c r="D26" s="300"/>
      <c r="E26" s="300"/>
      <c r="F26" s="300"/>
      <c r="G26" s="300"/>
      <c r="H26" s="300"/>
    </row>
    <row r="27" spans="1:11">
      <c r="A27" s="630" t="s">
        <v>908</v>
      </c>
      <c r="B27" s="292">
        <v>132</v>
      </c>
      <c r="C27" s="372"/>
      <c r="D27" s="295">
        <f>'Demand Sch 146 adj'!E132</f>
        <v>2762.0774354964815</v>
      </c>
      <c r="E27" s="295">
        <f>'Demand Sch 146 adj'!E133</f>
        <v>3337.5102345582482</v>
      </c>
      <c r="F27" s="295">
        <f>'Demand Sch 146 adj'!E134</f>
        <v>3682.7699139953088</v>
      </c>
      <c r="G27" s="295">
        <f>'Demand Sch 146 adj'!E135</f>
        <v>3912.9430336200153</v>
      </c>
      <c r="H27" s="295">
        <f>'Demand Sch 146 adj'!E136</f>
        <v>3395.0535144644255</v>
      </c>
      <c r="I27" s="295">
        <f>SUM(D27:H27)</f>
        <v>17090.354132134478</v>
      </c>
      <c r="J27" s="206"/>
      <c r="K27" s="296">
        <f>AVERAGE(D27:H27)</f>
        <v>3418.0708264268956</v>
      </c>
    </row>
    <row r="28" spans="1:11">
      <c r="A28" s="630" t="s">
        <v>969</v>
      </c>
      <c r="B28" s="292">
        <v>132</v>
      </c>
      <c r="C28" s="372"/>
      <c r="D28" s="295">
        <f>'Demand Sch 146 adj'!E86</f>
        <v>4666.1651915559032</v>
      </c>
      <c r="E28" s="295">
        <f>'Demand Sch 146 adj'!E87</f>
        <v>5638.2829397967162</v>
      </c>
      <c r="F28" s="295">
        <f>'Demand Sch 146 adj'!E88</f>
        <v>6221.5535887412043</v>
      </c>
      <c r="G28" s="295">
        <f>'Demand Sch 146 adj'!E89</f>
        <v>6610.4006880375291</v>
      </c>
      <c r="H28" s="295">
        <f>'Demand Sch 146 adj'!E90</f>
        <v>5735.4947146207978</v>
      </c>
      <c r="I28" s="295">
        <f>SUM(D28:H28)</f>
        <v>28871.897122752154</v>
      </c>
      <c r="J28" s="206"/>
      <c r="K28" s="296">
        <f t="shared" ref="K28:K30" si="3">AVERAGE(D28:H28)</f>
        <v>5774.3794245504305</v>
      </c>
    </row>
    <row r="29" spans="1:11">
      <c r="A29" s="306" t="s">
        <v>905</v>
      </c>
      <c r="B29" s="292">
        <v>132</v>
      </c>
      <c r="C29" s="372"/>
      <c r="D29" s="295">
        <f>'Demand Sch 146 adj'!E228</f>
        <v>5741.3415480844405</v>
      </c>
      <c r="E29" s="295">
        <f>'Demand Sch 146 adj'!E229</f>
        <v>6937.4543706020322</v>
      </c>
      <c r="F29" s="295">
        <f>'Demand Sch 146 adj'!E230</f>
        <v>7655.1220641125874</v>
      </c>
      <c r="G29" s="295">
        <f>'Demand Sch 146 adj'!E231</f>
        <v>8133.5671931196239</v>
      </c>
      <c r="H29" s="295">
        <f>'Demand Sch 146 adj'!E232</f>
        <v>7057.065652853792</v>
      </c>
      <c r="I29" s="295">
        <f t="shared" ref="I29:I30" si="4">SUM(D29:H29)</f>
        <v>35524.550828772473</v>
      </c>
      <c r="J29" s="206"/>
      <c r="K29" s="296">
        <f t="shared" si="3"/>
        <v>7104.9101657544943</v>
      </c>
    </row>
    <row r="30" spans="1:11">
      <c r="A30" s="306" t="s">
        <v>896</v>
      </c>
      <c r="B30" s="292">
        <v>132</v>
      </c>
      <c r="C30" s="372"/>
      <c r="D30" s="295">
        <f>'Demand Sch 146 adj'!E180</f>
        <v>1425.2447849882722</v>
      </c>
      <c r="E30" s="295">
        <f>'Demand Sch 146 adj'!E181</f>
        <v>1722.1707818608286</v>
      </c>
      <c r="F30" s="295">
        <f>'Demand Sch 146 adj'!E182</f>
        <v>1900.3263799843628</v>
      </c>
      <c r="G30" s="295">
        <f>'Demand Sch 146 adj'!E183</f>
        <v>2019.0967787333852</v>
      </c>
      <c r="H30" s="295">
        <f>'Demand Sch 146 adj'!E184</f>
        <v>1751.8633815480846</v>
      </c>
      <c r="I30" s="295">
        <f t="shared" si="4"/>
        <v>8818.7021071149338</v>
      </c>
      <c r="J30" s="206"/>
      <c r="K30" s="296">
        <f t="shared" si="3"/>
        <v>1763.7404214229869</v>
      </c>
    </row>
    <row r="31" spans="1:11">
      <c r="A31" s="630"/>
      <c r="B31" s="292"/>
      <c r="C31" s="372"/>
      <c r="D31" s="295"/>
      <c r="E31" s="295"/>
      <c r="F31" s="295"/>
      <c r="G31" s="295"/>
      <c r="H31" s="295"/>
      <c r="I31" s="295"/>
      <c r="J31" s="206"/>
      <c r="K31" s="206"/>
    </row>
    <row r="32" spans="1:11">
      <c r="A32" s="297" t="s">
        <v>907</v>
      </c>
      <c r="C32" s="372"/>
      <c r="D32" s="372"/>
      <c r="E32" s="372"/>
      <c r="F32" s="372"/>
      <c r="G32" s="372"/>
      <c r="H32" s="372"/>
      <c r="I32" s="372"/>
      <c r="J32" s="206"/>
      <c r="K32" s="206"/>
    </row>
    <row r="33" spans="1:11">
      <c r="A33" s="630" t="s">
        <v>777</v>
      </c>
      <c r="B33" s="304">
        <v>146</v>
      </c>
      <c r="C33" s="206"/>
      <c r="D33" s="49">
        <v>1132</v>
      </c>
      <c r="E33" s="49">
        <v>1239</v>
      </c>
      <c r="F33" s="49">
        <v>1251</v>
      </c>
      <c r="G33" s="49">
        <v>1211</v>
      </c>
      <c r="H33" s="49">
        <v>990</v>
      </c>
      <c r="I33" s="295">
        <f>SUM(D33:H33)</f>
        <v>5823</v>
      </c>
      <c r="J33" s="206"/>
      <c r="K33" s="477">
        <f>AVERAGE(D33:H33)</f>
        <v>1164.5999999999999</v>
      </c>
    </row>
    <row r="34" spans="1:11">
      <c r="A34" s="306" t="s">
        <v>776</v>
      </c>
      <c r="B34" s="304">
        <v>146</v>
      </c>
      <c r="C34" s="206"/>
      <c r="D34" s="49">
        <v>801</v>
      </c>
      <c r="E34" s="49">
        <v>827</v>
      </c>
      <c r="F34" s="49">
        <v>661</v>
      </c>
      <c r="G34" s="49">
        <v>223</v>
      </c>
      <c r="H34" s="49">
        <v>746</v>
      </c>
      <c r="I34" s="295">
        <f t="shared" ref="I34:I71" si="5">SUM(D34:H34)</f>
        <v>3258</v>
      </c>
      <c r="J34" s="206"/>
      <c r="K34" s="477">
        <f t="shared" ref="K34:K71" si="6">AVERAGE(D34:H34)</f>
        <v>651.6</v>
      </c>
    </row>
    <row r="35" spans="1:11">
      <c r="A35" s="306" t="s">
        <v>774</v>
      </c>
      <c r="B35" s="304">
        <v>146</v>
      </c>
      <c r="C35" s="206"/>
      <c r="D35" s="49">
        <v>12403</v>
      </c>
      <c r="E35" s="49">
        <v>10273</v>
      </c>
      <c r="F35" s="49">
        <v>6208</v>
      </c>
      <c r="G35" s="49">
        <v>5051</v>
      </c>
      <c r="H35" s="49">
        <v>5122</v>
      </c>
      <c r="I35" s="295">
        <f t="shared" si="5"/>
        <v>39057</v>
      </c>
      <c r="J35" s="206"/>
      <c r="K35" s="477">
        <f t="shared" si="6"/>
        <v>7811.4</v>
      </c>
    </row>
    <row r="36" spans="1:11">
      <c r="A36" s="306" t="s">
        <v>775</v>
      </c>
      <c r="B36" s="304">
        <v>146</v>
      </c>
      <c r="C36" s="206"/>
      <c r="D36" s="49">
        <v>17643</v>
      </c>
      <c r="E36" s="49">
        <v>8165</v>
      </c>
      <c r="F36" s="49">
        <v>4860</v>
      </c>
      <c r="G36" s="49">
        <v>4779</v>
      </c>
      <c r="H36" s="49">
        <v>7181</v>
      </c>
      <c r="I36" s="295">
        <f t="shared" si="5"/>
        <v>42628</v>
      </c>
      <c r="J36" s="206"/>
      <c r="K36" s="477">
        <f t="shared" si="6"/>
        <v>8525.6</v>
      </c>
    </row>
    <row r="37" spans="1:11">
      <c r="A37" s="306" t="s">
        <v>906</v>
      </c>
      <c r="B37" s="304">
        <v>146</v>
      </c>
      <c r="C37" s="206"/>
      <c r="D37" s="49">
        <v>1434</v>
      </c>
      <c r="E37" s="49">
        <v>1384</v>
      </c>
      <c r="F37" s="49">
        <v>1578</v>
      </c>
      <c r="G37" s="49">
        <v>1181</v>
      </c>
      <c r="H37" s="49">
        <v>506</v>
      </c>
      <c r="I37" s="295">
        <f t="shared" si="5"/>
        <v>6083</v>
      </c>
      <c r="J37" s="206"/>
      <c r="K37" s="477">
        <f t="shared" si="6"/>
        <v>1216.5999999999999</v>
      </c>
    </row>
    <row r="38" spans="1:11">
      <c r="A38" s="306" t="s">
        <v>973</v>
      </c>
      <c r="B38" s="304">
        <v>146</v>
      </c>
      <c r="C38" s="206"/>
      <c r="D38" s="49">
        <v>5379</v>
      </c>
      <c r="E38" s="49">
        <v>6641</v>
      </c>
      <c r="F38" s="49">
        <v>8806</v>
      </c>
      <c r="G38" s="49">
        <v>8695</v>
      </c>
      <c r="H38" s="49">
        <v>7824</v>
      </c>
      <c r="I38" s="295">
        <f t="shared" si="5"/>
        <v>37345</v>
      </c>
      <c r="J38" s="206"/>
      <c r="K38" s="477">
        <f t="shared" si="6"/>
        <v>7469</v>
      </c>
    </row>
    <row r="39" spans="1:11">
      <c r="A39" s="306" t="s">
        <v>974</v>
      </c>
      <c r="B39" s="304">
        <v>146</v>
      </c>
      <c r="C39" s="372"/>
      <c r="D39" s="295">
        <f>'Demand Sch 146 adj'!$E38</f>
        <v>2359.2806880375297</v>
      </c>
      <c r="E39" s="295">
        <f>'Demand Sch 146 adj'!$E39</f>
        <v>2850.7974980453478</v>
      </c>
      <c r="F39" s="295">
        <f>'Demand Sch 146 adj'!$E40</f>
        <v>3145.7075840500393</v>
      </c>
      <c r="G39" s="295">
        <f>'Demand Sch 146 adj'!$E41</f>
        <v>3342.3143080531663</v>
      </c>
      <c r="H39" s="295">
        <f>'Demand Sch 146 adj'!$E42</f>
        <v>2899.9491790461298</v>
      </c>
      <c r="I39" s="295">
        <f t="shared" si="5"/>
        <v>14598.049257232211</v>
      </c>
      <c r="J39" s="206"/>
      <c r="K39" s="477">
        <f t="shared" si="6"/>
        <v>2919.609851446442</v>
      </c>
    </row>
    <row r="40" spans="1:11">
      <c r="A40" s="306" t="s">
        <v>773</v>
      </c>
      <c r="B40" s="304">
        <v>146</v>
      </c>
      <c r="C40" s="206"/>
      <c r="D40" s="49">
        <v>1905</v>
      </c>
      <c r="E40" s="49">
        <v>3367</v>
      </c>
      <c r="F40" s="49">
        <v>2864</v>
      </c>
      <c r="G40" s="49">
        <v>2866</v>
      </c>
      <c r="H40" s="49">
        <v>3456</v>
      </c>
      <c r="I40" s="295">
        <f t="shared" si="5"/>
        <v>14458</v>
      </c>
      <c r="J40" s="206"/>
      <c r="K40" s="477">
        <f t="shared" si="6"/>
        <v>2891.6</v>
      </c>
    </row>
    <row r="41" spans="1:11">
      <c r="A41" s="306" t="s">
        <v>904</v>
      </c>
      <c r="B41" s="304">
        <v>146</v>
      </c>
      <c r="C41" s="206"/>
      <c r="D41" s="49">
        <v>1415</v>
      </c>
      <c r="E41" s="49">
        <v>1533</v>
      </c>
      <c r="F41" s="49">
        <v>1660</v>
      </c>
      <c r="G41" s="49">
        <v>1734</v>
      </c>
      <c r="H41" s="49">
        <v>1644</v>
      </c>
      <c r="I41" s="295">
        <f t="shared" si="5"/>
        <v>7986</v>
      </c>
      <c r="J41" s="206"/>
      <c r="K41" s="477">
        <f t="shared" si="6"/>
        <v>1597.2</v>
      </c>
    </row>
    <row r="42" spans="1:11">
      <c r="A42" s="306" t="s">
        <v>903</v>
      </c>
      <c r="B42" s="304">
        <v>146</v>
      </c>
      <c r="C42" s="206"/>
      <c r="D42" s="49">
        <v>12881</v>
      </c>
      <c r="E42" s="49">
        <v>13522</v>
      </c>
      <c r="F42" s="49">
        <v>15454</v>
      </c>
      <c r="G42" s="49">
        <v>16314</v>
      </c>
      <c r="H42" s="49">
        <v>15153</v>
      </c>
      <c r="I42" s="295">
        <f t="shared" si="5"/>
        <v>73324</v>
      </c>
      <c r="J42" s="206"/>
      <c r="K42" s="477">
        <f t="shared" si="6"/>
        <v>14664.8</v>
      </c>
    </row>
    <row r="43" spans="1:11">
      <c r="A43" s="306" t="s">
        <v>1203</v>
      </c>
      <c r="B43" s="304">
        <v>146</v>
      </c>
      <c r="C43" s="206"/>
      <c r="D43" s="49">
        <v>18404</v>
      </c>
      <c r="E43" s="49">
        <v>19671</v>
      </c>
      <c r="F43" s="49">
        <v>21168</v>
      </c>
      <c r="G43" s="49">
        <v>21560</v>
      </c>
      <c r="H43" s="49">
        <v>19844</v>
      </c>
      <c r="I43" s="295">
        <f t="shared" si="5"/>
        <v>100647</v>
      </c>
      <c r="J43" s="206"/>
      <c r="K43" s="477">
        <f t="shared" si="6"/>
        <v>20129.400000000001</v>
      </c>
    </row>
    <row r="44" spans="1:11">
      <c r="A44" s="306" t="s">
        <v>772</v>
      </c>
      <c r="B44" s="304">
        <v>146</v>
      </c>
      <c r="C44" s="206"/>
      <c r="D44" s="49">
        <v>1425</v>
      </c>
      <c r="E44" s="49">
        <v>1806</v>
      </c>
      <c r="F44" s="49">
        <v>1878</v>
      </c>
      <c r="G44" s="49">
        <v>1947</v>
      </c>
      <c r="H44" s="49">
        <v>1463</v>
      </c>
      <c r="I44" s="295">
        <f t="shared" si="5"/>
        <v>8519</v>
      </c>
      <c r="J44" s="206"/>
      <c r="K44" s="477">
        <f t="shared" si="6"/>
        <v>1703.8</v>
      </c>
    </row>
    <row r="45" spans="1:11">
      <c r="A45" s="306" t="s">
        <v>902</v>
      </c>
      <c r="B45" s="304">
        <v>146</v>
      </c>
      <c r="C45" s="206"/>
      <c r="D45" s="49">
        <v>5181</v>
      </c>
      <c r="E45" s="49">
        <v>5471</v>
      </c>
      <c r="F45" s="49">
        <v>6140</v>
      </c>
      <c r="G45" s="49">
        <v>6290</v>
      </c>
      <c r="H45" s="49">
        <v>5822</v>
      </c>
      <c r="I45" s="295">
        <f t="shared" si="5"/>
        <v>28904</v>
      </c>
      <c r="J45" s="206"/>
      <c r="K45" s="477">
        <f t="shared" si="6"/>
        <v>5780.8</v>
      </c>
    </row>
    <row r="46" spans="1:11">
      <c r="A46" s="306" t="s">
        <v>1034</v>
      </c>
      <c r="B46" s="304">
        <v>146</v>
      </c>
      <c r="C46" s="206"/>
      <c r="D46" s="21">
        <v>2340</v>
      </c>
      <c r="E46" s="21">
        <v>2263</v>
      </c>
      <c r="F46" s="21">
        <v>2538</v>
      </c>
      <c r="G46" s="21">
        <v>2552</v>
      </c>
      <c r="H46" s="21">
        <v>2202</v>
      </c>
      <c r="I46" s="295">
        <f t="shared" si="5"/>
        <v>11895</v>
      </c>
      <c r="J46" s="206"/>
      <c r="K46" s="477">
        <f t="shared" si="6"/>
        <v>2379</v>
      </c>
    </row>
    <row r="47" spans="1:11">
      <c r="A47" s="306" t="s">
        <v>901</v>
      </c>
      <c r="B47" s="304">
        <v>146</v>
      </c>
      <c r="C47" s="206"/>
      <c r="D47" s="49">
        <v>3597</v>
      </c>
      <c r="E47" s="49">
        <v>3759</v>
      </c>
      <c r="F47" s="49">
        <v>4144</v>
      </c>
      <c r="G47" s="49">
        <v>4129</v>
      </c>
      <c r="H47" s="49">
        <v>4138</v>
      </c>
      <c r="I47" s="295">
        <f t="shared" si="5"/>
        <v>19767</v>
      </c>
      <c r="J47" s="206"/>
      <c r="K47" s="477">
        <f t="shared" si="6"/>
        <v>3953.4</v>
      </c>
    </row>
    <row r="48" spans="1:11">
      <c r="A48" s="306" t="s">
        <v>771</v>
      </c>
      <c r="B48" s="304">
        <v>146</v>
      </c>
      <c r="C48" s="372"/>
      <c r="D48" s="49">
        <v>2055</v>
      </c>
      <c r="E48" s="49">
        <v>2182</v>
      </c>
      <c r="F48" s="49">
        <v>2537</v>
      </c>
      <c r="G48" s="49">
        <v>2439</v>
      </c>
      <c r="H48" s="49">
        <v>1891</v>
      </c>
      <c r="I48" s="295">
        <f t="shared" si="5"/>
        <v>11104</v>
      </c>
      <c r="J48" s="206"/>
      <c r="K48" s="477">
        <f t="shared" si="6"/>
        <v>2220.8000000000002</v>
      </c>
    </row>
    <row r="49" spans="1:17">
      <c r="A49" s="306" t="s">
        <v>900</v>
      </c>
      <c r="B49" s="304">
        <v>146</v>
      </c>
      <c r="C49" s="372"/>
      <c r="D49" s="387">
        <v>1</v>
      </c>
      <c r="E49" s="387">
        <v>1</v>
      </c>
      <c r="F49" s="387">
        <v>1</v>
      </c>
      <c r="G49" s="387">
        <v>1</v>
      </c>
      <c r="H49" s="387">
        <v>1</v>
      </c>
      <c r="I49" s="295">
        <f t="shared" si="5"/>
        <v>5</v>
      </c>
      <c r="J49" s="206"/>
      <c r="K49" s="477">
        <f t="shared" si="6"/>
        <v>1</v>
      </c>
    </row>
    <row r="50" spans="1:17">
      <c r="A50" s="306" t="s">
        <v>900</v>
      </c>
      <c r="B50" s="304">
        <v>146</v>
      </c>
      <c r="C50" s="372"/>
      <c r="D50" s="387">
        <v>0</v>
      </c>
      <c r="E50" s="387">
        <v>0</v>
      </c>
      <c r="F50" s="387">
        <v>0</v>
      </c>
      <c r="G50" s="387">
        <v>0</v>
      </c>
      <c r="H50" s="387">
        <v>0</v>
      </c>
      <c r="I50" s="295">
        <f>SUM(D50:H50)</f>
        <v>0</v>
      </c>
      <c r="J50" s="206"/>
      <c r="K50" s="477">
        <f t="shared" si="6"/>
        <v>0</v>
      </c>
    </row>
    <row r="51" spans="1:17">
      <c r="A51" s="306" t="s">
        <v>768</v>
      </c>
      <c r="B51" s="304">
        <v>146</v>
      </c>
      <c r="C51" s="206"/>
      <c r="D51" s="49">
        <v>1110</v>
      </c>
      <c r="E51" s="49">
        <v>1076</v>
      </c>
      <c r="F51" s="49">
        <v>1023</v>
      </c>
      <c r="G51" s="49">
        <v>1276</v>
      </c>
      <c r="H51" s="49">
        <v>1146</v>
      </c>
      <c r="I51" s="295">
        <f t="shared" si="5"/>
        <v>5631</v>
      </c>
      <c r="J51" s="206"/>
      <c r="K51" s="477">
        <f t="shared" si="6"/>
        <v>1126.2</v>
      </c>
    </row>
    <row r="52" spans="1:17">
      <c r="A52" s="306" t="s">
        <v>1014</v>
      </c>
      <c r="B52" s="304">
        <v>146</v>
      </c>
      <c r="C52" s="206"/>
      <c r="D52" s="49">
        <v>1188</v>
      </c>
      <c r="E52" s="49">
        <v>1115</v>
      </c>
      <c r="F52" s="49">
        <v>1168</v>
      </c>
      <c r="G52" s="49">
        <v>1162</v>
      </c>
      <c r="H52" s="49">
        <v>870</v>
      </c>
      <c r="I52" s="295">
        <f t="shared" si="5"/>
        <v>5503</v>
      </c>
      <c r="J52" s="206"/>
      <c r="K52" s="477">
        <f t="shared" si="6"/>
        <v>1100.5999999999999</v>
      </c>
    </row>
    <row r="53" spans="1:17">
      <c r="A53" s="306" t="s">
        <v>1204</v>
      </c>
      <c r="B53" s="304">
        <v>148</v>
      </c>
      <c r="C53" s="206"/>
      <c r="D53" s="49">
        <v>71541</v>
      </c>
      <c r="E53" s="49">
        <v>78619</v>
      </c>
      <c r="F53" s="49">
        <v>82697</v>
      </c>
      <c r="G53" s="49">
        <v>79161</v>
      </c>
      <c r="H53" s="49">
        <v>77978</v>
      </c>
      <c r="I53" s="295">
        <f t="shared" si="5"/>
        <v>389996</v>
      </c>
      <c r="J53" s="206"/>
      <c r="K53" s="477">
        <f t="shared" si="6"/>
        <v>77999.199999999997</v>
      </c>
    </row>
    <row r="54" spans="1:17">
      <c r="A54" s="306" t="s">
        <v>1262</v>
      </c>
      <c r="B54" s="304">
        <v>146</v>
      </c>
      <c r="C54" s="206"/>
      <c r="D54" s="49">
        <v>812</v>
      </c>
      <c r="E54" s="49">
        <v>800</v>
      </c>
      <c r="F54" s="49">
        <v>815</v>
      </c>
      <c r="G54" s="49">
        <v>912</v>
      </c>
      <c r="H54" s="49">
        <v>793</v>
      </c>
      <c r="I54" s="295">
        <f>SUM(D54:H54)</f>
        <v>4132</v>
      </c>
      <c r="J54" s="206"/>
      <c r="K54" s="477">
        <f t="shared" si="6"/>
        <v>826.4</v>
      </c>
    </row>
    <row r="55" spans="1:17">
      <c r="A55" s="306" t="s">
        <v>767</v>
      </c>
      <c r="B55" s="304">
        <v>146</v>
      </c>
      <c r="C55" s="206"/>
      <c r="D55" s="49">
        <v>2389</v>
      </c>
      <c r="E55" s="49">
        <v>2461</v>
      </c>
      <c r="F55" s="49">
        <v>2759</v>
      </c>
      <c r="G55" s="49">
        <v>2830</v>
      </c>
      <c r="H55" s="49">
        <v>2595</v>
      </c>
      <c r="I55" s="295">
        <f t="shared" si="5"/>
        <v>13034</v>
      </c>
      <c r="J55" s="206"/>
      <c r="K55" s="477">
        <f t="shared" si="6"/>
        <v>2606.8000000000002</v>
      </c>
    </row>
    <row r="56" spans="1:17">
      <c r="A56" s="306" t="s">
        <v>971</v>
      </c>
      <c r="B56" s="292">
        <v>148</v>
      </c>
      <c r="C56" s="206"/>
      <c r="D56" s="483">
        <f>(409780/535858)*'5 Day Peak'!B44</f>
        <v>16572.958059784494</v>
      </c>
      <c r="E56" s="483">
        <f>(409780/535858)*'5 Day Peak'!C44</f>
        <v>16784.784812394329</v>
      </c>
      <c r="F56" s="483">
        <f>(409780/535858)*'5 Day Peak'!D44</f>
        <v>17401.9118497811</v>
      </c>
      <c r="G56" s="483">
        <f>(409780/535858)*'5 Day Peak'!E44</f>
        <v>18119.216882084434</v>
      </c>
      <c r="H56" s="483">
        <f>(409780/535858)*'5 Day Peak'!F44</f>
        <v>11041.756248856973</v>
      </c>
      <c r="I56" s="295">
        <f t="shared" si="5"/>
        <v>79920.627852901322</v>
      </c>
      <c r="J56" s="206"/>
      <c r="K56" s="477">
        <f t="shared" si="6"/>
        <v>15984.125570580265</v>
      </c>
    </row>
    <row r="57" spans="1:17">
      <c r="A57" s="306" t="s">
        <v>899</v>
      </c>
      <c r="B57" s="304">
        <v>146</v>
      </c>
      <c r="C57" s="206"/>
      <c r="D57" s="483">
        <f>(126078/535858)*'5 Day Peak'!B44</f>
        <v>5099.0419402155048</v>
      </c>
      <c r="E57" s="483">
        <f>(126078/535858)*'5 Day Peak'!C44</f>
        <v>5164.2151876056714</v>
      </c>
      <c r="F57" s="483">
        <f>(126078/535858)*'5 Day Peak'!D44</f>
        <v>5354.0881502189013</v>
      </c>
      <c r="G57" s="483">
        <f>(126078/535858)*'5 Day Peak'!E44</f>
        <v>5574.7831179155673</v>
      </c>
      <c r="H57" s="483">
        <f>(126078/535858)*'5 Day Peak'!F44</f>
        <v>3397.2437511430267</v>
      </c>
      <c r="I57" s="295">
        <f t="shared" si="5"/>
        <v>24589.372147098671</v>
      </c>
      <c r="J57" s="206"/>
      <c r="K57" s="477">
        <f t="shared" si="6"/>
        <v>4917.874429419734</v>
      </c>
      <c r="M57" s="483"/>
      <c r="N57" s="483"/>
      <c r="O57" s="483"/>
      <c r="P57" s="483"/>
      <c r="Q57" s="483"/>
    </row>
    <row r="58" spans="1:17">
      <c r="A58" s="306" t="s">
        <v>898</v>
      </c>
      <c r="B58" s="304">
        <v>146</v>
      </c>
      <c r="C58" s="206"/>
      <c r="D58" s="49">
        <v>2793</v>
      </c>
      <c r="E58" s="49">
        <v>2473</v>
      </c>
      <c r="F58" s="49">
        <v>2534</v>
      </c>
      <c r="G58" s="49">
        <v>2746</v>
      </c>
      <c r="H58" s="49">
        <v>2502</v>
      </c>
      <c r="I58" s="295">
        <f t="shared" si="5"/>
        <v>13048</v>
      </c>
      <c r="J58" s="206"/>
      <c r="K58" s="477">
        <f t="shared" si="6"/>
        <v>2609.6</v>
      </c>
    </row>
    <row r="59" spans="1:17">
      <c r="A59" s="306" t="s">
        <v>1205</v>
      </c>
      <c r="B59" s="304">
        <v>146</v>
      </c>
      <c r="C59" s="206"/>
      <c r="D59" s="49">
        <v>5313</v>
      </c>
      <c r="E59" s="49">
        <v>5218</v>
      </c>
      <c r="F59" s="49">
        <v>5421</v>
      </c>
      <c r="G59" s="49">
        <v>5656</v>
      </c>
      <c r="H59" s="49">
        <v>5517</v>
      </c>
      <c r="I59" s="295">
        <f t="shared" si="5"/>
        <v>27125</v>
      </c>
      <c r="J59" s="206"/>
      <c r="K59" s="477">
        <f t="shared" si="6"/>
        <v>5425</v>
      </c>
    </row>
    <row r="60" spans="1:17">
      <c r="A60" s="306" t="s">
        <v>1033</v>
      </c>
      <c r="B60" s="304">
        <v>146</v>
      </c>
      <c r="C60" s="206"/>
      <c r="D60" s="49">
        <v>3947</v>
      </c>
      <c r="E60" s="49">
        <v>4332</v>
      </c>
      <c r="F60" s="49">
        <v>5399</v>
      </c>
      <c r="G60" s="49">
        <v>5261</v>
      </c>
      <c r="H60" s="49">
        <v>4534</v>
      </c>
      <c r="I60" s="295">
        <f t="shared" si="5"/>
        <v>23473</v>
      </c>
      <c r="J60" s="206"/>
      <c r="K60" s="477">
        <f t="shared" si="6"/>
        <v>4694.6000000000004</v>
      </c>
    </row>
    <row r="61" spans="1:17">
      <c r="A61" s="306" t="s">
        <v>1202</v>
      </c>
      <c r="B61" s="304">
        <v>146</v>
      </c>
      <c r="C61" s="206"/>
      <c r="D61" s="49">
        <v>555</v>
      </c>
      <c r="E61" s="49">
        <v>680</v>
      </c>
      <c r="F61" s="49">
        <v>539</v>
      </c>
      <c r="G61" s="49">
        <v>601</v>
      </c>
      <c r="H61" s="49">
        <v>660</v>
      </c>
      <c r="I61" s="295">
        <f t="shared" si="5"/>
        <v>3035</v>
      </c>
      <c r="J61" s="206"/>
      <c r="K61" s="477">
        <f t="shared" si="6"/>
        <v>607</v>
      </c>
    </row>
    <row r="62" spans="1:17">
      <c r="A62" s="306" t="s">
        <v>763</v>
      </c>
      <c r="B62" s="304">
        <v>146</v>
      </c>
      <c r="C62" s="206"/>
      <c r="D62" s="49">
        <v>1888</v>
      </c>
      <c r="E62" s="49">
        <v>2116</v>
      </c>
      <c r="F62" s="49">
        <v>1978</v>
      </c>
      <c r="G62" s="49">
        <v>2185</v>
      </c>
      <c r="H62" s="49">
        <v>1757</v>
      </c>
      <c r="I62" s="295">
        <f t="shared" si="5"/>
        <v>9924</v>
      </c>
      <c r="J62" s="206"/>
      <c r="K62" s="477">
        <f t="shared" si="6"/>
        <v>1984.8</v>
      </c>
    </row>
    <row r="63" spans="1:17">
      <c r="A63" s="306" t="s">
        <v>897</v>
      </c>
      <c r="B63" s="304">
        <v>146</v>
      </c>
      <c r="C63" s="206"/>
      <c r="D63" s="49">
        <v>11743</v>
      </c>
      <c r="E63" s="49">
        <v>12208</v>
      </c>
      <c r="F63" s="49">
        <v>13808</v>
      </c>
      <c r="G63" s="49">
        <v>13768</v>
      </c>
      <c r="H63" s="49">
        <v>12780</v>
      </c>
      <c r="I63" s="295">
        <f t="shared" si="5"/>
        <v>64307</v>
      </c>
      <c r="J63" s="206"/>
      <c r="K63" s="477">
        <f t="shared" si="6"/>
        <v>12861.4</v>
      </c>
    </row>
    <row r="64" spans="1:17">
      <c r="A64" s="306" t="s">
        <v>762</v>
      </c>
      <c r="B64" s="304">
        <v>146</v>
      </c>
      <c r="C64" s="206"/>
      <c r="D64" s="387">
        <v>0</v>
      </c>
      <c r="E64" s="387">
        <v>0</v>
      </c>
      <c r="F64" s="387">
        <v>0</v>
      </c>
      <c r="G64" s="387">
        <v>0</v>
      </c>
      <c r="H64" s="387">
        <v>0</v>
      </c>
      <c r="I64" s="295">
        <f t="shared" si="5"/>
        <v>0</v>
      </c>
      <c r="J64" s="206"/>
      <c r="K64" s="477">
        <f t="shared" si="6"/>
        <v>0</v>
      </c>
    </row>
    <row r="65" spans="1:11">
      <c r="A65" s="306" t="s">
        <v>1039</v>
      </c>
      <c r="B65" s="304">
        <v>146</v>
      </c>
      <c r="C65" s="206"/>
      <c r="D65" s="49">
        <v>3782</v>
      </c>
      <c r="E65" s="49">
        <v>2390</v>
      </c>
      <c r="F65" s="49">
        <v>1229</v>
      </c>
      <c r="G65" s="49">
        <v>2771</v>
      </c>
      <c r="H65" s="49">
        <v>2307</v>
      </c>
      <c r="I65" s="295">
        <f t="shared" si="5"/>
        <v>12479</v>
      </c>
      <c r="J65" s="206"/>
      <c r="K65" s="477">
        <f t="shared" si="6"/>
        <v>2495.8000000000002</v>
      </c>
    </row>
    <row r="66" spans="1:11">
      <c r="A66" s="306" t="s">
        <v>1038</v>
      </c>
      <c r="B66" s="304">
        <v>146</v>
      </c>
      <c r="C66" s="206"/>
      <c r="D66" s="49">
        <v>1828</v>
      </c>
      <c r="E66" s="49">
        <v>1804</v>
      </c>
      <c r="F66" s="49">
        <v>1591</v>
      </c>
      <c r="G66" s="49">
        <v>1742</v>
      </c>
      <c r="H66" s="49">
        <v>952</v>
      </c>
      <c r="I66" s="295">
        <f t="shared" si="5"/>
        <v>7917</v>
      </c>
      <c r="J66" s="206"/>
      <c r="K66" s="477">
        <f t="shared" si="6"/>
        <v>1583.4</v>
      </c>
    </row>
    <row r="67" spans="1:11">
      <c r="A67" s="306" t="s">
        <v>760</v>
      </c>
      <c r="B67" s="304">
        <v>146</v>
      </c>
      <c r="C67" s="206"/>
      <c r="D67" s="49">
        <v>6083</v>
      </c>
      <c r="E67" s="49">
        <v>6213</v>
      </c>
      <c r="F67" s="49">
        <v>5931</v>
      </c>
      <c r="G67" s="49">
        <v>5001</v>
      </c>
      <c r="H67" s="49">
        <v>4452</v>
      </c>
      <c r="I67" s="295">
        <f t="shared" si="5"/>
        <v>27680</v>
      </c>
      <c r="J67" s="206"/>
      <c r="K67" s="477">
        <f t="shared" si="6"/>
        <v>5536</v>
      </c>
    </row>
    <row r="68" spans="1:11">
      <c r="A68" s="306" t="s">
        <v>895</v>
      </c>
      <c r="B68" s="304">
        <v>146</v>
      </c>
      <c r="C68" s="206"/>
      <c r="D68" s="49">
        <v>2900</v>
      </c>
      <c r="E68" s="49">
        <v>3202</v>
      </c>
      <c r="F68" s="49">
        <v>3832</v>
      </c>
      <c r="G68" s="49">
        <v>3286</v>
      </c>
      <c r="H68" s="49">
        <v>3162</v>
      </c>
      <c r="I68" s="295">
        <f t="shared" si="5"/>
        <v>16382</v>
      </c>
      <c r="J68" s="206"/>
      <c r="K68" s="477">
        <f t="shared" si="6"/>
        <v>3276.4</v>
      </c>
    </row>
    <row r="69" spans="1:11">
      <c r="A69" s="306" t="s">
        <v>1261</v>
      </c>
      <c r="B69" s="304">
        <v>148</v>
      </c>
      <c r="C69" s="206"/>
      <c r="D69" s="49">
        <v>19923</v>
      </c>
      <c r="E69" s="49">
        <v>18804</v>
      </c>
      <c r="F69" s="49">
        <v>18312</v>
      </c>
      <c r="G69" s="49">
        <v>17072</v>
      </c>
      <c r="H69" s="49">
        <v>7167</v>
      </c>
      <c r="I69" s="295">
        <f t="shared" si="5"/>
        <v>81278</v>
      </c>
      <c r="J69" s="206"/>
      <c r="K69" s="477">
        <f t="shared" si="6"/>
        <v>16255.6</v>
      </c>
    </row>
    <row r="70" spans="1:11">
      <c r="A70" s="306" t="s">
        <v>970</v>
      </c>
      <c r="B70" s="304">
        <v>146</v>
      </c>
      <c r="C70" s="206"/>
      <c r="D70" s="49">
        <v>2355</v>
      </c>
      <c r="E70" s="49">
        <v>2497</v>
      </c>
      <c r="F70" s="49">
        <v>2737</v>
      </c>
      <c r="G70" s="49">
        <v>2359</v>
      </c>
      <c r="H70" s="49">
        <v>2181</v>
      </c>
      <c r="I70" s="295">
        <f t="shared" si="5"/>
        <v>12129</v>
      </c>
      <c r="J70" s="206"/>
      <c r="K70" s="477">
        <f t="shared" si="6"/>
        <v>2425.8000000000002</v>
      </c>
    </row>
    <row r="71" spans="1:11">
      <c r="A71" s="306" t="s">
        <v>1206</v>
      </c>
      <c r="B71" s="304">
        <v>148</v>
      </c>
      <c r="C71" s="206"/>
      <c r="D71" s="49">
        <v>54977</v>
      </c>
      <c r="E71" s="49">
        <v>56431</v>
      </c>
      <c r="F71" s="49">
        <v>66391</v>
      </c>
      <c r="G71" s="49">
        <v>66887</v>
      </c>
      <c r="H71" s="49">
        <v>60774</v>
      </c>
      <c r="I71" s="295">
        <f t="shared" si="5"/>
        <v>305460</v>
      </c>
      <c r="J71" s="206"/>
      <c r="K71" s="477">
        <f t="shared" si="6"/>
        <v>61092</v>
      </c>
    </row>
    <row r="72" spans="1:11">
      <c r="C72" s="206"/>
      <c r="D72" s="295"/>
      <c r="E72" s="295"/>
      <c r="F72" s="295"/>
      <c r="G72" s="295"/>
      <c r="H72" s="295"/>
      <c r="I72" s="295"/>
      <c r="J72" s="206"/>
      <c r="K72" s="206"/>
    </row>
    <row r="73" spans="1:11">
      <c r="C73" s="206"/>
      <c r="D73" s="298">
        <f>SUM(D33:D72)</f>
        <v>307154.28068803751</v>
      </c>
      <c r="E73" s="298">
        <f>SUM(E33:E72)</f>
        <v>309342.79749804537</v>
      </c>
      <c r="F73" s="298">
        <f>SUM(F33:F72)</f>
        <v>325813.70758405002</v>
      </c>
      <c r="G73" s="298">
        <f>SUM(G33:G72)</f>
        <v>322684.31430805317</v>
      </c>
      <c r="H73" s="298">
        <f>SUM(H33:H72)</f>
        <v>287448.94917904615</v>
      </c>
      <c r="I73" s="298">
        <f>IF(ROUND(SUM(I33:I72),0)&lt;&gt;ROUND(SUM(D73:H73),0),#VALUE!,SUM(D73:H73))</f>
        <v>1552444.0492572321</v>
      </c>
      <c r="J73" s="206"/>
      <c r="K73" s="299">
        <f>SUM(K1:K72)</f>
        <v>328549.91068960115</v>
      </c>
    </row>
    <row r="74" spans="1:11">
      <c r="A74" s="629" t="s">
        <v>888</v>
      </c>
      <c r="C74" s="206"/>
      <c r="D74" s="372"/>
      <c r="E74" s="372"/>
      <c r="F74" s="372"/>
      <c r="G74" s="372"/>
      <c r="H74" s="372"/>
      <c r="I74" s="372"/>
      <c r="J74" s="206"/>
      <c r="K74" s="206"/>
    </row>
    <row r="75" spans="1:11">
      <c r="A75" s="303" t="s">
        <v>887</v>
      </c>
      <c r="B75" s="292">
        <v>132</v>
      </c>
      <c r="C75" s="206"/>
      <c r="D75" s="295">
        <f t="shared" ref="D75:I77" si="7">SUMIF($B$3:$B$73,$B75,D$3:D$73)</f>
        <v>14594.828960125096</v>
      </c>
      <c r="E75" s="295">
        <f t="shared" si="7"/>
        <v>17635.418326817824</v>
      </c>
      <c r="F75" s="295">
        <f t="shared" si="7"/>
        <v>19459.771946833462</v>
      </c>
      <c r="G75" s="295">
        <f t="shared" si="7"/>
        <v>20676.007693510554</v>
      </c>
      <c r="H75" s="295">
        <f t="shared" si="7"/>
        <v>17939.477263487101</v>
      </c>
      <c r="I75" s="295">
        <f t="shared" si="7"/>
        <v>90305.504190774038</v>
      </c>
      <c r="J75" s="206"/>
      <c r="K75" s="206"/>
    </row>
    <row r="76" spans="1:11">
      <c r="A76" s="303" t="s">
        <v>886</v>
      </c>
      <c r="B76" s="292">
        <v>146</v>
      </c>
      <c r="C76" s="206"/>
      <c r="D76" s="295">
        <f t="shared" si="7"/>
        <v>144140.32262825302</v>
      </c>
      <c r="E76" s="295">
        <f t="shared" si="7"/>
        <v>138704.01268565102</v>
      </c>
      <c r="F76" s="295">
        <f t="shared" si="7"/>
        <v>141011.79573426896</v>
      </c>
      <c r="G76" s="295">
        <f t="shared" si="7"/>
        <v>141445.09742596874</v>
      </c>
      <c r="H76" s="295">
        <f t="shared" si="7"/>
        <v>130488.19293018917</v>
      </c>
      <c r="I76" s="295">
        <f t="shared" si="7"/>
        <v>695789.42140433087</v>
      </c>
      <c r="J76" s="206"/>
      <c r="K76" s="206"/>
    </row>
    <row r="77" spans="1:11">
      <c r="A77" s="303" t="s">
        <v>894</v>
      </c>
      <c r="B77" s="292">
        <v>148</v>
      </c>
      <c r="C77" s="206"/>
      <c r="D77" s="295">
        <f t="shared" si="7"/>
        <v>163013.95805978449</v>
      </c>
      <c r="E77" s="295">
        <f t="shared" si="7"/>
        <v>170638.78481239433</v>
      </c>
      <c r="F77" s="295">
        <f t="shared" si="7"/>
        <v>184801.91184978111</v>
      </c>
      <c r="G77" s="295">
        <f t="shared" si="7"/>
        <v>181239.21688208444</v>
      </c>
      <c r="H77" s="295">
        <f t="shared" si="7"/>
        <v>156960.75624885695</v>
      </c>
      <c r="I77" s="295">
        <f t="shared" si="7"/>
        <v>856654.62785290135</v>
      </c>
      <c r="J77" s="206"/>
      <c r="K77" s="206"/>
    </row>
    <row r="78" spans="1:11" ht="13.5" thickBot="1">
      <c r="A78" s="631" t="s">
        <v>885</v>
      </c>
      <c r="B78" s="292"/>
      <c r="C78" s="206"/>
      <c r="D78" s="385">
        <f>SUM(D75:D77)</f>
        <v>321749.10964816262</v>
      </c>
      <c r="E78" s="385">
        <f>SUM(E75:E77)</f>
        <v>326978.21582486317</v>
      </c>
      <c r="F78" s="385">
        <f>SUM(F75:F77)</f>
        <v>345273.47953088355</v>
      </c>
      <c r="G78" s="385">
        <f>SUM(G75:G77)</f>
        <v>343360.32200156373</v>
      </c>
      <c r="H78" s="385">
        <f>SUM(H75:H77)</f>
        <v>305388.42644253321</v>
      </c>
      <c r="I78" s="385">
        <f>IF(ROUND(SUM(I75:I77),0)&lt;&gt;ROUND(SUM(D78:H78),0),#VALUE!,SUM(D78:H78))</f>
        <v>1642749.5534480065</v>
      </c>
      <c r="J78" s="206"/>
      <c r="K78" s="206"/>
    </row>
    <row r="79" spans="1:11" ht="13.5" thickTop="1">
      <c r="I79" s="290">
        <f>ROUND(I78-I22-I11,0)</f>
        <v>0</v>
      </c>
    </row>
    <row r="81" spans="1:17">
      <c r="A81" s="206" t="s">
        <v>1277</v>
      </c>
      <c r="D81" s="384">
        <f>D9</f>
        <v>1708498</v>
      </c>
      <c r="E81" s="384">
        <f>E9</f>
        <v>1804010</v>
      </c>
      <c r="F81" s="384">
        <f>F9</f>
        <v>2115227</v>
      </c>
      <c r="G81" s="384">
        <f>G9</f>
        <v>2170116</v>
      </c>
      <c r="H81" s="384">
        <f>H9</f>
        <v>1953743</v>
      </c>
      <c r="I81" s="384">
        <f>SUM(D81:H81)</f>
        <v>9751594</v>
      </c>
    </row>
    <row r="82" spans="1:17">
      <c r="A82" s="705" t="s">
        <v>1278</v>
      </c>
      <c r="D82" s="701">
        <f>'Demand - Firm Peak by Sch'!D37</f>
        <v>1782584.0353698093</v>
      </c>
      <c r="E82" s="701">
        <f>'Demand - Firm Peak by Sch'!E37</f>
        <v>1939243.3981727583</v>
      </c>
      <c r="F82" s="701">
        <f>'Demand - Firm Peak by Sch'!F37</f>
        <v>2194811.1038008262</v>
      </c>
      <c r="G82" s="701">
        <f>'Demand - Firm Peak by Sch'!G37</f>
        <v>2367669.9161030119</v>
      </c>
      <c r="H82" s="701">
        <f>'Demand - Firm Peak by Sch'!H37</f>
        <v>2110328.2132615447</v>
      </c>
      <c r="I82" s="701">
        <f>SUM(D82:H82)</f>
        <v>10394636.666707952</v>
      </c>
    </row>
    <row r="83" spans="1:17" ht="12.6" customHeight="1">
      <c r="A83" s="206" t="s">
        <v>1280</v>
      </c>
      <c r="D83" s="384">
        <f>D81-D82</f>
        <v>-74086.035369809251</v>
      </c>
      <c r="E83" s="384">
        <f t="shared" ref="E83:H83" si="8">E81-E82</f>
        <v>-135233.39817275829</v>
      </c>
      <c r="F83" s="384">
        <f t="shared" si="8"/>
        <v>-79584.10380082624</v>
      </c>
      <c r="G83" s="384">
        <f t="shared" si="8"/>
        <v>-197553.91610301193</v>
      </c>
      <c r="H83" s="384">
        <f t="shared" si="8"/>
        <v>-156585.2132615447</v>
      </c>
      <c r="I83" s="384">
        <f>SUM(D83:H83)</f>
        <v>-643042.66670795041</v>
      </c>
      <c r="L83" s="803" t="s">
        <v>1281</v>
      </c>
      <c r="M83" s="803"/>
      <c r="N83" s="803"/>
      <c r="O83" s="803"/>
      <c r="P83" s="803"/>
      <c r="Q83" s="803"/>
    </row>
    <row r="84" spans="1:17">
      <c r="L84" s="803"/>
      <c r="M84" s="803"/>
      <c r="N84" s="803"/>
      <c r="O84" s="803"/>
      <c r="P84" s="803"/>
      <c r="Q84" s="803"/>
    </row>
    <row r="85" spans="1:17">
      <c r="L85" s="803"/>
      <c r="M85" s="803"/>
      <c r="N85" s="803"/>
      <c r="O85" s="803"/>
      <c r="P85" s="803"/>
      <c r="Q85" s="803"/>
    </row>
    <row r="86" spans="1:17">
      <c r="L86" s="803"/>
      <c r="M86" s="803"/>
      <c r="N86" s="803"/>
      <c r="O86" s="803"/>
      <c r="P86" s="803"/>
      <c r="Q86" s="803"/>
    </row>
  </sheetData>
  <mergeCells count="1">
    <mergeCell ref="L83:Q86"/>
  </mergeCells>
  <conditionalFormatting sqref="I79 I8">
    <cfRule type="expression" dxfId="2" priority="1" stopIfTrue="1">
      <formula>ABS(I8)&gt;0.1</formula>
    </cfRule>
  </conditionalFormatting>
  <pageMargins left="0.25" right="0.39" top="0.5" bottom="0.5" header="0.5" footer="0.5"/>
  <pageSetup fitToHeight="2" orientation="landscape" r:id="rId1"/>
  <headerFooter alignWithMargins="0">
    <oddFooter>&amp;R&amp;F
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9">
    <tabColor theme="5" tint="0.39997558519241921"/>
    <pageSetUpPr autoPageBreaks="0" fitToPage="1"/>
  </sheetPr>
  <dimension ref="A1:P43"/>
  <sheetViews>
    <sheetView showGridLines="0" zoomScale="75" workbookViewId="0">
      <pane xSplit="3" ySplit="2" topLeftCell="D3" activePane="bottomRight" state="frozen"/>
      <selection activeCell="N53" sqref="N53"/>
      <selection pane="topRight" activeCell="N53" sqref="N53"/>
      <selection pane="bottomLeft" activeCell="N53" sqref="N53"/>
      <selection pane="bottomRight" activeCell="D30" sqref="D30"/>
    </sheetView>
  </sheetViews>
  <sheetFormatPr defaultColWidth="9.140625" defaultRowHeight="12.75" outlineLevelRow="1"/>
  <cols>
    <col min="1" max="1" width="27.7109375" style="203" customWidth="1"/>
    <col min="2" max="3" width="2.7109375" style="203" customWidth="1"/>
    <col min="4" max="8" width="13.42578125" style="203" bestFit="1" customWidth="1"/>
    <col min="9" max="9" width="1.7109375" style="203" customWidth="1"/>
    <col min="10" max="10" width="13.140625" style="203" customWidth="1"/>
    <col min="11" max="11" width="1.7109375" style="203" customWidth="1"/>
    <col min="12" max="12" width="3.140625" style="203" customWidth="1"/>
    <col min="13" max="13" width="36" style="203" bestFit="1" customWidth="1"/>
    <col min="14" max="16384" width="9.140625" style="203"/>
  </cols>
  <sheetData>
    <row r="1" spans="1:13" ht="15.75">
      <c r="A1" s="329" t="s">
        <v>808</v>
      </c>
      <c r="B1" s="329"/>
      <c r="C1" s="329"/>
    </row>
    <row r="3" spans="1:13">
      <c r="J3" s="700" t="s">
        <v>1274</v>
      </c>
    </row>
    <row r="4" spans="1:13">
      <c r="A4" s="203" t="s">
        <v>937</v>
      </c>
      <c r="D4" s="330">
        <v>44914</v>
      </c>
      <c r="E4" s="474">
        <f>D4+1</f>
        <v>44915</v>
      </c>
      <c r="F4" s="474">
        <f>E4+1</f>
        <v>44916</v>
      </c>
      <c r="G4" s="474">
        <f>F4+1</f>
        <v>44917</v>
      </c>
      <c r="H4" s="474">
        <f>G4+1</f>
        <v>44918</v>
      </c>
      <c r="J4" s="634">
        <v>2022</v>
      </c>
      <c r="K4" s="205"/>
      <c r="L4" s="205"/>
    </row>
    <row r="5" spans="1:13" outlineLevel="1"/>
    <row r="6" spans="1:13">
      <c r="A6" s="297" t="s">
        <v>1515</v>
      </c>
      <c r="B6" s="297"/>
      <c r="C6" s="297"/>
    </row>
    <row r="7" spans="1:13">
      <c r="A7" s="203" t="s">
        <v>936</v>
      </c>
      <c r="B7" s="304" t="s">
        <v>934</v>
      </c>
      <c r="D7" s="692">
        <f>'AMI Data'!E173</f>
        <v>932426.49072915316</v>
      </c>
      <c r="E7" s="692">
        <f>'AMI Data'!E174</f>
        <v>953643.14703492844</v>
      </c>
      <c r="F7" s="692">
        <f>'AMI Data'!E175</f>
        <v>1053954.8581462677</v>
      </c>
      <c r="G7" s="692">
        <f>'AMI Data'!E176</f>
        <v>1284334.722882844</v>
      </c>
      <c r="H7" s="692">
        <f>'AMI Data'!E177</f>
        <v>1205917.3095270789</v>
      </c>
      <c r="J7" s="321">
        <f>SUM(D7:H7)</f>
        <v>5430276.5283202715</v>
      </c>
      <c r="K7" s="321"/>
      <c r="L7" s="321"/>
      <c r="M7" s="293" t="s">
        <v>1286</v>
      </c>
    </row>
    <row r="8" spans="1:13">
      <c r="A8" s="293" t="s">
        <v>925</v>
      </c>
      <c r="B8" s="304"/>
      <c r="C8" s="304" t="s">
        <v>931</v>
      </c>
      <c r="D8" s="287">
        <f t="shared" ref="D8:H8" si="0">SUM(D7)</f>
        <v>932426.49072915316</v>
      </c>
      <c r="E8" s="287">
        <f t="shared" si="0"/>
        <v>953643.14703492844</v>
      </c>
      <c r="F8" s="287">
        <f t="shared" si="0"/>
        <v>1053954.8581462677</v>
      </c>
      <c r="G8" s="287">
        <f t="shared" si="0"/>
        <v>1284334.722882844</v>
      </c>
      <c r="H8" s="287">
        <f t="shared" si="0"/>
        <v>1205917.3095270789</v>
      </c>
      <c r="J8" s="317">
        <f>SUM(J7:J7)</f>
        <v>5430276.5283202715</v>
      </c>
      <c r="K8" s="315"/>
      <c r="L8" s="315"/>
    </row>
    <row r="9" spans="1:13">
      <c r="B9" s="304"/>
      <c r="D9" s="264"/>
      <c r="E9" s="264"/>
      <c r="F9" s="264"/>
      <c r="G9" s="264"/>
      <c r="H9" s="264"/>
      <c r="J9" s="262"/>
      <c r="K9" s="210"/>
      <c r="L9" s="210"/>
    </row>
    <row r="10" spans="1:13" outlineLevel="1">
      <c r="A10" s="203" t="s">
        <v>935</v>
      </c>
      <c r="B10" s="304" t="s">
        <v>932</v>
      </c>
      <c r="D10" s="692">
        <f>'AMI Data'!F173</f>
        <v>530905.38895740663</v>
      </c>
      <c r="E10" s="692">
        <f>'AMI Data'!F174</f>
        <v>663738.5786442036</v>
      </c>
      <c r="F10" s="692">
        <f>'AMI Data'!F175</f>
        <v>801464.66307529656</v>
      </c>
      <c r="G10" s="692">
        <f>'AMI Data'!F176</f>
        <v>745985.003915429</v>
      </c>
      <c r="H10" s="692">
        <f>'AMI Data'!F177</f>
        <v>602952.07955983898</v>
      </c>
      <c r="I10" s="264"/>
      <c r="J10" s="691">
        <f>SUM(D10:H10)</f>
        <v>3345045.714152175</v>
      </c>
      <c r="K10" s="321"/>
      <c r="L10" s="321"/>
      <c r="M10" s="293" t="s">
        <v>1286</v>
      </c>
    </row>
    <row r="11" spans="1:13">
      <c r="A11" s="293" t="str">
        <f>IF(C11="x","Total Schedule 111/112","Sch 111/112")</f>
        <v>Total Schedule 111/112</v>
      </c>
      <c r="B11" s="304" t="s">
        <v>934</v>
      </c>
      <c r="C11" s="304" t="s">
        <v>931</v>
      </c>
      <c r="D11" s="264">
        <f t="shared" ref="D11:H11" si="1">SUM(D10)</f>
        <v>530905.38895740663</v>
      </c>
      <c r="E11" s="264">
        <f t="shared" si="1"/>
        <v>663738.5786442036</v>
      </c>
      <c r="F11" s="264">
        <f t="shared" si="1"/>
        <v>801464.66307529656</v>
      </c>
      <c r="G11" s="264">
        <f t="shared" si="1"/>
        <v>745985.003915429</v>
      </c>
      <c r="H11" s="264">
        <f t="shared" si="1"/>
        <v>602952.07955983898</v>
      </c>
      <c r="J11" s="319">
        <f>SUM(D11:H11)</f>
        <v>3345045.714152175</v>
      </c>
      <c r="K11" s="321"/>
      <c r="L11" s="321"/>
      <c r="M11" s="293"/>
    </row>
    <row r="12" spans="1:13">
      <c r="B12" s="304"/>
      <c r="D12" s="264"/>
      <c r="E12" s="264"/>
      <c r="F12" s="264"/>
      <c r="G12" s="264"/>
      <c r="H12" s="264"/>
    </row>
    <row r="13" spans="1:13" outlineLevel="1">
      <c r="A13" s="203" t="s">
        <v>933</v>
      </c>
      <c r="B13" s="304" t="s">
        <v>942</v>
      </c>
      <c r="D13" s="690">
        <v>0</v>
      </c>
      <c r="E13" s="690">
        <v>0</v>
      </c>
      <c r="F13" s="690">
        <v>0</v>
      </c>
      <c r="G13" s="690">
        <v>0</v>
      </c>
      <c r="H13" s="690">
        <v>0</v>
      </c>
      <c r="I13" s="690"/>
      <c r="J13" s="691">
        <f>SUM(D13:H13)</f>
        <v>0</v>
      </c>
      <c r="K13" s="321"/>
      <c r="L13" s="321"/>
      <c r="M13" s="293"/>
    </row>
    <row r="14" spans="1:13">
      <c r="A14" s="293" t="str">
        <f>IF(C14="x","Total Schedule 121/122","Sch 121/122")</f>
        <v>Total Schedule 121/122</v>
      </c>
      <c r="B14" s="304" t="s">
        <v>932</v>
      </c>
      <c r="C14" s="304" t="s">
        <v>931</v>
      </c>
      <c r="D14" s="315">
        <f t="shared" ref="D14" si="2">SUM(D13)</f>
        <v>0</v>
      </c>
      <c r="E14" s="315">
        <f t="shared" ref="E14" si="3">SUM(E13)</f>
        <v>0</v>
      </c>
      <c r="F14" s="315">
        <f t="shared" ref="F14" si="4">SUM(F13)</f>
        <v>0</v>
      </c>
      <c r="G14" s="315">
        <f t="shared" ref="G14" si="5">SUM(G13)</f>
        <v>0</v>
      </c>
      <c r="H14" s="315">
        <f t="shared" ref="H14" si="6">SUM(H13)</f>
        <v>0</v>
      </c>
      <c r="J14" s="319">
        <f>SUM(D14:H14)</f>
        <v>0</v>
      </c>
      <c r="K14" s="321"/>
      <c r="L14" s="321"/>
      <c r="M14" s="293"/>
    </row>
    <row r="16" spans="1:13">
      <c r="A16" s="203" t="s">
        <v>930</v>
      </c>
      <c r="D16" s="264">
        <f>SUMIF($C7:$C15,"x",D7:D15)</f>
        <v>1463331.8796865598</v>
      </c>
      <c r="E16" s="264">
        <f>SUMIF($C7:$C15,"x",E7:E15)</f>
        <v>1617381.7256791322</v>
      </c>
      <c r="F16" s="264">
        <f t="shared" ref="F16:H16" si="7">SUMIF($C7:$C15,"x",F7:F15)</f>
        <v>1855419.5212215642</v>
      </c>
      <c r="G16" s="264">
        <f t="shared" si="7"/>
        <v>2030319.7267982732</v>
      </c>
      <c r="H16" s="264">
        <f t="shared" si="7"/>
        <v>1808869.389086918</v>
      </c>
      <c r="J16" s="264">
        <f>J8+J11+J14</f>
        <v>8775322.2424724475</v>
      </c>
      <c r="K16" s="264"/>
      <c r="L16" s="264"/>
    </row>
    <row r="18" spans="1:16">
      <c r="A18" s="203" t="s">
        <v>929</v>
      </c>
    </row>
    <row r="19" spans="1:16">
      <c r="A19" s="293" t="s">
        <v>928</v>
      </c>
      <c r="B19" s="293"/>
      <c r="C19" s="293"/>
      <c r="D19" s="296">
        <f>'Demand - Firm Peak'!D6</f>
        <v>1386748.8903518375</v>
      </c>
      <c r="E19" s="296">
        <f>'Demand - Firm Peak'!E6</f>
        <v>1477031.7841751366</v>
      </c>
      <c r="F19" s="296">
        <f>'Demand - Firm Peak'!F6</f>
        <v>1769953.5204691165</v>
      </c>
      <c r="G19" s="296">
        <f>'Demand - Firm Peak'!G6</f>
        <v>1826755.6779984364</v>
      </c>
      <c r="H19" s="296">
        <f>'Demand - Firm Peak'!H6</f>
        <v>1648354.5735574667</v>
      </c>
      <c r="J19" s="319">
        <f>SUM(D19:H19)</f>
        <v>8108844.4465519935</v>
      </c>
      <c r="K19" s="264"/>
      <c r="L19" s="264"/>
      <c r="P19" s="264"/>
    </row>
    <row r="21" spans="1:16">
      <c r="A21" s="207" t="s">
        <v>1275</v>
      </c>
      <c r="B21" s="207"/>
      <c r="C21" s="207"/>
      <c r="D21" s="263">
        <f>'Demand - Firm Peak'!D83</f>
        <v>-74086.035369809251</v>
      </c>
      <c r="E21" s="263">
        <f>'Demand - Firm Peak'!E83</f>
        <v>-135233.39817275829</v>
      </c>
      <c r="F21" s="263">
        <f>'Demand - Firm Peak'!F83</f>
        <v>-79584.10380082624</v>
      </c>
      <c r="G21" s="263">
        <f>'Demand - Firm Peak'!G83</f>
        <v>-197553.91610301193</v>
      </c>
      <c r="H21" s="263">
        <f>'Demand - Firm Peak'!H83</f>
        <v>-156585.2132615447</v>
      </c>
      <c r="I21" s="263"/>
      <c r="J21" s="263">
        <f>SUM(D21:I21)</f>
        <v>-643042.66670795041</v>
      </c>
      <c r="K21" s="264"/>
      <c r="L21" s="264"/>
      <c r="M21" s="803" t="s">
        <v>1276</v>
      </c>
    </row>
    <row r="22" spans="1:16">
      <c r="A22" s="203" t="s">
        <v>927</v>
      </c>
      <c r="D22" s="204">
        <f>D21/D19</f>
        <v>-5.3424261512127542E-2</v>
      </c>
      <c r="E22" s="204">
        <f>E21/E19</f>
        <v>-9.1557541023587888E-2</v>
      </c>
      <c r="F22" s="204">
        <f t="shared" ref="F22:H22" si="8">F21/F19</f>
        <v>-4.4963951245303273E-2</v>
      </c>
      <c r="G22" s="204">
        <f t="shared" si="8"/>
        <v>-0.10814468430691859</v>
      </c>
      <c r="H22" s="204">
        <f t="shared" si="8"/>
        <v>-9.4994860798428615E-2</v>
      </c>
      <c r="J22" s="204">
        <f>J21/J19</f>
        <v>-7.9301393798641942E-2</v>
      </c>
      <c r="K22" s="204"/>
      <c r="L22" s="204"/>
      <c r="M22" s="803"/>
    </row>
    <row r="23" spans="1:16">
      <c r="D23" s="204"/>
      <c r="E23" s="204"/>
      <c r="F23" s="204"/>
      <c r="G23" s="204"/>
      <c r="H23" s="204"/>
      <c r="J23" s="204"/>
      <c r="K23" s="204"/>
      <c r="L23" s="204"/>
      <c r="M23" s="803"/>
    </row>
    <row r="24" spans="1:16">
      <c r="A24" s="322" t="s">
        <v>1514</v>
      </c>
      <c r="B24" s="322"/>
      <c r="C24" s="322"/>
    </row>
    <row r="25" spans="1:16">
      <c r="A25" s="203" t="s">
        <v>925</v>
      </c>
      <c r="D25" s="264">
        <f>D8+(D21*(D8/D16))</f>
        <v>885219.30353474594</v>
      </c>
      <c r="E25" s="264">
        <f>E8+(E21*(E8/E16))</f>
        <v>873906.61893514101</v>
      </c>
      <c r="F25" s="264">
        <f>F8+(F21*(F8/F16))</f>
        <v>1008747.8028831678</v>
      </c>
      <c r="G25" s="264">
        <f>G8+(G21*(G8/G16))</f>
        <v>1159366.5463224477</v>
      </c>
      <c r="H25" s="264">
        <f>H8+(H21*(H8/H16))</f>
        <v>1101526.7878966571</v>
      </c>
      <c r="J25" s="319">
        <f>SUM(D25:H25)</f>
        <v>5028767.0595721593</v>
      </c>
      <c r="K25" s="313"/>
      <c r="L25" s="321"/>
    </row>
    <row r="26" spans="1:16">
      <c r="A26" s="203" t="s">
        <v>924</v>
      </c>
      <c r="D26" s="264">
        <f>D11+(D21*(D11/D16))</f>
        <v>504026.54078200454</v>
      </c>
      <c r="E26" s="264">
        <f>E11+(E21*(E11/E16))</f>
        <v>608241.70857123274</v>
      </c>
      <c r="F26" s="264">
        <f>F11+(F21*(F11/F16))</f>
        <v>767087.61453757028</v>
      </c>
      <c r="G26" s="264">
        <f>G11+(G21*(G11/G16))</f>
        <v>673399.26437281352</v>
      </c>
      <c r="H26" s="264">
        <f>H11+(H21*(H11/H16))</f>
        <v>550757.38792871614</v>
      </c>
      <c r="J26" s="319">
        <f>SUM(D26:H26)</f>
        <v>3103512.5161923375</v>
      </c>
      <c r="K26" s="313"/>
      <c r="L26" s="321"/>
    </row>
    <row r="27" spans="1:16">
      <c r="A27" s="203" t="s">
        <v>923</v>
      </c>
      <c r="D27" s="264">
        <f>D14+(D21*(D14/D16))</f>
        <v>0</v>
      </c>
      <c r="E27" s="264">
        <f>E14+(E21*(E14/E16))</f>
        <v>0</v>
      </c>
      <c r="F27" s="264">
        <f>F14+(F21*(F14/F16))</f>
        <v>0</v>
      </c>
      <c r="G27" s="264">
        <f>G14+(G21*(G14/G16))</f>
        <v>0</v>
      </c>
      <c r="H27" s="264">
        <f>H14+(H21*(H14/H16))</f>
        <v>0</v>
      </c>
      <c r="J27" s="319">
        <f>SUM(D27:H27)</f>
        <v>0</v>
      </c>
      <c r="K27" s="313"/>
      <c r="L27" s="321"/>
    </row>
    <row r="28" spans="1:16">
      <c r="A28" s="293" t="s">
        <v>922</v>
      </c>
      <c r="B28" s="293"/>
      <c r="D28" s="320">
        <f>SUM(D25:D27)</f>
        <v>1389245.8443167505</v>
      </c>
      <c r="E28" s="320">
        <f t="shared" ref="E28:H28" si="9">SUM(E25:E27)</f>
        <v>1482148.3275063736</v>
      </c>
      <c r="F28" s="320">
        <f t="shared" si="9"/>
        <v>1775835.4174207379</v>
      </c>
      <c r="G28" s="320">
        <f t="shared" si="9"/>
        <v>1832765.8106952612</v>
      </c>
      <c r="H28" s="320">
        <f t="shared" si="9"/>
        <v>1652284.1758253733</v>
      </c>
      <c r="J28" s="287">
        <f>SUM(J25:J27)</f>
        <v>8132279.5757644968</v>
      </c>
      <c r="K28" s="314"/>
      <c r="L28" s="314"/>
    </row>
    <row r="29" spans="1:16">
      <c r="J29" s="264"/>
    </row>
    <row r="30" spans="1:16">
      <c r="A30" s="203" t="s">
        <v>779</v>
      </c>
      <c r="D30" s="693">
        <f>'AMI Data'!G173</f>
        <v>12097.8749952121</v>
      </c>
      <c r="E30" s="693">
        <f>'AMI Data'!G174</f>
        <v>12518.874995580702</v>
      </c>
      <c r="F30" s="693">
        <f>'AMI Data'!G175</f>
        <v>13577.874995212298</v>
      </c>
      <c r="G30" s="693">
        <f>'AMI Data'!G176</f>
        <v>14665.874996685601</v>
      </c>
      <c r="H30" s="693">
        <f>'AMI Data'!G177</f>
        <v>14009.874995580501</v>
      </c>
      <c r="J30" s="319">
        <f>SUM(D30:H30)</f>
        <v>66870.374978271197</v>
      </c>
      <c r="K30" s="313"/>
      <c r="L30" s="313"/>
      <c r="M30" s="293" t="s">
        <v>1286</v>
      </c>
    </row>
    <row r="31" spans="1:16">
      <c r="A31" s="203" t="s">
        <v>921</v>
      </c>
      <c r="D31" s="320">
        <f>SUM(D28:D30)</f>
        <v>1401343.7193119626</v>
      </c>
      <c r="E31" s="320">
        <f t="shared" ref="E31:H31" si="10">SUM(E28:E30)</f>
        <v>1494667.2025019543</v>
      </c>
      <c r="F31" s="320">
        <f t="shared" si="10"/>
        <v>1789413.2924159502</v>
      </c>
      <c r="G31" s="320">
        <f t="shared" si="10"/>
        <v>1847431.6856919469</v>
      </c>
      <c r="H31" s="320">
        <f t="shared" si="10"/>
        <v>1666294.0508209537</v>
      </c>
      <c r="J31" s="287">
        <f>SUM(J28:J30)</f>
        <v>8199149.9507427681</v>
      </c>
      <c r="K31" s="314"/>
      <c r="L31" s="314"/>
    </row>
    <row r="32" spans="1:16">
      <c r="J32" s="264"/>
    </row>
    <row r="33" spans="1:12">
      <c r="A33" s="203" t="s">
        <v>778</v>
      </c>
      <c r="D33" s="313">
        <f>'Demand - Firm Peak'!D76</f>
        <v>144140.32262825302</v>
      </c>
      <c r="E33" s="313">
        <f>'Demand - Firm Peak'!E76</f>
        <v>138704.01268565102</v>
      </c>
      <c r="F33" s="313">
        <f>'Demand - Firm Peak'!F76</f>
        <v>141011.79573426896</v>
      </c>
      <c r="G33" s="313">
        <f>'Demand - Firm Peak'!G76</f>
        <v>141445.09742596874</v>
      </c>
      <c r="H33" s="313">
        <f>'Demand - Firm Peak'!H76</f>
        <v>130488.19293018917</v>
      </c>
      <c r="J33" s="319">
        <f>SUM(D33:H33)</f>
        <v>695789.42140433099</v>
      </c>
      <c r="K33" s="313"/>
      <c r="L33" s="313"/>
    </row>
    <row r="34" spans="1:12">
      <c r="A34" s="203" t="s">
        <v>941</v>
      </c>
      <c r="D34" s="313">
        <f>'Demand - Firm Peak'!D77</f>
        <v>163013.95805978449</v>
      </c>
      <c r="E34" s="313">
        <f>'Demand - Firm Peak'!E77</f>
        <v>170638.78481239433</v>
      </c>
      <c r="F34" s="313">
        <f>'Demand - Firm Peak'!F77</f>
        <v>184801.91184978111</v>
      </c>
      <c r="G34" s="313">
        <f>'Demand - Firm Peak'!G77</f>
        <v>181239.21688208444</v>
      </c>
      <c r="H34" s="313">
        <f>'Demand - Firm Peak'!H77</f>
        <v>156960.75624885695</v>
      </c>
      <c r="J34" s="319">
        <f>SUM(D34:H34)</f>
        <v>856654.62785290135</v>
      </c>
      <c r="K34" s="313"/>
      <c r="L34" s="313"/>
    </row>
    <row r="35" spans="1:12">
      <c r="A35" s="293" t="s">
        <v>918</v>
      </c>
      <c r="B35" s="293"/>
      <c r="C35" s="293"/>
      <c r="D35" s="318">
        <f>SUM(D33:D34)</f>
        <v>307154.28068803751</v>
      </c>
      <c r="E35" s="318">
        <f t="shared" ref="E35:H35" si="11">SUM(E33:E34)</f>
        <v>309342.79749804537</v>
      </c>
      <c r="F35" s="318">
        <f t="shared" si="11"/>
        <v>325813.70758405008</v>
      </c>
      <c r="G35" s="318">
        <f t="shared" si="11"/>
        <v>322684.31430805317</v>
      </c>
      <c r="H35" s="318">
        <f t="shared" si="11"/>
        <v>287448.94917904609</v>
      </c>
      <c r="J35" s="317">
        <f>SUM(D35:H35)</f>
        <v>1552444.0492572321</v>
      </c>
      <c r="K35" s="314"/>
      <c r="L35" s="314"/>
    </row>
    <row r="36" spans="1:12">
      <c r="D36" s="316"/>
      <c r="E36" s="316"/>
      <c r="F36" s="316"/>
      <c r="G36" s="316"/>
      <c r="H36" s="316"/>
      <c r="J36" s="315"/>
      <c r="K36" s="314"/>
      <c r="L36" s="314"/>
    </row>
    <row r="37" spans="1:12">
      <c r="A37" s="203" t="s">
        <v>1279</v>
      </c>
      <c r="D37" s="316">
        <f>D16+D35+D30</f>
        <v>1782584.0353698093</v>
      </c>
      <c r="E37" s="316">
        <f t="shared" ref="E37:H37" si="12">E16+E35+E30</f>
        <v>1939243.3981727583</v>
      </c>
      <c r="F37" s="316">
        <f t="shared" si="12"/>
        <v>2194811.1038008262</v>
      </c>
      <c r="G37" s="316">
        <f t="shared" si="12"/>
        <v>2367669.9161030119</v>
      </c>
      <c r="H37" s="316">
        <f t="shared" si="12"/>
        <v>2110328.2132615447</v>
      </c>
      <c r="J37" s="315">
        <f>SUM(D37:I37)</f>
        <v>10394636.666707952</v>
      </c>
      <c r="K37" s="314"/>
      <c r="L37" s="314"/>
    </row>
    <row r="38" spans="1:12">
      <c r="D38" s="316"/>
      <c r="E38" s="316"/>
      <c r="F38" s="316"/>
      <c r="G38" s="316"/>
      <c r="H38" s="316"/>
      <c r="J38" s="315"/>
      <c r="K38" s="314"/>
      <c r="L38" s="314"/>
    </row>
    <row r="39" spans="1:12">
      <c r="A39" s="203" t="s">
        <v>940</v>
      </c>
      <c r="D39" s="702">
        <f>D31+D35</f>
        <v>1708498</v>
      </c>
      <c r="E39" s="703">
        <f>E31+E35</f>
        <v>1804009.9999999995</v>
      </c>
      <c r="F39" s="703">
        <f t="shared" ref="F39:H39" si="13">F31+F35</f>
        <v>2115227.0000000005</v>
      </c>
      <c r="G39" s="703">
        <f>G31+G35</f>
        <v>2170116</v>
      </c>
      <c r="H39" s="703">
        <f t="shared" si="13"/>
        <v>1953742.9999999998</v>
      </c>
      <c r="I39" s="703"/>
      <c r="J39" s="704">
        <f>J31+J35</f>
        <v>9751594</v>
      </c>
      <c r="K39" s="313"/>
      <c r="L39" s="313"/>
    </row>
    <row r="40" spans="1:12">
      <c r="D40" s="661"/>
      <c r="E40" s="661"/>
      <c r="F40" s="661"/>
      <c r="G40" s="661"/>
      <c r="H40" s="661"/>
      <c r="I40" s="661"/>
      <c r="J40" s="661"/>
    </row>
    <row r="41" spans="1:12">
      <c r="A41" s="203" t="s">
        <v>917</v>
      </c>
    </row>
    <row r="42" spans="1:12">
      <c r="A42" s="203" t="s">
        <v>916</v>
      </c>
    </row>
    <row r="43" spans="1:12">
      <c r="A43" s="203" t="s">
        <v>939</v>
      </c>
    </row>
  </sheetData>
  <mergeCells count="1">
    <mergeCell ref="M21:M23"/>
  </mergeCells>
  <printOptions horizontalCentered="1"/>
  <pageMargins left="0.2" right="0.32" top="0.4" bottom="0.5" header="0.5" footer="0.5"/>
  <pageSetup scale="44" orientation="landscape" r:id="rId1"/>
  <headerFooter alignWithMargins="0">
    <oddFooter>&amp;R&amp;F
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theme="5" tint="0.39997558519241921"/>
    <pageSetUpPr fitToPage="1"/>
  </sheetPr>
  <dimension ref="A1:H82"/>
  <sheetViews>
    <sheetView showGridLines="0" zoomScale="90" zoomScaleNormal="90" workbookViewId="0">
      <selection activeCell="E31" sqref="E31"/>
    </sheetView>
  </sheetViews>
  <sheetFormatPr defaultColWidth="9.140625" defaultRowHeight="12.75"/>
  <cols>
    <col min="1" max="1" width="34.140625" style="203" customWidth="1"/>
    <col min="2" max="2" width="10" style="203" bestFit="1" customWidth="1"/>
    <col min="3" max="3" width="10.42578125" style="203" customWidth="1"/>
    <col min="4" max="4" width="11" style="203" customWidth="1"/>
    <col min="5" max="5" width="12.28515625" style="203" bestFit="1" customWidth="1"/>
    <col min="6" max="6" width="11.5703125" style="203" bestFit="1" customWidth="1"/>
    <col min="7" max="7" width="15.140625" style="203" customWidth="1"/>
    <col min="8" max="8" width="10.5703125" style="203" bestFit="1" customWidth="1"/>
    <col min="9" max="16384" width="9.140625" style="203"/>
  </cols>
  <sheetData>
    <row r="1" spans="1:8">
      <c r="B1" s="325"/>
      <c r="F1" s="324"/>
      <c r="G1" s="325"/>
    </row>
    <row r="2" spans="1:8" ht="15">
      <c r="B2" s="363" t="str">
        <f>'Demand - Firm Peak'!D1</f>
        <v>2022-2023 Heating Season</v>
      </c>
      <c r="C2" s="362"/>
      <c r="D2" s="362"/>
      <c r="E2" s="362"/>
      <c r="F2" s="361"/>
      <c r="G2" s="325"/>
    </row>
    <row r="3" spans="1:8">
      <c r="B3" s="360">
        <f>'Demand - Firm Peak by Sch'!D4</f>
        <v>44914</v>
      </c>
      <c r="C3" s="283">
        <f>'Demand - Firm Peak by Sch'!E4</f>
        <v>44915</v>
      </c>
      <c r="D3" s="283">
        <f>'Demand - Firm Peak by Sch'!F4</f>
        <v>44916</v>
      </c>
      <c r="E3" s="283">
        <f>'Demand - Firm Peak by Sch'!G4</f>
        <v>44917</v>
      </c>
      <c r="F3" s="359">
        <f>'Demand - Firm Peak by Sch'!H4</f>
        <v>44918</v>
      </c>
      <c r="G3" s="325"/>
    </row>
    <row r="4" spans="1:8">
      <c r="B4" s="325"/>
      <c r="F4" s="324"/>
      <c r="G4" s="325"/>
    </row>
    <row r="5" spans="1:8">
      <c r="A5" s="209" t="s">
        <v>808</v>
      </c>
      <c r="B5" s="325"/>
      <c r="F5" s="324"/>
      <c r="G5" s="635" t="s">
        <v>1207</v>
      </c>
      <c r="H5" s="205" t="s">
        <v>958</v>
      </c>
    </row>
    <row r="6" spans="1:8">
      <c r="A6" s="203" t="s">
        <v>926</v>
      </c>
      <c r="B6" s="356"/>
      <c r="C6" s="289"/>
      <c r="D6" s="289"/>
      <c r="E6" s="289"/>
      <c r="F6" s="355"/>
      <c r="G6" s="636" t="s">
        <v>957</v>
      </c>
      <c r="H6" s="205" t="s">
        <v>956</v>
      </c>
    </row>
    <row r="7" spans="1:8">
      <c r="B7" s="325"/>
      <c r="F7" s="324"/>
      <c r="G7" s="325"/>
    </row>
    <row r="8" spans="1:8">
      <c r="A8" s="203" t="s">
        <v>802</v>
      </c>
      <c r="B8" s="349">
        <f>'Demand - Firm Peak by Sch'!D25</f>
        <v>885219.30353474594</v>
      </c>
      <c r="C8" s="348">
        <f>'Demand - Firm Peak by Sch'!E25</f>
        <v>873906.61893514101</v>
      </c>
      <c r="D8" s="348">
        <f>'Demand - Firm Peak by Sch'!F25</f>
        <v>1008747.8028831678</v>
      </c>
      <c r="E8" s="348">
        <f>'Demand - Firm Peak by Sch'!G25</f>
        <v>1159366.5463224477</v>
      </c>
      <c r="F8" s="347">
        <f>'Demand - Firm Peak by Sch'!H25</f>
        <v>1101526.7878966571</v>
      </c>
      <c r="G8" s="350">
        <f>AVERAGE(B8:F8)</f>
        <v>1005753.4119144318</v>
      </c>
      <c r="H8" s="341">
        <f>G8/G$23</f>
        <v>0.51568667230938436</v>
      </c>
    </row>
    <row r="9" spans="1:8">
      <c r="A9" s="203" t="s">
        <v>866</v>
      </c>
      <c r="B9" s="349">
        <f>'Demand - Firm Peak by Sch'!D26</f>
        <v>504026.54078200454</v>
      </c>
      <c r="C9" s="348">
        <f>'Demand - Firm Peak by Sch'!E26</f>
        <v>608241.70857123274</v>
      </c>
      <c r="D9" s="348">
        <f>'Demand - Firm Peak by Sch'!F26</f>
        <v>767087.61453757028</v>
      </c>
      <c r="E9" s="348">
        <f>'Demand - Firm Peak by Sch'!G26</f>
        <v>673399.26437281352</v>
      </c>
      <c r="F9" s="347">
        <f>'Demand - Firm Peak by Sch'!H26</f>
        <v>550757.38792871614</v>
      </c>
      <c r="G9" s="350">
        <f>AVERAGE(B9:F9)</f>
        <v>620702.5032384675</v>
      </c>
      <c r="H9" s="341">
        <f>G9/G$23</f>
        <v>0.31825694508942204</v>
      </c>
    </row>
    <row r="10" spans="1:8">
      <c r="A10" s="203" t="s">
        <v>832</v>
      </c>
      <c r="B10" s="349">
        <f>'Demand - Firm Peak by Sch'!D27</f>
        <v>0</v>
      </c>
      <c r="C10" s="348">
        <f>'Demand - Firm Peak by Sch'!E27</f>
        <v>0</v>
      </c>
      <c r="D10" s="348">
        <f>'Demand - Firm Peak by Sch'!F27</f>
        <v>0</v>
      </c>
      <c r="E10" s="348">
        <f>'Demand - Firm Peak by Sch'!G27</f>
        <v>0</v>
      </c>
      <c r="F10" s="347">
        <f>'Demand - Firm Peak by Sch'!H27</f>
        <v>0</v>
      </c>
      <c r="G10" s="350">
        <f>AVERAGE(B10:F10)</f>
        <v>0</v>
      </c>
      <c r="H10" s="341">
        <f>G10/G$23</f>
        <v>0</v>
      </c>
    </row>
    <row r="11" spans="1:8">
      <c r="A11" s="293" t="s">
        <v>922</v>
      </c>
      <c r="B11" s="345">
        <f t="shared" ref="B11:H11" si="0">SUM(B8:B10)</f>
        <v>1389245.8443167505</v>
      </c>
      <c r="C11" s="287">
        <f t="shared" si="0"/>
        <v>1482148.3275063736</v>
      </c>
      <c r="D11" s="287">
        <f t="shared" si="0"/>
        <v>1775835.4174207379</v>
      </c>
      <c r="E11" s="287">
        <f t="shared" si="0"/>
        <v>1832765.8106952612</v>
      </c>
      <c r="F11" s="346">
        <f t="shared" si="0"/>
        <v>1652284.1758253733</v>
      </c>
      <c r="G11" s="345">
        <f>SUM(G8:G10)</f>
        <v>1626455.9151528995</v>
      </c>
      <c r="H11" s="344">
        <f t="shared" si="0"/>
        <v>0.8339436173988064</v>
      </c>
    </row>
    <row r="12" spans="1:8">
      <c r="B12" s="343"/>
      <c r="C12" s="264"/>
      <c r="D12" s="264"/>
      <c r="E12" s="264"/>
      <c r="F12" s="342"/>
      <c r="G12" s="343"/>
    </row>
    <row r="13" spans="1:8">
      <c r="B13" s="343"/>
      <c r="C13" s="264"/>
      <c r="D13" s="264"/>
      <c r="E13" s="264"/>
      <c r="F13" s="342"/>
      <c r="G13" s="635" t="s">
        <v>959</v>
      </c>
      <c r="H13" s="205" t="s">
        <v>958</v>
      </c>
    </row>
    <row r="14" spans="1:8">
      <c r="B14" s="343"/>
      <c r="C14" s="264"/>
      <c r="D14" s="264"/>
      <c r="E14" s="264"/>
      <c r="F14" s="342"/>
      <c r="G14" s="636" t="s">
        <v>957</v>
      </c>
      <c r="H14" s="205" t="s">
        <v>956</v>
      </c>
    </row>
    <row r="15" spans="1:8">
      <c r="B15" s="343"/>
      <c r="C15" s="264"/>
      <c r="D15" s="264"/>
      <c r="E15" s="264"/>
      <c r="F15" s="342"/>
      <c r="G15" s="326"/>
      <c r="H15" s="205"/>
    </row>
    <row r="16" spans="1:8">
      <c r="A16" s="203" t="s">
        <v>779</v>
      </c>
      <c r="B16" s="349">
        <f>'Demand - Firm Peak by Sch'!D30</f>
        <v>12097.8749952121</v>
      </c>
      <c r="C16" s="348">
        <f>'Demand - Firm Peak by Sch'!E30</f>
        <v>12518.874995580702</v>
      </c>
      <c r="D16" s="348">
        <f>'Demand - Firm Peak by Sch'!F30</f>
        <v>13577.874995212298</v>
      </c>
      <c r="E16" s="348">
        <f>'Demand - Firm Peak by Sch'!G30</f>
        <v>14665.874996685601</v>
      </c>
      <c r="F16" s="347">
        <f>'Demand - Firm Peak by Sch'!H30</f>
        <v>14009.874995580501</v>
      </c>
      <c r="G16" s="350">
        <f>AVERAGE(B16:F16)</f>
        <v>13374.074995654239</v>
      </c>
      <c r="H16" s="341">
        <f>G16/G$23</f>
        <v>6.8573789042356758E-3</v>
      </c>
    </row>
    <row r="17" spans="1:8">
      <c r="A17" s="293" t="s">
        <v>921</v>
      </c>
      <c r="B17" s="352">
        <f t="shared" ref="B17:F17" si="1">B11+B16</f>
        <v>1401343.7193119626</v>
      </c>
      <c r="C17" s="354">
        <f t="shared" si="1"/>
        <v>1494667.2025019543</v>
      </c>
      <c r="D17" s="354">
        <f t="shared" si="1"/>
        <v>1789413.2924159502</v>
      </c>
      <c r="E17" s="354">
        <f t="shared" si="1"/>
        <v>1847431.6856919469</v>
      </c>
      <c r="F17" s="353">
        <f t="shared" si="1"/>
        <v>1666294.0508209537</v>
      </c>
      <c r="G17" s="352">
        <f>SUM(G11:G16)</f>
        <v>1639829.9901485536</v>
      </c>
      <c r="H17" s="351">
        <f>SUM(H11:H16)</f>
        <v>0.84080099630304206</v>
      </c>
    </row>
    <row r="18" spans="1:8">
      <c r="B18" s="343"/>
      <c r="C18" s="264"/>
      <c r="D18" s="264"/>
      <c r="E18" s="264"/>
      <c r="F18" s="342"/>
      <c r="G18" s="343"/>
    </row>
    <row r="19" spans="1:8">
      <c r="A19" s="203" t="s">
        <v>778</v>
      </c>
      <c r="B19" s="349">
        <f>'Demand - Firm Peak by Sch'!D33</f>
        <v>144140.32262825302</v>
      </c>
      <c r="C19" s="348">
        <f>'Demand - Firm Peak by Sch'!E33</f>
        <v>138704.01268565102</v>
      </c>
      <c r="D19" s="348">
        <f>'Demand - Firm Peak by Sch'!F33</f>
        <v>141011.79573426896</v>
      </c>
      <c r="E19" s="348">
        <f>'Demand - Firm Peak by Sch'!G33</f>
        <v>141445.09742596874</v>
      </c>
      <c r="F19" s="347">
        <f>'Demand - Firm Peak by Sch'!H33</f>
        <v>130488.19293018917</v>
      </c>
      <c r="G19" s="350">
        <f>AVERAGE(B19:F19)</f>
        <v>139157.88428086619</v>
      </c>
      <c r="H19" s="341">
        <f>G19/G$23</f>
        <v>7.1351352548550614E-2</v>
      </c>
    </row>
    <row r="20" spans="1:8">
      <c r="A20" s="203" t="s">
        <v>941</v>
      </c>
      <c r="B20" s="349">
        <f>'Demand - Firm Peak by Sch'!D34</f>
        <v>163013.95805978449</v>
      </c>
      <c r="C20" s="348">
        <f>'Demand - Firm Peak by Sch'!E34</f>
        <v>170638.78481239433</v>
      </c>
      <c r="D20" s="348">
        <f>'Demand - Firm Peak by Sch'!F34</f>
        <v>184801.91184978111</v>
      </c>
      <c r="E20" s="348">
        <f>'Demand - Firm Peak by Sch'!G34</f>
        <v>181239.21688208444</v>
      </c>
      <c r="F20" s="347">
        <f>'Demand - Firm Peak by Sch'!H34</f>
        <v>156960.75624885695</v>
      </c>
      <c r="G20" s="323">
        <f>AVERAGE(B20:F20)</f>
        <v>171330.92557058026</v>
      </c>
      <c r="H20" s="341">
        <f>G20/G$23</f>
        <v>8.7847651148407258E-2</v>
      </c>
    </row>
    <row r="21" spans="1:8">
      <c r="A21" s="293" t="s">
        <v>918</v>
      </c>
      <c r="B21" s="345">
        <f t="shared" ref="B21:H21" si="2">SUM(B19:B20)</f>
        <v>307154.28068803751</v>
      </c>
      <c r="C21" s="287">
        <f t="shared" si="2"/>
        <v>309342.79749804537</v>
      </c>
      <c r="D21" s="287">
        <f t="shared" si="2"/>
        <v>325813.70758405008</v>
      </c>
      <c r="E21" s="287">
        <f t="shared" si="2"/>
        <v>322684.31430805317</v>
      </c>
      <c r="F21" s="346">
        <f t="shared" si="2"/>
        <v>287448.94917904609</v>
      </c>
      <c r="G21" s="345">
        <f>SUM(G19:G20)</f>
        <v>310488.80985144642</v>
      </c>
      <c r="H21" s="344">
        <f t="shared" si="2"/>
        <v>0.15919900369695789</v>
      </c>
    </row>
    <row r="22" spans="1:8">
      <c r="B22" s="343"/>
      <c r="C22" s="264"/>
      <c r="D22" s="264"/>
      <c r="E22" s="264"/>
      <c r="F22" s="342"/>
      <c r="G22" s="343"/>
    </row>
    <row r="23" spans="1:8">
      <c r="A23" s="203" t="s">
        <v>961</v>
      </c>
      <c r="B23" s="343">
        <f>B17+B21</f>
        <v>1708498</v>
      </c>
      <c r="C23" s="264">
        <f t="shared" ref="C23:F23" si="3">C17+C21</f>
        <v>1804009.9999999995</v>
      </c>
      <c r="D23" s="264">
        <f t="shared" si="3"/>
        <v>2115227.0000000005</v>
      </c>
      <c r="E23" s="264">
        <f t="shared" si="3"/>
        <v>2170116</v>
      </c>
      <c r="F23" s="342">
        <f t="shared" si="3"/>
        <v>1953742.9999999998</v>
      </c>
      <c r="G23" s="343">
        <f>G17+G21</f>
        <v>1950318.8</v>
      </c>
      <c r="H23" s="341">
        <f>H17+H21</f>
        <v>1</v>
      </c>
    </row>
    <row r="24" spans="1:8">
      <c r="A24" s="303" t="s">
        <v>972</v>
      </c>
      <c r="B24" s="343"/>
      <c r="C24" s="264"/>
      <c r="D24" s="264"/>
      <c r="E24" s="264"/>
      <c r="F24" s="342"/>
      <c r="G24" s="323">
        <f>G23-G20</f>
        <v>1778987.8744294199</v>
      </c>
      <c r="H24" s="341">
        <f>H23-H20</f>
        <v>0.9121523488515928</v>
      </c>
    </row>
    <row r="25" spans="1:8">
      <c r="B25" s="343"/>
      <c r="D25" s="328"/>
      <c r="E25" s="274"/>
      <c r="F25" s="274"/>
      <c r="G25" s="274"/>
      <c r="H25" s="327"/>
    </row>
    <row r="26" spans="1:8">
      <c r="B26" s="343"/>
      <c r="D26" s="325"/>
      <c r="E26" s="339" t="s">
        <v>951</v>
      </c>
      <c r="F26" s="339" t="s">
        <v>960</v>
      </c>
      <c r="G26" s="339" t="s">
        <v>120</v>
      </c>
      <c r="H26" s="338" t="s">
        <v>949</v>
      </c>
    </row>
    <row r="27" spans="1:8">
      <c r="B27" s="343"/>
      <c r="D27" s="325" t="s">
        <v>948</v>
      </c>
      <c r="E27" s="315">
        <f>G23</f>
        <v>1950318.8</v>
      </c>
      <c r="F27" s="315">
        <f>G20</f>
        <v>171330.92557058026</v>
      </c>
      <c r="G27" s="315">
        <f>E27-F27</f>
        <v>1778987.8744294199</v>
      </c>
      <c r="H27" s="335">
        <f>(G27-G28)/G27</f>
        <v>0.61647170482429592</v>
      </c>
    </row>
    <row r="28" spans="1:8">
      <c r="B28" s="343"/>
      <c r="D28" s="325" t="s">
        <v>947</v>
      </c>
      <c r="E28" s="358">
        <f>E31/365</f>
        <v>803676.9126455622</v>
      </c>
      <c r="F28" s="357">
        <f>F31/365</f>
        <v>121384.72602739726</v>
      </c>
      <c r="G28" s="315">
        <f>E28-F28</f>
        <v>682292.18661816488</v>
      </c>
      <c r="H28" s="335">
        <f>G28/G27</f>
        <v>0.38352829517570403</v>
      </c>
    </row>
    <row r="29" spans="1:8">
      <c r="B29" s="343"/>
      <c r="D29" s="334"/>
      <c r="E29" s="333"/>
      <c r="F29" s="333"/>
      <c r="G29" s="333"/>
      <c r="H29" s="332"/>
    </row>
    <row r="30" spans="1:8">
      <c r="B30" s="315"/>
      <c r="D30" s="208"/>
      <c r="E30" s="208"/>
      <c r="F30" s="208"/>
      <c r="G30" s="208"/>
      <c r="H30" s="208"/>
    </row>
    <row r="31" spans="1:8">
      <c r="C31" s="315" t="s">
        <v>946</v>
      </c>
      <c r="D31" s="208"/>
      <c r="E31" s="786">
        <v>293342073.11563021</v>
      </c>
      <c r="F31" s="786">
        <v>44305425</v>
      </c>
      <c r="G31" s="28" t="s">
        <v>540</v>
      </c>
      <c r="H31" s="282"/>
    </row>
    <row r="32" spans="1:8">
      <c r="B32" s="343"/>
      <c r="D32" s="208" t="s">
        <v>944</v>
      </c>
      <c r="E32" s="315">
        <v>365</v>
      </c>
      <c r="F32" s="315">
        <v>365</v>
      </c>
      <c r="G32" s="208"/>
      <c r="H32" s="208"/>
    </row>
    <row r="33" spans="1:8">
      <c r="B33" s="343"/>
      <c r="C33" s="203" t="s">
        <v>943</v>
      </c>
      <c r="D33" s="208"/>
      <c r="E33" s="315">
        <f>E31/E32</f>
        <v>803676.9126455622</v>
      </c>
      <c r="F33" s="315">
        <f>F31/F32</f>
        <v>121384.72602739726</v>
      </c>
      <c r="G33" s="208"/>
      <c r="H33" s="208"/>
    </row>
    <row r="34" spans="1:8" hidden="1">
      <c r="B34" s="343"/>
      <c r="F34" s="327"/>
      <c r="G34" s="328"/>
    </row>
    <row r="35" spans="1:8" hidden="1">
      <c r="B35" s="343"/>
      <c r="F35" s="324"/>
      <c r="G35" s="325"/>
    </row>
    <row r="36" spans="1:8" hidden="1">
      <c r="A36" s="209" t="s">
        <v>938</v>
      </c>
      <c r="B36" s="343"/>
      <c r="F36" s="324"/>
      <c r="G36" s="326" t="s">
        <v>959</v>
      </c>
      <c r="H36" s="205" t="s">
        <v>958</v>
      </c>
    </row>
    <row r="37" spans="1:8" hidden="1">
      <c r="A37" s="203" t="s">
        <v>926</v>
      </c>
      <c r="B37" s="356"/>
      <c r="C37" s="289"/>
      <c r="D37" s="289"/>
      <c r="E37" s="289"/>
      <c r="F37" s="355"/>
      <c r="G37" s="326" t="s">
        <v>957</v>
      </c>
      <c r="H37" s="205" t="s">
        <v>956</v>
      </c>
    </row>
    <row r="38" spans="1:8" hidden="1">
      <c r="B38" s="325"/>
      <c r="F38" s="324"/>
      <c r="G38" s="325"/>
    </row>
    <row r="39" spans="1:8" hidden="1">
      <c r="A39" s="203" t="s">
        <v>802</v>
      </c>
      <c r="B39" s="349" t="e">
        <f>'Demand - Firm Peak by Sch'!#REF!</f>
        <v>#REF!</v>
      </c>
      <c r="C39" s="348" t="e">
        <f>'Demand - Firm Peak by Sch'!#REF!</f>
        <v>#REF!</v>
      </c>
      <c r="D39" s="348" t="e">
        <f>'Demand - Firm Peak by Sch'!#REF!</f>
        <v>#REF!</v>
      </c>
      <c r="E39" s="348" t="e">
        <f>'Demand - Firm Peak by Sch'!#REF!</f>
        <v>#REF!</v>
      </c>
      <c r="F39" s="347" t="e">
        <f>'Demand - Firm Peak by Sch'!#REF!</f>
        <v>#REF!</v>
      </c>
      <c r="G39" s="350" t="e">
        <f>AVERAGE(B39:F39)</f>
        <v>#REF!</v>
      </c>
      <c r="H39" s="341" t="e">
        <f>G39/G$51</f>
        <v>#REF!</v>
      </c>
    </row>
    <row r="40" spans="1:8" hidden="1">
      <c r="A40" s="203" t="s">
        <v>955</v>
      </c>
      <c r="B40" s="349" t="e">
        <f>SUM('Demand - Firm Peak by Sch'!#REF!)</f>
        <v>#REF!</v>
      </c>
      <c r="C40" s="348" t="e">
        <f>SUM('Demand - Firm Peak by Sch'!#REF!)</f>
        <v>#REF!</v>
      </c>
      <c r="D40" s="348" t="e">
        <f>SUM('Demand - Firm Peak by Sch'!#REF!)</f>
        <v>#REF!</v>
      </c>
      <c r="E40" s="348" t="e">
        <f>SUM('Demand - Firm Peak by Sch'!#REF!)</f>
        <v>#REF!</v>
      </c>
      <c r="F40" s="347" t="e">
        <f>SUM('Demand - Firm Peak by Sch'!#REF!)</f>
        <v>#REF!</v>
      </c>
      <c r="G40" s="350" t="e">
        <f>AVERAGE(B40:F40)</f>
        <v>#REF!</v>
      </c>
      <c r="H40" s="341" t="e">
        <f>G40/G$51</f>
        <v>#REF!</v>
      </c>
    </row>
    <row r="41" spans="1:8" hidden="1">
      <c r="A41" s="293" t="s">
        <v>922</v>
      </c>
      <c r="B41" s="345" t="e">
        <f t="shared" ref="B41:H41" si="4">SUM(B39:B40)</f>
        <v>#REF!</v>
      </c>
      <c r="C41" s="287" t="e">
        <f t="shared" si="4"/>
        <v>#REF!</v>
      </c>
      <c r="D41" s="287" t="e">
        <f t="shared" si="4"/>
        <v>#REF!</v>
      </c>
      <c r="E41" s="287" t="e">
        <f t="shared" si="4"/>
        <v>#REF!</v>
      </c>
      <c r="F41" s="346" t="e">
        <f t="shared" si="4"/>
        <v>#REF!</v>
      </c>
      <c r="G41" s="345" t="e">
        <f t="shared" si="4"/>
        <v>#REF!</v>
      </c>
      <c r="H41" s="344" t="e">
        <f t="shared" si="4"/>
        <v>#REF!</v>
      </c>
    </row>
    <row r="42" spans="1:8" hidden="1">
      <c r="B42" s="343"/>
      <c r="C42" s="264"/>
      <c r="D42" s="264"/>
      <c r="E42" s="264"/>
      <c r="F42" s="342"/>
      <c r="G42" s="343"/>
    </row>
    <row r="43" spans="1:8" hidden="1">
      <c r="A43" s="203" t="s">
        <v>779</v>
      </c>
      <c r="B43" s="349" t="e">
        <f>'Demand - Firm Peak by Sch'!#REF!</f>
        <v>#REF!</v>
      </c>
      <c r="C43" s="348" t="e">
        <f>'Demand - Firm Peak by Sch'!#REF!</f>
        <v>#REF!</v>
      </c>
      <c r="D43" s="348" t="e">
        <f>'Demand - Firm Peak by Sch'!#REF!</f>
        <v>#REF!</v>
      </c>
      <c r="E43" s="348" t="e">
        <f>'Demand - Firm Peak by Sch'!#REF!</f>
        <v>#REF!</v>
      </c>
      <c r="F43" s="347" t="e">
        <f>'Demand - Firm Peak by Sch'!#REF!</f>
        <v>#REF!</v>
      </c>
      <c r="G43" s="350" t="e">
        <f>AVERAGE(B43:F43)</f>
        <v>#REF!</v>
      </c>
      <c r="H43" s="341" t="e">
        <f>G43/G$51</f>
        <v>#REF!</v>
      </c>
    </row>
    <row r="44" spans="1:8" hidden="1">
      <c r="A44" s="293" t="s">
        <v>921</v>
      </c>
      <c r="B44" s="352" t="e">
        <f t="shared" ref="B44:F44" si="5">B41+B43</f>
        <v>#REF!</v>
      </c>
      <c r="C44" s="354" t="e">
        <f t="shared" si="5"/>
        <v>#REF!</v>
      </c>
      <c r="D44" s="354" t="e">
        <f t="shared" si="5"/>
        <v>#REF!</v>
      </c>
      <c r="E44" s="354" t="e">
        <f t="shared" si="5"/>
        <v>#REF!</v>
      </c>
      <c r="F44" s="353" t="e">
        <f t="shared" si="5"/>
        <v>#REF!</v>
      </c>
      <c r="G44" s="352" t="e">
        <f>SUM(G41:G43)</f>
        <v>#REF!</v>
      </c>
      <c r="H44" s="351" t="e">
        <f>SUM(H41:H43)</f>
        <v>#REF!</v>
      </c>
    </row>
    <row r="45" spans="1:8" hidden="1">
      <c r="B45" s="343"/>
      <c r="C45" s="264"/>
      <c r="D45" s="264"/>
      <c r="E45" s="264"/>
      <c r="F45" s="342"/>
      <c r="G45" s="343"/>
    </row>
    <row r="46" spans="1:8" hidden="1">
      <c r="A46" s="203" t="s">
        <v>778</v>
      </c>
      <c r="B46" s="349" t="e">
        <f>'Demand - Firm Peak by Sch'!#REF!</f>
        <v>#REF!</v>
      </c>
      <c r="C46" s="348" t="e">
        <f>'Demand - Firm Peak by Sch'!#REF!</f>
        <v>#REF!</v>
      </c>
      <c r="D46" s="348" t="e">
        <f>'Demand - Firm Peak by Sch'!#REF!</f>
        <v>#REF!</v>
      </c>
      <c r="E46" s="348" t="e">
        <f>'Demand - Firm Peak by Sch'!#REF!</f>
        <v>#REF!</v>
      </c>
      <c r="F46" s="347" t="e">
        <f>'Demand - Firm Peak by Sch'!#REF!</f>
        <v>#REF!</v>
      </c>
      <c r="G46" s="350" t="e">
        <f>AVERAGE(B46:F46)</f>
        <v>#REF!</v>
      </c>
      <c r="H46" s="341" t="e">
        <f>G46/G$51</f>
        <v>#REF!</v>
      </c>
    </row>
    <row r="47" spans="1:8" hidden="1">
      <c r="A47" s="203" t="s">
        <v>920</v>
      </c>
      <c r="B47" s="349" t="e">
        <f>'Demand - Firm Peak by Sch'!#REF!</f>
        <v>#REF!</v>
      </c>
      <c r="C47" s="348" t="e">
        <f>'Demand - Firm Peak by Sch'!#REF!</f>
        <v>#REF!</v>
      </c>
      <c r="D47" s="348" t="e">
        <f>'Demand - Firm Peak by Sch'!#REF!</f>
        <v>#REF!</v>
      </c>
      <c r="E47" s="348" t="e">
        <f>'Demand - Firm Peak by Sch'!#REF!</f>
        <v>#REF!</v>
      </c>
      <c r="F47" s="347" t="e">
        <f>'Demand - Firm Peak by Sch'!#REF!</f>
        <v>#REF!</v>
      </c>
      <c r="G47" s="323" t="e">
        <f>AVERAGE(B47:F47)</f>
        <v>#REF!</v>
      </c>
      <c r="H47" s="341" t="e">
        <f>G47/G$51</f>
        <v>#REF!</v>
      </c>
    </row>
    <row r="48" spans="1:8" hidden="1">
      <c r="A48" s="203" t="s">
        <v>919</v>
      </c>
      <c r="B48" s="349" t="e">
        <f>'Demand - Firm Peak by Sch'!#REF!</f>
        <v>#REF!</v>
      </c>
      <c r="C48" s="348" t="e">
        <f>'Demand - Firm Peak by Sch'!#REF!</f>
        <v>#REF!</v>
      </c>
      <c r="D48" s="348" t="e">
        <f>'Demand - Firm Peak by Sch'!#REF!</f>
        <v>#REF!</v>
      </c>
      <c r="E48" s="348" t="e">
        <f>'Demand - Firm Peak by Sch'!#REF!</f>
        <v>#REF!</v>
      </c>
      <c r="F48" s="347" t="e">
        <f>'Demand - Firm Peak by Sch'!#REF!</f>
        <v>#REF!</v>
      </c>
      <c r="G48" s="343" t="e">
        <f>AVERAGE(B48:F48)</f>
        <v>#REF!</v>
      </c>
      <c r="H48" s="341" t="e">
        <f>G48/G$51</f>
        <v>#REF!</v>
      </c>
    </row>
    <row r="49" spans="1:8" hidden="1">
      <c r="A49" s="293" t="s">
        <v>918</v>
      </c>
      <c r="B49" s="345" t="e">
        <f t="shared" ref="B49:H49" si="6">SUM(B46:B48)</f>
        <v>#REF!</v>
      </c>
      <c r="C49" s="287" t="e">
        <f t="shared" si="6"/>
        <v>#REF!</v>
      </c>
      <c r="D49" s="287" t="e">
        <f t="shared" si="6"/>
        <v>#REF!</v>
      </c>
      <c r="E49" s="287" t="e">
        <f t="shared" si="6"/>
        <v>#REF!</v>
      </c>
      <c r="F49" s="346" t="e">
        <f t="shared" si="6"/>
        <v>#REF!</v>
      </c>
      <c r="G49" s="345" t="e">
        <f t="shared" si="6"/>
        <v>#REF!</v>
      </c>
      <c r="H49" s="344" t="e">
        <f t="shared" si="6"/>
        <v>#REF!</v>
      </c>
    </row>
    <row r="50" spans="1:8" hidden="1">
      <c r="B50" s="343"/>
      <c r="C50" s="264"/>
      <c r="D50" s="264"/>
      <c r="E50" s="264"/>
      <c r="F50" s="342"/>
      <c r="G50" s="343"/>
    </row>
    <row r="51" spans="1:8" hidden="1">
      <c r="A51" s="203" t="s">
        <v>954</v>
      </c>
      <c r="B51" s="343" t="e">
        <f t="shared" ref="B51:H51" si="7">B44+B49</f>
        <v>#REF!</v>
      </c>
      <c r="C51" s="264" t="e">
        <f t="shared" si="7"/>
        <v>#REF!</v>
      </c>
      <c r="D51" s="264" t="e">
        <f t="shared" si="7"/>
        <v>#REF!</v>
      </c>
      <c r="E51" s="264" t="e">
        <f t="shared" si="7"/>
        <v>#REF!</v>
      </c>
      <c r="F51" s="342" t="e">
        <f t="shared" si="7"/>
        <v>#REF!</v>
      </c>
      <c r="G51" s="343" t="e">
        <f t="shared" si="7"/>
        <v>#REF!</v>
      </c>
      <c r="H51" s="341" t="e">
        <f t="shared" si="7"/>
        <v>#REF!</v>
      </c>
    </row>
    <row r="52" spans="1:8" hidden="1">
      <c r="A52" s="293" t="s">
        <v>953</v>
      </c>
      <c r="B52" s="343"/>
      <c r="C52" s="264"/>
      <c r="D52" s="264"/>
      <c r="E52" s="264"/>
      <c r="F52" s="342"/>
      <c r="G52" s="323" t="e">
        <f>G51-G47-G48</f>
        <v>#REF!</v>
      </c>
      <c r="H52" s="341" t="e">
        <f>H51-H47-H48</f>
        <v>#REF!</v>
      </c>
    </row>
    <row r="53" spans="1:8" hidden="1">
      <c r="D53" s="328"/>
      <c r="E53" s="274"/>
      <c r="F53" s="340" t="s">
        <v>952</v>
      </c>
      <c r="G53" s="274"/>
      <c r="H53" s="327"/>
    </row>
    <row r="54" spans="1:8" hidden="1">
      <c r="D54" s="325"/>
      <c r="E54" s="339" t="s">
        <v>951</v>
      </c>
      <c r="F54" s="339" t="s">
        <v>950</v>
      </c>
      <c r="G54" s="339" t="s">
        <v>120</v>
      </c>
      <c r="H54" s="338" t="s">
        <v>949</v>
      </c>
    </row>
    <row r="55" spans="1:8" hidden="1">
      <c r="D55" s="325" t="s">
        <v>948</v>
      </c>
      <c r="E55" s="315" t="e">
        <f>G51</f>
        <v>#REF!</v>
      </c>
      <c r="F55" s="315" t="e">
        <f>G47+G48</f>
        <v>#REF!</v>
      </c>
      <c r="G55" s="315" t="e">
        <f>E55-F55</f>
        <v>#REF!</v>
      </c>
      <c r="H55" s="335" t="e">
        <f>(G55-G56)/G55</f>
        <v>#REF!</v>
      </c>
    </row>
    <row r="56" spans="1:8" hidden="1">
      <c r="D56" s="325" t="s">
        <v>947</v>
      </c>
      <c r="E56" s="337">
        <f>123263299/365</f>
        <v>337707.66849315068</v>
      </c>
      <c r="F56" s="336">
        <f>45713336/365</f>
        <v>125242.01643835616</v>
      </c>
      <c r="G56" s="315">
        <f>E56-F56</f>
        <v>212465.65205479451</v>
      </c>
      <c r="H56" s="335" t="e">
        <f>G56/G55</f>
        <v>#REF!</v>
      </c>
    </row>
    <row r="57" spans="1:8" hidden="1">
      <c r="D57" s="334"/>
      <c r="E57" s="333"/>
      <c r="F57" s="333"/>
      <c r="G57" s="333"/>
      <c r="H57" s="332"/>
    </row>
    <row r="58" spans="1:8" hidden="1"/>
    <row r="59" spans="1:8" hidden="1">
      <c r="C59" s="315" t="s">
        <v>946</v>
      </c>
      <c r="D59" s="208"/>
      <c r="E59" s="331">
        <v>123263299</v>
      </c>
      <c r="F59" s="331">
        <f>927886+44785450</f>
        <v>45713336</v>
      </c>
    </row>
    <row r="60" spans="1:8" hidden="1">
      <c r="D60" s="208" t="s">
        <v>944</v>
      </c>
      <c r="E60" s="315">
        <v>365</v>
      </c>
      <c r="F60" s="315">
        <v>365</v>
      </c>
    </row>
    <row r="61" spans="1:8" hidden="1">
      <c r="C61" s="203" t="s">
        <v>943</v>
      </c>
      <c r="D61" s="208"/>
      <c r="E61" s="315">
        <f>E59/E60</f>
        <v>337707.66849315068</v>
      </c>
      <c r="F61" s="315">
        <f>F59/F60</f>
        <v>125242.01643835616</v>
      </c>
    </row>
    <row r="65" spans="4:8" hidden="1">
      <c r="D65" s="379"/>
      <c r="E65" s="382"/>
      <c r="F65" s="382"/>
      <c r="G65" s="382"/>
      <c r="H65" s="378"/>
    </row>
    <row r="66" spans="4:8" hidden="1">
      <c r="D66" s="381"/>
      <c r="E66" s="339" t="s">
        <v>951</v>
      </c>
      <c r="F66" s="339" t="s">
        <v>960</v>
      </c>
      <c r="G66" s="339" t="s">
        <v>120</v>
      </c>
      <c r="H66" s="338" t="s">
        <v>949</v>
      </c>
    </row>
    <row r="67" spans="4:8" hidden="1">
      <c r="D67" s="381" t="s">
        <v>948</v>
      </c>
      <c r="E67" s="380">
        <f>G23</f>
        <v>1950318.8</v>
      </c>
      <c r="F67" s="380">
        <v>0</v>
      </c>
      <c r="G67" s="380">
        <f>E67-F67</f>
        <v>1950318.8</v>
      </c>
      <c r="H67" s="335">
        <f>(G67-G68)/G67</f>
        <v>0.58792536243532989</v>
      </c>
    </row>
    <row r="68" spans="4:8" hidden="1">
      <c r="D68" s="381" t="s">
        <v>947</v>
      </c>
      <c r="E68" s="358">
        <f>E31/365</f>
        <v>803676.9126455622</v>
      </c>
      <c r="F68" s="358">
        <v>0</v>
      </c>
      <c r="G68" s="380">
        <f>E68-F68</f>
        <v>803676.9126455622</v>
      </c>
      <c r="H68" s="335">
        <f>G68/G67</f>
        <v>0.41207463756467005</v>
      </c>
    </row>
    <row r="69" spans="4:8" hidden="1">
      <c r="D69" s="364"/>
      <c r="E69" s="365"/>
      <c r="F69" s="365"/>
      <c r="G69" s="365"/>
      <c r="H69" s="366"/>
    </row>
    <row r="70" spans="4:8" hidden="1"/>
    <row r="71" spans="4:8" hidden="1"/>
    <row r="79" spans="4:8" hidden="1">
      <c r="D79" s="210" t="s">
        <v>945</v>
      </c>
      <c r="E79" s="267">
        <v>243774.44399999999</v>
      </c>
      <c r="F79" s="267">
        <v>36418.563999999998</v>
      </c>
    </row>
    <row r="80" spans="4:8" hidden="1">
      <c r="D80" s="210" t="s">
        <v>944</v>
      </c>
      <c r="E80" s="267">
        <v>365</v>
      </c>
      <c r="F80" s="267">
        <v>365</v>
      </c>
    </row>
    <row r="81" spans="4:6" hidden="1">
      <c r="D81" s="210" t="s">
        <v>943</v>
      </c>
      <c r="E81" s="264">
        <f>E79/E80*1000</f>
        <v>667875.18904109579</v>
      </c>
      <c r="F81" s="264">
        <f>F79/F80*1000</f>
        <v>99776.887671232864</v>
      </c>
    </row>
    <row r="82" spans="4:6" hidden="1"/>
  </sheetData>
  <printOptions horizontalCentered="1"/>
  <pageMargins left="0.25" right="0.25" top="0.75" bottom="0.7" header="0.5" footer="0.5"/>
  <pageSetup orientation="landscape" r:id="rId1"/>
  <headerFooter alignWithMargins="0">
    <oddHeader>&amp;CNatural Gas Demand and Peak and Average Analysis</oddHeader>
    <oddFooter>&amp;R&amp;F
&amp;A</oddFooter>
  </headerFooter>
  <rowBreaks count="1" manualBreakCount="1">
    <brk id="3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6E3BD-366B-46A8-9833-FE32E8447C5F}">
  <sheetPr>
    <tabColor theme="5" tint="0.39997558519241921"/>
  </sheetPr>
  <dimension ref="A1:AB366"/>
  <sheetViews>
    <sheetView topLeftCell="A333" workbookViewId="0">
      <selection activeCell="G175" sqref="G175"/>
    </sheetView>
  </sheetViews>
  <sheetFormatPr defaultRowHeight="12.75"/>
  <cols>
    <col min="1" max="1" width="14.5703125" style="51" customWidth="1"/>
    <col min="5" max="5" width="13.85546875" customWidth="1"/>
    <col min="6" max="7" width="12.85546875" bestFit="1" customWidth="1"/>
    <col min="9" max="9" width="11.42578125" bestFit="1" customWidth="1"/>
    <col min="10" max="10" width="12.5703125" bestFit="1" customWidth="1"/>
    <col min="11" max="11" width="10.7109375" customWidth="1"/>
    <col min="12" max="12" width="10.140625" bestFit="1" customWidth="1"/>
    <col min="13" max="13" width="9.140625" bestFit="1" customWidth="1"/>
    <col min="14" max="15" width="8.85546875" bestFit="1" customWidth="1"/>
    <col min="17" max="17" width="12.140625" bestFit="1" customWidth="1"/>
    <col min="18" max="18" width="12.140625" customWidth="1"/>
    <col min="19" max="19" width="12.85546875" customWidth="1"/>
    <col min="20" max="20" width="14.7109375" customWidth="1"/>
  </cols>
  <sheetData>
    <row r="1" spans="1:28" s="746" customFormat="1" ht="25.5">
      <c r="A1" s="745" t="s">
        <v>1523</v>
      </c>
      <c r="B1" s="745" t="s">
        <v>1524</v>
      </c>
      <c r="C1" s="745" t="s">
        <v>1525</v>
      </c>
      <c r="D1" s="745" t="s">
        <v>1526</v>
      </c>
      <c r="E1" s="745" t="s">
        <v>1527</v>
      </c>
      <c r="F1" s="745" t="s">
        <v>1528</v>
      </c>
      <c r="G1" s="745" t="s">
        <v>1529</v>
      </c>
      <c r="I1" s="747" t="s">
        <v>1526</v>
      </c>
      <c r="J1" s="745" t="s">
        <v>1527</v>
      </c>
      <c r="K1" s="745" t="s">
        <v>1530</v>
      </c>
      <c r="L1" s="745" t="s">
        <v>1528</v>
      </c>
      <c r="M1" s="745" t="s">
        <v>1530</v>
      </c>
      <c r="N1" s="745" t="s">
        <v>1529</v>
      </c>
      <c r="O1" s="745" t="s">
        <v>1530</v>
      </c>
      <c r="Q1" s="747" t="s">
        <v>1526</v>
      </c>
      <c r="R1" s="745" t="s">
        <v>1527</v>
      </c>
      <c r="S1" s="745" t="s">
        <v>1528</v>
      </c>
      <c r="T1" s="745" t="s">
        <v>1529</v>
      </c>
      <c r="U1">
        <v>24</v>
      </c>
      <c r="X1" s="776" t="s">
        <v>1627</v>
      </c>
      <c r="Y1" s="776" t="s">
        <v>1671</v>
      </c>
      <c r="AA1" s="776" t="s">
        <v>1627</v>
      </c>
      <c r="AB1" s="776" t="s">
        <v>1671</v>
      </c>
    </row>
    <row r="2" spans="1:28" ht="15">
      <c r="A2" s="748">
        <v>44743</v>
      </c>
      <c r="B2" s="749">
        <f>MONTH(A2)</f>
        <v>7</v>
      </c>
      <c r="C2" s="749">
        <f>DAY(A2)</f>
        <v>1</v>
      </c>
      <c r="D2" t="s">
        <v>1531</v>
      </c>
      <c r="E2" s="413">
        <v>64559.119412414315</v>
      </c>
      <c r="F2" s="413">
        <v>44020.518014286514</v>
      </c>
      <c r="G2" s="413">
        <v>1227.8333322187996</v>
      </c>
      <c r="I2" t="s">
        <v>1532</v>
      </c>
      <c r="J2" s="642">
        <v>3604832</v>
      </c>
      <c r="K2" s="642">
        <f>J2/$U$1</f>
        <v>150201.33333333334</v>
      </c>
      <c r="L2" s="642">
        <v>71839</v>
      </c>
      <c r="M2" s="642">
        <f>L2/$U$1</f>
        <v>2993.2916666666665</v>
      </c>
      <c r="N2" s="642">
        <v>48</v>
      </c>
      <c r="O2" s="642">
        <f>N2/$U$1</f>
        <v>2</v>
      </c>
      <c r="Q2" t="s">
        <v>1533</v>
      </c>
      <c r="R2" s="750">
        <f>E2/K2</f>
        <v>0.42981721919300081</v>
      </c>
      <c r="S2" s="750">
        <f>F2/M2</f>
        <v>14.706391129370903</v>
      </c>
      <c r="T2" s="750">
        <f>G2/O2</f>
        <v>613.91666610939978</v>
      </c>
    </row>
    <row r="3" spans="1:28" ht="15">
      <c r="A3" s="751">
        <f>A2+1</f>
        <v>44744</v>
      </c>
      <c r="B3" s="749">
        <f t="shared" ref="B3:B66" si="0">MONTH(A3)</f>
        <v>7</v>
      </c>
      <c r="C3" s="749">
        <f t="shared" ref="C3:C66" si="1">DAY(A3)</f>
        <v>2</v>
      </c>
      <c r="D3" t="s">
        <v>1531</v>
      </c>
      <c r="E3" s="413">
        <v>74429.563983766508</v>
      </c>
      <c r="F3" s="413">
        <v>51139.900220108808</v>
      </c>
      <c r="G3" s="413">
        <v>1219.8333316986998</v>
      </c>
      <c r="I3" t="s">
        <v>1532</v>
      </c>
      <c r="J3" s="642">
        <v>3604948</v>
      </c>
      <c r="K3" s="642">
        <f t="shared" ref="K3:K65" si="2">J3/$U$1</f>
        <v>150206.16666666666</v>
      </c>
      <c r="L3" s="642">
        <v>71832</v>
      </c>
      <c r="M3" s="642">
        <f t="shared" ref="M3:M65" si="3">L3/$U$1</f>
        <v>2993</v>
      </c>
      <c r="N3" s="642">
        <v>48</v>
      </c>
      <c r="O3" s="642">
        <f t="shared" ref="O3:O65" si="4">N3/$U$1</f>
        <v>2</v>
      </c>
      <c r="Q3" t="s">
        <v>1533</v>
      </c>
      <c r="R3" s="750">
        <f t="shared" ref="R3:R66" si="5">E3/K3</f>
        <v>0.49551603396509364</v>
      </c>
      <c r="S3" s="750">
        <f t="shared" ref="S3:S66" si="6">F3/M3</f>
        <v>17.086501911162316</v>
      </c>
      <c r="T3" s="750">
        <f t="shared" ref="T3:T66" si="7">G3/O3</f>
        <v>609.9166658493499</v>
      </c>
    </row>
    <row r="4" spans="1:28" ht="15">
      <c r="A4" s="751">
        <f t="shared" ref="A4:A67" si="8">A3+1</f>
        <v>44745</v>
      </c>
      <c r="B4" s="749">
        <f t="shared" si="0"/>
        <v>7</v>
      </c>
      <c r="C4" s="749">
        <f t="shared" si="1"/>
        <v>3</v>
      </c>
      <c r="D4" t="s">
        <v>1531</v>
      </c>
      <c r="E4" s="413">
        <v>62537.621520766195</v>
      </c>
      <c r="F4" s="413">
        <v>41768.502438011594</v>
      </c>
      <c r="G4" s="413">
        <v>1217.8333320449995</v>
      </c>
      <c r="I4" t="s">
        <v>1532</v>
      </c>
      <c r="J4" s="642">
        <v>3603594</v>
      </c>
      <c r="K4" s="642">
        <f t="shared" si="2"/>
        <v>150149.75</v>
      </c>
      <c r="L4" s="642">
        <v>71811</v>
      </c>
      <c r="M4" s="642">
        <f t="shared" si="3"/>
        <v>2992.125</v>
      </c>
      <c r="N4" s="642">
        <v>48</v>
      </c>
      <c r="O4" s="642">
        <f t="shared" si="4"/>
        <v>2</v>
      </c>
      <c r="Q4" t="s">
        <v>1533</v>
      </c>
      <c r="R4" s="750">
        <f t="shared" si="5"/>
        <v>0.41650166930525157</v>
      </c>
      <c r="S4" s="750">
        <f t="shared" si="6"/>
        <v>13.95947777516367</v>
      </c>
      <c r="T4" s="750">
        <f t="shared" si="7"/>
        <v>608.91666602249973</v>
      </c>
    </row>
    <row r="5" spans="1:28" ht="15">
      <c r="A5" s="751">
        <f t="shared" si="8"/>
        <v>44746</v>
      </c>
      <c r="B5" s="749">
        <f t="shared" si="0"/>
        <v>7</v>
      </c>
      <c r="C5" s="749">
        <f t="shared" si="1"/>
        <v>4</v>
      </c>
      <c r="D5" t="s">
        <v>1531</v>
      </c>
      <c r="E5" s="413">
        <v>74771.282200034402</v>
      </c>
      <c r="F5" s="413">
        <v>47292.931910954372</v>
      </c>
      <c r="G5" s="413">
        <v>1342.8333317848003</v>
      </c>
      <c r="I5" t="s">
        <v>1532</v>
      </c>
      <c r="J5" s="642">
        <v>3604389</v>
      </c>
      <c r="K5" s="642">
        <f t="shared" si="2"/>
        <v>150182.875</v>
      </c>
      <c r="L5" s="642">
        <v>71830</v>
      </c>
      <c r="M5" s="642">
        <f t="shared" si="3"/>
        <v>2992.9166666666665</v>
      </c>
      <c r="N5" s="642">
        <v>48</v>
      </c>
      <c r="O5" s="642">
        <f t="shared" si="4"/>
        <v>2</v>
      </c>
      <c r="Q5" t="s">
        <v>1533</v>
      </c>
      <c r="R5" s="750">
        <f t="shared" si="5"/>
        <v>0.49786823031610228</v>
      </c>
      <c r="S5" s="750">
        <f t="shared" si="6"/>
        <v>15.801620017581859</v>
      </c>
      <c r="T5" s="750">
        <f t="shared" si="7"/>
        <v>671.41666589240015</v>
      </c>
    </row>
    <row r="6" spans="1:28" ht="15">
      <c r="A6" s="751">
        <f t="shared" si="8"/>
        <v>44747</v>
      </c>
      <c r="B6" s="749">
        <f t="shared" si="0"/>
        <v>7</v>
      </c>
      <c r="C6" s="749">
        <f t="shared" si="1"/>
        <v>5</v>
      </c>
      <c r="D6" t="s">
        <v>1531</v>
      </c>
      <c r="E6" s="413">
        <v>79609.759538482453</v>
      </c>
      <c r="F6" s="413">
        <v>166889.46785960317</v>
      </c>
      <c r="G6" s="413">
        <v>1323.8333318716</v>
      </c>
      <c r="I6" t="s">
        <v>1532</v>
      </c>
      <c r="J6" s="642">
        <v>3606136</v>
      </c>
      <c r="K6" s="642">
        <f t="shared" si="2"/>
        <v>150255.66666666666</v>
      </c>
      <c r="L6" s="642">
        <v>71774</v>
      </c>
      <c r="M6" s="642">
        <f t="shared" si="3"/>
        <v>2990.5833333333335</v>
      </c>
      <c r="N6" s="642">
        <v>48</v>
      </c>
      <c r="O6" s="642">
        <f t="shared" si="4"/>
        <v>2</v>
      </c>
      <c r="Q6" t="s">
        <v>1533</v>
      </c>
      <c r="R6" s="750">
        <f t="shared" si="5"/>
        <v>0.52982866672903606</v>
      </c>
      <c r="S6" s="750">
        <f t="shared" si="6"/>
        <v>55.804988277516593</v>
      </c>
      <c r="T6" s="750">
        <f t="shared" si="7"/>
        <v>661.91666593579998</v>
      </c>
    </row>
    <row r="7" spans="1:28" ht="15">
      <c r="A7" s="751">
        <f t="shared" si="8"/>
        <v>44748</v>
      </c>
      <c r="B7" s="749">
        <f t="shared" si="0"/>
        <v>7</v>
      </c>
      <c r="C7" s="749">
        <f t="shared" si="1"/>
        <v>6</v>
      </c>
      <c r="D7" t="s">
        <v>1531</v>
      </c>
      <c r="E7" s="413">
        <v>76099.588960404391</v>
      </c>
      <c r="F7" s="413">
        <v>158283.11632965866</v>
      </c>
      <c r="G7" s="413">
        <v>1247.8333320451</v>
      </c>
      <c r="I7" t="s">
        <v>1532</v>
      </c>
      <c r="J7" s="642">
        <v>3606294</v>
      </c>
      <c r="K7" s="642">
        <f t="shared" si="2"/>
        <v>150262.25</v>
      </c>
      <c r="L7" s="642">
        <v>71799</v>
      </c>
      <c r="M7" s="642">
        <f t="shared" si="3"/>
        <v>2991.625</v>
      </c>
      <c r="N7" s="642">
        <v>48</v>
      </c>
      <c r="O7" s="642">
        <f t="shared" si="4"/>
        <v>2</v>
      </c>
      <c r="Q7" t="s">
        <v>1533</v>
      </c>
      <c r="R7" s="750">
        <f t="shared" si="5"/>
        <v>0.50644515811791979</v>
      </c>
      <c r="S7" s="750">
        <f t="shared" si="6"/>
        <v>52.90874234894369</v>
      </c>
      <c r="T7" s="750">
        <f t="shared" si="7"/>
        <v>623.91666602254998</v>
      </c>
    </row>
    <row r="8" spans="1:28" ht="15">
      <c r="A8" s="751">
        <f t="shared" si="8"/>
        <v>44749</v>
      </c>
      <c r="B8" s="749">
        <f t="shared" si="0"/>
        <v>7</v>
      </c>
      <c r="C8" s="749">
        <f t="shared" si="1"/>
        <v>7</v>
      </c>
      <c r="D8" t="s">
        <v>1531</v>
      </c>
      <c r="E8" s="413">
        <v>65517.448112252408</v>
      </c>
      <c r="F8" s="413">
        <v>159339.94394233092</v>
      </c>
      <c r="G8" s="413">
        <v>1210.8333323932</v>
      </c>
      <c r="I8" t="s">
        <v>1532</v>
      </c>
      <c r="J8" s="642">
        <v>3603375</v>
      </c>
      <c r="K8" s="642">
        <f t="shared" si="2"/>
        <v>150140.625</v>
      </c>
      <c r="L8" s="642">
        <v>71760</v>
      </c>
      <c r="M8" s="642">
        <f t="shared" si="3"/>
        <v>2990</v>
      </c>
      <c r="N8" s="642">
        <v>48</v>
      </c>
      <c r="O8" s="642">
        <f t="shared" si="4"/>
        <v>2</v>
      </c>
      <c r="Q8" t="s">
        <v>1533</v>
      </c>
      <c r="R8" s="750">
        <f t="shared" si="5"/>
        <v>0.436373886896051</v>
      </c>
      <c r="S8" s="750">
        <f t="shared" si="6"/>
        <v>53.290951151281249</v>
      </c>
      <c r="T8" s="750">
        <f t="shared" si="7"/>
        <v>605.41666619659998</v>
      </c>
    </row>
    <row r="9" spans="1:28" ht="15">
      <c r="A9" s="751">
        <f t="shared" si="8"/>
        <v>44750</v>
      </c>
      <c r="B9" s="749">
        <f t="shared" si="0"/>
        <v>7</v>
      </c>
      <c r="C9" s="749">
        <f t="shared" si="1"/>
        <v>8</v>
      </c>
      <c r="D9" t="s">
        <v>1531</v>
      </c>
      <c r="E9" s="413">
        <v>63745.781007747908</v>
      </c>
      <c r="F9" s="413">
        <v>58081.339672421498</v>
      </c>
      <c r="G9" s="413">
        <v>1221.8333318722</v>
      </c>
      <c r="I9" t="s">
        <v>1532</v>
      </c>
      <c r="J9" s="642">
        <v>3603688</v>
      </c>
      <c r="K9" s="642">
        <f t="shared" si="2"/>
        <v>150153.66666666666</v>
      </c>
      <c r="L9" s="642">
        <v>71840</v>
      </c>
      <c r="M9" s="642">
        <f t="shared" si="3"/>
        <v>2993.3333333333335</v>
      </c>
      <c r="N9" s="642">
        <v>48</v>
      </c>
      <c r="O9" s="642">
        <f t="shared" si="4"/>
        <v>2</v>
      </c>
      <c r="Q9" t="s">
        <v>1533</v>
      </c>
      <c r="R9" s="750">
        <f t="shared" si="5"/>
        <v>0.42453695885602466</v>
      </c>
      <c r="S9" s="750">
        <f t="shared" si="6"/>
        <v>19.403565592122995</v>
      </c>
      <c r="T9" s="750">
        <f t="shared" si="7"/>
        <v>610.9166659361</v>
      </c>
    </row>
    <row r="10" spans="1:28" ht="15">
      <c r="A10" s="751">
        <f t="shared" si="8"/>
        <v>44751</v>
      </c>
      <c r="B10" s="749">
        <f t="shared" si="0"/>
        <v>7</v>
      </c>
      <c r="C10" s="749">
        <f t="shared" si="1"/>
        <v>9</v>
      </c>
      <c r="D10" t="s">
        <v>1531</v>
      </c>
      <c r="E10" s="413">
        <v>73472.961214014489</v>
      </c>
      <c r="F10" s="413">
        <v>248536.20961876458</v>
      </c>
      <c r="G10" s="413">
        <v>1209.8333316984999</v>
      </c>
      <c r="I10" t="s">
        <v>1532</v>
      </c>
      <c r="J10" s="642">
        <v>3605008</v>
      </c>
      <c r="K10" s="642">
        <f t="shared" si="2"/>
        <v>150208.66666666666</v>
      </c>
      <c r="L10" s="642">
        <v>71720</v>
      </c>
      <c r="M10" s="642">
        <f t="shared" si="3"/>
        <v>2988.3333333333335</v>
      </c>
      <c r="N10" s="642">
        <v>48</v>
      </c>
      <c r="O10" s="642">
        <f t="shared" si="4"/>
        <v>2</v>
      </c>
      <c r="Q10" t="s">
        <v>1533</v>
      </c>
      <c r="R10" s="750">
        <f t="shared" si="5"/>
        <v>0.48913929431955433</v>
      </c>
      <c r="S10" s="750">
        <f t="shared" si="6"/>
        <v>83.168837574600531</v>
      </c>
      <c r="T10" s="750">
        <f t="shared" si="7"/>
        <v>604.91666584924997</v>
      </c>
    </row>
    <row r="11" spans="1:28" ht="15">
      <c r="A11" s="751">
        <f t="shared" si="8"/>
        <v>44752</v>
      </c>
      <c r="B11" s="749">
        <f t="shared" si="0"/>
        <v>7</v>
      </c>
      <c r="C11" s="749">
        <f t="shared" si="1"/>
        <v>10</v>
      </c>
      <c r="D11" t="s">
        <v>1531</v>
      </c>
      <c r="E11" s="413">
        <v>65396.261414264591</v>
      </c>
      <c r="F11" s="413">
        <v>40681.147575523595</v>
      </c>
      <c r="G11" s="413">
        <v>1213.8333319583996</v>
      </c>
      <c r="I11" t="s">
        <v>1532</v>
      </c>
      <c r="J11" s="642">
        <v>3604804</v>
      </c>
      <c r="K11" s="642">
        <f t="shared" si="2"/>
        <v>150200.16666666666</v>
      </c>
      <c r="L11" s="642">
        <v>71746</v>
      </c>
      <c r="M11" s="642">
        <f t="shared" si="3"/>
        <v>2989.4166666666665</v>
      </c>
      <c r="N11" s="642">
        <v>48</v>
      </c>
      <c r="O11" s="642">
        <f t="shared" si="4"/>
        <v>2</v>
      </c>
      <c r="Q11" t="s">
        <v>1533</v>
      </c>
      <c r="R11" s="750">
        <f t="shared" si="5"/>
        <v>0.43539406690137666</v>
      </c>
      <c r="S11" s="750">
        <f t="shared" si="6"/>
        <v>13.608389900657407</v>
      </c>
      <c r="T11" s="750">
        <f t="shared" si="7"/>
        <v>606.91666597919982</v>
      </c>
    </row>
    <row r="12" spans="1:28" ht="15">
      <c r="A12" s="751">
        <f t="shared" si="8"/>
        <v>44753</v>
      </c>
      <c r="B12" s="749">
        <f t="shared" si="0"/>
        <v>7</v>
      </c>
      <c r="C12" s="749">
        <f t="shared" si="1"/>
        <v>11</v>
      </c>
      <c r="D12" t="s">
        <v>1531</v>
      </c>
      <c r="E12" s="413">
        <v>63859.950971762089</v>
      </c>
      <c r="F12" s="413">
        <v>167847.35718644038</v>
      </c>
      <c r="G12" s="413">
        <v>1224.8333317846</v>
      </c>
      <c r="I12" t="s">
        <v>1532</v>
      </c>
      <c r="J12" s="642">
        <v>3604224</v>
      </c>
      <c r="K12" s="642">
        <f t="shared" si="2"/>
        <v>150176</v>
      </c>
      <c r="L12" s="642">
        <v>71746</v>
      </c>
      <c r="M12" s="642">
        <f t="shared" si="3"/>
        <v>2989.4166666666665</v>
      </c>
      <c r="N12" s="642">
        <v>48</v>
      </c>
      <c r="O12" s="642">
        <f t="shared" si="4"/>
        <v>2</v>
      </c>
      <c r="Q12" t="s">
        <v>1533</v>
      </c>
      <c r="R12" s="750">
        <f t="shared" si="5"/>
        <v>0.42523406517527496</v>
      </c>
      <c r="S12" s="750">
        <f t="shared" si="6"/>
        <v>56.147193885018943</v>
      </c>
      <c r="T12" s="750">
        <f t="shared" si="7"/>
        <v>612.41666589229999</v>
      </c>
    </row>
    <row r="13" spans="1:28" ht="15">
      <c r="A13" s="751">
        <f t="shared" si="8"/>
        <v>44754</v>
      </c>
      <c r="B13" s="749">
        <f t="shared" si="0"/>
        <v>7</v>
      </c>
      <c r="C13" s="749">
        <f t="shared" si="1"/>
        <v>12</v>
      </c>
      <c r="D13" t="s">
        <v>1531</v>
      </c>
      <c r="E13" s="413">
        <v>62173.609555784191</v>
      </c>
      <c r="F13" s="413">
        <v>173494.474691565</v>
      </c>
      <c r="G13" s="413">
        <v>1207.8333321322998</v>
      </c>
      <c r="I13" t="s">
        <v>1532</v>
      </c>
      <c r="J13" s="642">
        <v>3603216</v>
      </c>
      <c r="K13" s="642">
        <f t="shared" si="2"/>
        <v>150134</v>
      </c>
      <c r="L13" s="642">
        <v>71847</v>
      </c>
      <c r="M13" s="642">
        <f t="shared" si="3"/>
        <v>2993.625</v>
      </c>
      <c r="N13" s="642">
        <v>48</v>
      </c>
      <c r="O13" s="642">
        <f t="shared" si="4"/>
        <v>2</v>
      </c>
      <c r="Q13" t="s">
        <v>1533</v>
      </c>
      <c r="R13" s="750">
        <f t="shared" si="5"/>
        <v>0.41412078247288547</v>
      </c>
      <c r="S13" s="750">
        <f t="shared" si="6"/>
        <v>57.954645184872852</v>
      </c>
      <c r="T13" s="750">
        <f t="shared" si="7"/>
        <v>603.9166660661499</v>
      </c>
    </row>
    <row r="14" spans="1:28" ht="15">
      <c r="A14" s="751">
        <f t="shared" si="8"/>
        <v>44755</v>
      </c>
      <c r="B14" s="749">
        <f t="shared" si="0"/>
        <v>7</v>
      </c>
      <c r="C14" s="749">
        <f t="shared" si="1"/>
        <v>13</v>
      </c>
      <c r="D14" t="s">
        <v>1531</v>
      </c>
      <c r="E14" s="413">
        <v>60166.89242512091</v>
      </c>
      <c r="F14" s="413">
        <v>78989.101051242338</v>
      </c>
      <c r="G14" s="413">
        <v>1224.8333317845002</v>
      </c>
      <c r="I14" t="s">
        <v>1532</v>
      </c>
      <c r="J14" s="642">
        <v>3596791</v>
      </c>
      <c r="K14" s="642">
        <f t="shared" si="2"/>
        <v>149866.29166666666</v>
      </c>
      <c r="L14" s="642">
        <v>71822</v>
      </c>
      <c r="M14" s="642">
        <f t="shared" si="3"/>
        <v>2992.5833333333335</v>
      </c>
      <c r="N14" s="642">
        <v>48</v>
      </c>
      <c r="O14" s="642">
        <f t="shared" si="4"/>
        <v>2</v>
      </c>
      <c r="Q14" t="s">
        <v>1533</v>
      </c>
      <c r="R14" s="750">
        <f t="shared" si="5"/>
        <v>0.40147048249478545</v>
      </c>
      <c r="S14" s="750">
        <f t="shared" si="6"/>
        <v>26.394954543591322</v>
      </c>
      <c r="T14" s="750">
        <f t="shared" si="7"/>
        <v>612.41666589225008</v>
      </c>
    </row>
    <row r="15" spans="1:28" ht="15">
      <c r="A15" s="751">
        <f t="shared" si="8"/>
        <v>44756</v>
      </c>
      <c r="B15" s="749">
        <f t="shared" si="0"/>
        <v>7</v>
      </c>
      <c r="C15" s="749">
        <f t="shared" si="1"/>
        <v>14</v>
      </c>
      <c r="D15" t="s">
        <v>1531</v>
      </c>
      <c r="E15" s="413">
        <v>95536.804642393996</v>
      </c>
      <c r="F15" s="413">
        <v>79939.704620779288</v>
      </c>
      <c r="G15" s="413">
        <v>1209.8333318722998</v>
      </c>
      <c r="I15" t="s">
        <v>1532</v>
      </c>
      <c r="J15" s="642">
        <v>3598823</v>
      </c>
      <c r="K15" s="642">
        <f t="shared" si="2"/>
        <v>149950.95833333334</v>
      </c>
      <c r="L15" s="642">
        <v>71888</v>
      </c>
      <c r="M15" s="642">
        <f t="shared" si="3"/>
        <v>2995.3333333333335</v>
      </c>
      <c r="N15" s="642">
        <v>48</v>
      </c>
      <c r="O15" s="642">
        <f t="shared" si="4"/>
        <v>2</v>
      </c>
      <c r="Q15" t="s">
        <v>1533</v>
      </c>
      <c r="R15" s="750">
        <f t="shared" si="5"/>
        <v>0.63712033390290546</v>
      </c>
      <c r="S15" s="750">
        <f t="shared" si="6"/>
        <v>26.688083002708417</v>
      </c>
      <c r="T15" s="750">
        <f t="shared" si="7"/>
        <v>604.91666593614991</v>
      </c>
    </row>
    <row r="16" spans="1:28" ht="15">
      <c r="A16" s="751">
        <f t="shared" si="8"/>
        <v>44757</v>
      </c>
      <c r="B16" s="749">
        <f t="shared" si="0"/>
        <v>7</v>
      </c>
      <c r="C16" s="749">
        <f t="shared" si="1"/>
        <v>15</v>
      </c>
      <c r="D16" t="s">
        <v>1531</v>
      </c>
      <c r="E16" s="413">
        <v>72528.211519811812</v>
      </c>
      <c r="F16" s="413">
        <v>57631.707845420293</v>
      </c>
      <c r="G16" s="413">
        <v>1222.8333324792</v>
      </c>
      <c r="I16" t="s">
        <v>1532</v>
      </c>
      <c r="J16" s="642">
        <v>3597871</v>
      </c>
      <c r="K16" s="642">
        <f t="shared" si="2"/>
        <v>149911.29166666666</v>
      </c>
      <c r="L16" s="642">
        <v>71958</v>
      </c>
      <c r="M16" s="642">
        <f t="shared" si="3"/>
        <v>2998.25</v>
      </c>
      <c r="N16" s="642">
        <v>48</v>
      </c>
      <c r="O16" s="642">
        <f t="shared" si="4"/>
        <v>2</v>
      </c>
      <c r="Q16" t="s">
        <v>1533</v>
      </c>
      <c r="R16" s="750">
        <f t="shared" si="5"/>
        <v>0.48380752852881154</v>
      </c>
      <c r="S16" s="750">
        <f t="shared" si="6"/>
        <v>19.221781987966413</v>
      </c>
      <c r="T16" s="750">
        <f t="shared" si="7"/>
        <v>611.41666623959998</v>
      </c>
    </row>
    <row r="17" spans="1:20" ht="15">
      <c r="A17" s="751">
        <f t="shared" si="8"/>
        <v>44758</v>
      </c>
      <c r="B17" s="749">
        <f t="shared" si="0"/>
        <v>7</v>
      </c>
      <c r="C17" s="749">
        <f t="shared" si="1"/>
        <v>16</v>
      </c>
      <c r="D17" t="s">
        <v>1531</v>
      </c>
      <c r="E17" s="413">
        <v>59080.39158241629</v>
      </c>
      <c r="F17" s="413">
        <v>43993.35102829861</v>
      </c>
      <c r="G17" s="413">
        <v>1234.8323319588997</v>
      </c>
      <c r="I17" t="s">
        <v>1532</v>
      </c>
      <c r="J17" s="642">
        <v>3597033</v>
      </c>
      <c r="K17" s="642">
        <f t="shared" si="2"/>
        <v>149876.375</v>
      </c>
      <c r="L17" s="642">
        <v>71910</v>
      </c>
      <c r="M17" s="642">
        <f t="shared" si="3"/>
        <v>2996.25</v>
      </c>
      <c r="N17" s="642">
        <v>48</v>
      </c>
      <c r="O17" s="642">
        <f t="shared" si="4"/>
        <v>2</v>
      </c>
      <c r="Q17" t="s">
        <v>1533</v>
      </c>
      <c r="R17" s="750">
        <f t="shared" si="5"/>
        <v>0.39419415890207038</v>
      </c>
      <c r="S17" s="750">
        <f t="shared" si="6"/>
        <v>14.682803847575673</v>
      </c>
      <c r="T17" s="750">
        <f t="shared" si="7"/>
        <v>617.41616597944983</v>
      </c>
    </row>
    <row r="18" spans="1:20" ht="15">
      <c r="A18" s="751">
        <f t="shared" si="8"/>
        <v>44759</v>
      </c>
      <c r="B18" s="749">
        <f t="shared" si="0"/>
        <v>7</v>
      </c>
      <c r="C18" s="749">
        <f t="shared" si="1"/>
        <v>17</v>
      </c>
      <c r="D18" t="s">
        <v>1531</v>
      </c>
      <c r="E18" s="413">
        <v>60687.902292011277</v>
      </c>
      <c r="F18" s="413">
        <v>39122.596404718897</v>
      </c>
      <c r="G18" s="413">
        <v>1219.8333316119999</v>
      </c>
      <c r="I18" t="s">
        <v>1532</v>
      </c>
      <c r="J18" s="642">
        <v>3599361</v>
      </c>
      <c r="K18" s="642">
        <f t="shared" si="2"/>
        <v>149973.375</v>
      </c>
      <c r="L18" s="642">
        <v>71984</v>
      </c>
      <c r="M18" s="642">
        <f t="shared" si="3"/>
        <v>2999.3333333333335</v>
      </c>
      <c r="N18" s="642">
        <v>48</v>
      </c>
      <c r="O18" s="642">
        <f t="shared" si="4"/>
        <v>2</v>
      </c>
      <c r="Q18" t="s">
        <v>1533</v>
      </c>
      <c r="R18" s="750">
        <f t="shared" si="5"/>
        <v>0.40465784204703853</v>
      </c>
      <c r="S18" s="750">
        <f t="shared" si="6"/>
        <v>13.043764082480182</v>
      </c>
      <c r="T18" s="750">
        <f t="shared" si="7"/>
        <v>609.91666580599997</v>
      </c>
    </row>
    <row r="19" spans="1:20" ht="15">
      <c r="A19" s="751">
        <f t="shared" si="8"/>
        <v>44760</v>
      </c>
      <c r="B19" s="749">
        <f t="shared" si="0"/>
        <v>7</v>
      </c>
      <c r="C19" s="749">
        <f t="shared" si="1"/>
        <v>18</v>
      </c>
      <c r="D19" t="s">
        <v>1531</v>
      </c>
      <c r="E19" s="413">
        <v>75186.742170018682</v>
      </c>
      <c r="F19" s="413">
        <v>66177.608459990312</v>
      </c>
      <c r="G19" s="413">
        <v>1261.8333316116002</v>
      </c>
      <c r="I19" t="s">
        <v>1532</v>
      </c>
      <c r="J19" s="642">
        <v>3599739</v>
      </c>
      <c r="K19" s="642">
        <f t="shared" si="2"/>
        <v>149989.125</v>
      </c>
      <c r="L19" s="642">
        <v>71984</v>
      </c>
      <c r="M19" s="642">
        <f t="shared" si="3"/>
        <v>2999.3333333333335</v>
      </c>
      <c r="N19" s="642">
        <v>48</v>
      </c>
      <c r="O19" s="642">
        <f t="shared" si="4"/>
        <v>2</v>
      </c>
      <c r="Q19" t="s">
        <v>1533</v>
      </c>
      <c r="R19" s="750">
        <f t="shared" si="5"/>
        <v>0.50128129069369987</v>
      </c>
      <c r="S19" s="750">
        <f t="shared" si="6"/>
        <v>22.06410595465336</v>
      </c>
      <c r="T19" s="750">
        <f t="shared" si="7"/>
        <v>630.91666580580011</v>
      </c>
    </row>
    <row r="20" spans="1:20" ht="15">
      <c r="A20" s="751">
        <f t="shared" si="8"/>
        <v>44761</v>
      </c>
      <c r="B20" s="749">
        <f t="shared" si="0"/>
        <v>7</v>
      </c>
      <c r="C20" s="749">
        <f t="shared" si="1"/>
        <v>19</v>
      </c>
      <c r="D20" t="s">
        <v>1531</v>
      </c>
      <c r="E20" s="413">
        <v>63193.252729838605</v>
      </c>
      <c r="F20" s="413">
        <v>155453.87485021431</v>
      </c>
      <c r="G20" s="413">
        <v>1236.8333329133002</v>
      </c>
      <c r="I20" t="s">
        <v>1532</v>
      </c>
      <c r="J20" s="642">
        <v>3598434</v>
      </c>
      <c r="K20" s="642">
        <f t="shared" si="2"/>
        <v>149934.75</v>
      </c>
      <c r="L20" s="642">
        <v>72013</v>
      </c>
      <c r="M20" s="642">
        <f t="shared" si="3"/>
        <v>3000.5416666666665</v>
      </c>
      <c r="N20" s="642">
        <v>48</v>
      </c>
      <c r="O20" s="642">
        <f t="shared" si="4"/>
        <v>2</v>
      </c>
      <c r="Q20" t="s">
        <v>1533</v>
      </c>
      <c r="R20" s="750">
        <f t="shared" si="5"/>
        <v>0.42147169171815474</v>
      </c>
      <c r="S20" s="750">
        <f t="shared" si="6"/>
        <v>51.808603952135641</v>
      </c>
      <c r="T20" s="750">
        <f t="shared" si="7"/>
        <v>618.41666645665009</v>
      </c>
    </row>
    <row r="21" spans="1:20" ht="15">
      <c r="A21" s="751">
        <f t="shared" si="8"/>
        <v>44762</v>
      </c>
      <c r="B21" s="749">
        <f t="shared" si="0"/>
        <v>7</v>
      </c>
      <c r="C21" s="749">
        <f t="shared" si="1"/>
        <v>20</v>
      </c>
      <c r="D21" t="s">
        <v>1531</v>
      </c>
      <c r="E21" s="413">
        <v>217313.99911769171</v>
      </c>
      <c r="F21" s="413">
        <v>119818.40955383558</v>
      </c>
      <c r="G21" s="413">
        <v>1220.8333318717005</v>
      </c>
      <c r="I21" t="s">
        <v>1532</v>
      </c>
      <c r="J21" s="642">
        <v>3600332</v>
      </c>
      <c r="K21" s="642">
        <f t="shared" si="2"/>
        <v>150013.83333333334</v>
      </c>
      <c r="L21" s="642">
        <v>72184</v>
      </c>
      <c r="M21" s="642">
        <f t="shared" si="3"/>
        <v>3007.6666666666665</v>
      </c>
      <c r="N21" s="642">
        <v>48</v>
      </c>
      <c r="O21" s="642">
        <f t="shared" si="4"/>
        <v>2</v>
      </c>
      <c r="Q21" t="s">
        <v>1533</v>
      </c>
      <c r="R21" s="750">
        <f t="shared" si="5"/>
        <v>1.4486263985722985</v>
      </c>
      <c r="S21" s="750">
        <f t="shared" si="6"/>
        <v>39.837662491577831</v>
      </c>
      <c r="T21" s="750">
        <f t="shared" si="7"/>
        <v>610.41666593585023</v>
      </c>
    </row>
    <row r="22" spans="1:20" ht="15">
      <c r="A22" s="751">
        <f t="shared" si="8"/>
        <v>44763</v>
      </c>
      <c r="B22" s="749">
        <f t="shared" si="0"/>
        <v>7</v>
      </c>
      <c r="C22" s="749">
        <f t="shared" si="1"/>
        <v>21</v>
      </c>
      <c r="D22" t="s">
        <v>1531</v>
      </c>
      <c r="E22" s="413">
        <v>59591.329151276615</v>
      </c>
      <c r="F22" s="413">
        <v>164647.01011027271</v>
      </c>
      <c r="G22" s="413">
        <v>1227.8333323053998</v>
      </c>
      <c r="I22" t="s">
        <v>1532</v>
      </c>
      <c r="J22" s="642">
        <v>3599892</v>
      </c>
      <c r="K22" s="642">
        <f t="shared" si="2"/>
        <v>149995.5</v>
      </c>
      <c r="L22" s="642">
        <v>72093</v>
      </c>
      <c r="M22" s="642">
        <f t="shared" si="3"/>
        <v>3003.875</v>
      </c>
      <c r="N22" s="642">
        <v>48</v>
      </c>
      <c r="O22" s="642">
        <f t="shared" si="4"/>
        <v>2</v>
      </c>
      <c r="Q22" t="s">
        <v>1533</v>
      </c>
      <c r="R22" s="750">
        <f t="shared" si="5"/>
        <v>0.39728744629856638</v>
      </c>
      <c r="S22" s="750">
        <f t="shared" si="6"/>
        <v>54.81153846623868</v>
      </c>
      <c r="T22" s="750">
        <f t="shared" si="7"/>
        <v>613.91666615269992</v>
      </c>
    </row>
    <row r="23" spans="1:20" ht="15">
      <c r="A23" s="751">
        <f t="shared" si="8"/>
        <v>44764</v>
      </c>
      <c r="B23" s="749">
        <f t="shared" si="0"/>
        <v>7</v>
      </c>
      <c r="C23" s="749">
        <f t="shared" si="1"/>
        <v>22</v>
      </c>
      <c r="D23" t="s">
        <v>1531</v>
      </c>
      <c r="E23" s="413">
        <v>59824.984067531303</v>
      </c>
      <c r="F23" s="413">
        <v>56686.587422469922</v>
      </c>
      <c r="G23" s="413">
        <v>1209.8333317848999</v>
      </c>
      <c r="I23" t="s">
        <v>1532</v>
      </c>
      <c r="J23" s="642">
        <v>3600813</v>
      </c>
      <c r="K23" s="642">
        <f t="shared" si="2"/>
        <v>150033.875</v>
      </c>
      <c r="L23" s="642">
        <v>72151</v>
      </c>
      <c r="M23" s="642">
        <f t="shared" si="3"/>
        <v>3006.2916666666665</v>
      </c>
      <c r="N23" s="642">
        <v>48</v>
      </c>
      <c r="O23" s="642">
        <f t="shared" si="4"/>
        <v>2</v>
      </c>
      <c r="Q23" t="s">
        <v>1533</v>
      </c>
      <c r="R23" s="750">
        <f t="shared" si="5"/>
        <v>0.39874317761593042</v>
      </c>
      <c r="S23" s="750">
        <f t="shared" si="6"/>
        <v>18.855983952256771</v>
      </c>
      <c r="T23" s="750">
        <f t="shared" si="7"/>
        <v>604.91666589244994</v>
      </c>
    </row>
    <row r="24" spans="1:20" ht="15">
      <c r="A24" s="751">
        <f t="shared" si="8"/>
        <v>44765</v>
      </c>
      <c r="B24" s="749">
        <f t="shared" si="0"/>
        <v>7</v>
      </c>
      <c r="C24" s="749">
        <f t="shared" si="1"/>
        <v>23</v>
      </c>
      <c r="D24" t="s">
        <v>1531</v>
      </c>
      <c r="E24" s="413">
        <v>59224.320955384974</v>
      </c>
      <c r="F24" s="413">
        <v>60506.189217756597</v>
      </c>
      <c r="G24" s="413">
        <v>1217.8333318714997</v>
      </c>
      <c r="I24" t="s">
        <v>1532</v>
      </c>
      <c r="J24" s="642">
        <v>3598226</v>
      </c>
      <c r="K24" s="642">
        <f t="shared" si="2"/>
        <v>149926.08333333334</v>
      </c>
      <c r="L24" s="642">
        <v>72127</v>
      </c>
      <c r="M24" s="642">
        <f t="shared" si="3"/>
        <v>3005.2916666666665</v>
      </c>
      <c r="N24" s="642">
        <v>48</v>
      </c>
      <c r="O24" s="642">
        <f t="shared" si="4"/>
        <v>2</v>
      </c>
      <c r="Q24" t="s">
        <v>1533</v>
      </c>
      <c r="R24" s="750">
        <f t="shared" si="5"/>
        <v>0.39502346515456205</v>
      </c>
      <c r="S24" s="750">
        <f t="shared" si="6"/>
        <v>20.133216981520906</v>
      </c>
      <c r="T24" s="750">
        <f t="shared" si="7"/>
        <v>608.91666593574985</v>
      </c>
    </row>
    <row r="25" spans="1:20" ht="15">
      <c r="A25" s="751">
        <f t="shared" si="8"/>
        <v>44766</v>
      </c>
      <c r="B25" s="749">
        <f t="shared" si="0"/>
        <v>7</v>
      </c>
      <c r="C25" s="749">
        <f t="shared" si="1"/>
        <v>24</v>
      </c>
      <c r="D25" t="s">
        <v>1531</v>
      </c>
      <c r="E25" s="413">
        <v>63016.887833385219</v>
      </c>
      <c r="F25" s="413">
        <v>137780.40938215095</v>
      </c>
      <c r="G25" s="413">
        <v>1199.8333322189999</v>
      </c>
      <c r="I25" t="s">
        <v>1532</v>
      </c>
      <c r="J25" s="642">
        <v>3597798</v>
      </c>
      <c r="K25" s="642">
        <f t="shared" si="2"/>
        <v>149908.25</v>
      </c>
      <c r="L25" s="642">
        <v>72151</v>
      </c>
      <c r="M25" s="642">
        <f t="shared" si="3"/>
        <v>3006.2916666666665</v>
      </c>
      <c r="N25" s="642">
        <v>48</v>
      </c>
      <c r="O25" s="642">
        <f t="shared" si="4"/>
        <v>2</v>
      </c>
      <c r="Q25" t="s">
        <v>1533</v>
      </c>
      <c r="R25" s="750">
        <f t="shared" si="5"/>
        <v>0.42036971169622234</v>
      </c>
      <c r="S25" s="750">
        <f t="shared" si="6"/>
        <v>45.830685994256804</v>
      </c>
      <c r="T25" s="750">
        <f t="shared" si="7"/>
        <v>599.91666610949994</v>
      </c>
    </row>
    <row r="26" spans="1:20" ht="15">
      <c r="A26" s="751">
        <f t="shared" si="8"/>
        <v>44767</v>
      </c>
      <c r="B26" s="749">
        <f t="shared" si="0"/>
        <v>7</v>
      </c>
      <c r="C26" s="749">
        <f t="shared" si="1"/>
        <v>25</v>
      </c>
      <c r="D26" t="s">
        <v>1531</v>
      </c>
      <c r="E26" s="413">
        <v>57687.152884565396</v>
      </c>
      <c r="F26" s="413">
        <v>52767.535557720417</v>
      </c>
      <c r="G26" s="413">
        <v>1216.8333322187</v>
      </c>
      <c r="I26" t="s">
        <v>1532</v>
      </c>
      <c r="J26" s="642">
        <v>3595148</v>
      </c>
      <c r="K26" s="642">
        <f t="shared" si="2"/>
        <v>149797.83333333334</v>
      </c>
      <c r="L26" s="642">
        <v>72006</v>
      </c>
      <c r="M26" s="642">
        <f t="shared" si="3"/>
        <v>3000.25</v>
      </c>
      <c r="N26" s="642">
        <v>48</v>
      </c>
      <c r="O26" s="642">
        <f t="shared" si="4"/>
        <v>2</v>
      </c>
      <c r="Q26" t="s">
        <v>1533</v>
      </c>
      <c r="R26" s="750">
        <f t="shared" si="5"/>
        <v>0.38510004851804974</v>
      </c>
      <c r="S26" s="750">
        <f t="shared" si="6"/>
        <v>17.587712876500429</v>
      </c>
      <c r="T26" s="750">
        <f t="shared" si="7"/>
        <v>608.41666610934999</v>
      </c>
    </row>
    <row r="27" spans="1:20" ht="15">
      <c r="A27" s="751">
        <f t="shared" si="8"/>
        <v>44768</v>
      </c>
      <c r="B27" s="749">
        <f t="shared" si="0"/>
        <v>7</v>
      </c>
      <c r="C27" s="749">
        <f t="shared" si="1"/>
        <v>26</v>
      </c>
      <c r="D27" t="s">
        <v>1531</v>
      </c>
      <c r="E27" s="413">
        <v>56489.127161754121</v>
      </c>
      <c r="F27" s="413">
        <v>66794.111198117796</v>
      </c>
      <c r="G27" s="413">
        <v>1202.8333323060001</v>
      </c>
      <c r="I27" t="s">
        <v>1532</v>
      </c>
      <c r="J27" s="642">
        <v>3594322</v>
      </c>
      <c r="K27" s="642">
        <f t="shared" si="2"/>
        <v>149763.41666666666</v>
      </c>
      <c r="L27" s="642">
        <v>71895</v>
      </c>
      <c r="M27" s="642">
        <f t="shared" si="3"/>
        <v>2995.625</v>
      </c>
      <c r="N27" s="642">
        <v>48</v>
      </c>
      <c r="O27" s="642">
        <f t="shared" si="4"/>
        <v>2</v>
      </c>
      <c r="Q27" t="s">
        <v>1533</v>
      </c>
      <c r="R27" s="750">
        <f t="shared" si="5"/>
        <v>0.37718909209639506</v>
      </c>
      <c r="S27" s="750">
        <f t="shared" si="6"/>
        <v>22.297220512620171</v>
      </c>
      <c r="T27" s="750">
        <f t="shared" si="7"/>
        <v>601.41666615300005</v>
      </c>
    </row>
    <row r="28" spans="1:20" ht="15">
      <c r="A28" s="751">
        <f t="shared" si="8"/>
        <v>44769</v>
      </c>
      <c r="B28" s="749">
        <f t="shared" si="0"/>
        <v>7</v>
      </c>
      <c r="C28" s="749">
        <f t="shared" si="1"/>
        <v>27</v>
      </c>
      <c r="D28" t="s">
        <v>1531</v>
      </c>
      <c r="E28" s="413">
        <v>58380.239933380588</v>
      </c>
      <c r="F28" s="413">
        <v>56644.559524520017</v>
      </c>
      <c r="G28" s="413">
        <v>1217.8333318716998</v>
      </c>
      <c r="I28" t="s">
        <v>1532</v>
      </c>
      <c r="J28" s="642">
        <v>3579304</v>
      </c>
      <c r="K28" s="642">
        <f t="shared" si="2"/>
        <v>149137.66666666666</v>
      </c>
      <c r="L28" s="642">
        <v>71672</v>
      </c>
      <c r="M28" s="642">
        <f t="shared" si="3"/>
        <v>2986.3333333333335</v>
      </c>
      <c r="N28" s="642">
        <v>48</v>
      </c>
      <c r="O28" s="642">
        <f t="shared" si="4"/>
        <v>2</v>
      </c>
      <c r="Q28" t="s">
        <v>1533</v>
      </c>
      <c r="R28" s="750">
        <f t="shared" si="5"/>
        <v>0.39145201368789412</v>
      </c>
      <c r="S28" s="750">
        <f t="shared" si="6"/>
        <v>18.967929297193887</v>
      </c>
      <c r="T28" s="750">
        <f t="shared" si="7"/>
        <v>608.91666593584989</v>
      </c>
    </row>
    <row r="29" spans="1:20" ht="15">
      <c r="A29" s="751">
        <f t="shared" si="8"/>
        <v>44770</v>
      </c>
      <c r="B29" s="749">
        <f t="shared" si="0"/>
        <v>7</v>
      </c>
      <c r="C29" s="749">
        <f t="shared" si="1"/>
        <v>28</v>
      </c>
      <c r="D29" t="s">
        <v>1531</v>
      </c>
      <c r="E29" s="413">
        <v>65803.178047766531</v>
      </c>
      <c r="F29" s="413">
        <v>56174.088156531398</v>
      </c>
      <c r="G29" s="413">
        <v>1201.8333323059001</v>
      </c>
      <c r="I29" t="s">
        <v>1532</v>
      </c>
      <c r="J29" s="642">
        <v>3577100</v>
      </c>
      <c r="K29" s="642">
        <f t="shared" si="2"/>
        <v>149045.83333333334</v>
      </c>
      <c r="L29" s="642">
        <v>71512</v>
      </c>
      <c r="M29" s="642">
        <f t="shared" si="3"/>
        <v>2979.6666666666665</v>
      </c>
      <c r="N29" s="642">
        <v>48</v>
      </c>
      <c r="O29" s="642">
        <f t="shared" si="4"/>
        <v>2</v>
      </c>
      <c r="Q29" t="s">
        <v>1533</v>
      </c>
      <c r="R29" s="750">
        <f t="shared" si="5"/>
        <v>0.44149626041944495</v>
      </c>
      <c r="S29" s="750">
        <f t="shared" si="6"/>
        <v>18.852473931043093</v>
      </c>
      <c r="T29" s="750">
        <f t="shared" si="7"/>
        <v>600.91666615295003</v>
      </c>
    </row>
    <row r="30" spans="1:20" ht="15">
      <c r="A30" s="751">
        <f t="shared" si="8"/>
        <v>44771</v>
      </c>
      <c r="B30" s="749">
        <f t="shared" si="0"/>
        <v>7</v>
      </c>
      <c r="C30" s="749">
        <f t="shared" si="1"/>
        <v>29</v>
      </c>
      <c r="D30" t="s">
        <v>1531</v>
      </c>
      <c r="E30" s="413">
        <v>59279.58508958701</v>
      </c>
      <c r="F30" s="413">
        <v>51532.269906122703</v>
      </c>
      <c r="G30" s="413">
        <v>1205.8333319588999</v>
      </c>
      <c r="I30" t="s">
        <v>1532</v>
      </c>
      <c r="J30" s="642">
        <v>3563381</v>
      </c>
      <c r="K30" s="642">
        <f t="shared" si="2"/>
        <v>148474.20833333334</v>
      </c>
      <c r="L30" s="642">
        <v>71206</v>
      </c>
      <c r="M30" s="642">
        <f t="shared" si="3"/>
        <v>2966.9166666666665</v>
      </c>
      <c r="N30" s="642">
        <v>48</v>
      </c>
      <c r="O30" s="642">
        <f t="shared" si="4"/>
        <v>2</v>
      </c>
      <c r="Q30" t="s">
        <v>1533</v>
      </c>
      <c r="R30" s="750">
        <f t="shared" si="5"/>
        <v>0.39925846889515554</v>
      </c>
      <c r="S30" s="750">
        <f t="shared" si="6"/>
        <v>17.36896438146989</v>
      </c>
      <c r="T30" s="750">
        <f t="shared" si="7"/>
        <v>602.91666597944993</v>
      </c>
    </row>
    <row r="31" spans="1:20" ht="15">
      <c r="A31" s="751">
        <f t="shared" si="8"/>
        <v>44772</v>
      </c>
      <c r="B31" s="749">
        <f t="shared" si="0"/>
        <v>7</v>
      </c>
      <c r="C31" s="749">
        <f t="shared" si="1"/>
        <v>30</v>
      </c>
      <c r="D31" t="s">
        <v>1531</v>
      </c>
      <c r="E31" s="413">
        <v>65163.72072078348</v>
      </c>
      <c r="F31" s="413">
        <v>58299.221346779887</v>
      </c>
      <c r="G31" s="413">
        <v>1241.5806442027999</v>
      </c>
      <c r="I31" t="s">
        <v>1532</v>
      </c>
      <c r="J31" s="642">
        <v>3555030</v>
      </c>
      <c r="K31" s="642">
        <f t="shared" si="2"/>
        <v>148126.25</v>
      </c>
      <c r="L31" s="642">
        <v>71119</v>
      </c>
      <c r="M31" s="642">
        <f t="shared" si="3"/>
        <v>2963.2916666666665</v>
      </c>
      <c r="N31" s="642">
        <v>48</v>
      </c>
      <c r="O31" s="642">
        <f t="shared" si="4"/>
        <v>2</v>
      </c>
      <c r="Q31" t="s">
        <v>1533</v>
      </c>
      <c r="R31" s="750">
        <f t="shared" si="5"/>
        <v>0.43992014056106515</v>
      </c>
      <c r="S31" s="750">
        <f t="shared" si="6"/>
        <v>19.673804641835758</v>
      </c>
      <c r="T31" s="750">
        <f t="shared" si="7"/>
        <v>620.79032210139997</v>
      </c>
    </row>
    <row r="32" spans="1:20" ht="15">
      <c r="A32" s="751">
        <f t="shared" si="8"/>
        <v>44773</v>
      </c>
      <c r="B32" s="749">
        <f t="shared" si="0"/>
        <v>7</v>
      </c>
      <c r="C32" s="749">
        <f t="shared" si="1"/>
        <v>31</v>
      </c>
      <c r="D32" t="s">
        <v>1531</v>
      </c>
      <c r="E32" s="413">
        <v>66851.174436785208</v>
      </c>
      <c r="F32" s="413">
        <v>160606.99439938361</v>
      </c>
      <c r="G32" s="413">
        <v>1225.5806442914002</v>
      </c>
      <c r="I32" t="s">
        <v>1532</v>
      </c>
      <c r="J32" s="642">
        <v>3561376</v>
      </c>
      <c r="K32" s="642">
        <f t="shared" si="2"/>
        <v>148390.66666666666</v>
      </c>
      <c r="L32" s="642">
        <v>71280</v>
      </c>
      <c r="M32" s="642">
        <f t="shared" si="3"/>
        <v>2970</v>
      </c>
      <c r="N32" s="642">
        <v>48</v>
      </c>
      <c r="O32" s="642">
        <f t="shared" si="4"/>
        <v>2</v>
      </c>
      <c r="Q32" t="s">
        <v>1533</v>
      </c>
      <c r="R32" s="750">
        <f t="shared" si="5"/>
        <v>0.45050794594079513</v>
      </c>
      <c r="S32" s="750">
        <f t="shared" si="6"/>
        <v>54.076429090701552</v>
      </c>
      <c r="T32" s="750">
        <f t="shared" si="7"/>
        <v>612.79032214570009</v>
      </c>
    </row>
    <row r="33" spans="1:20" ht="15">
      <c r="A33" s="751">
        <f t="shared" si="8"/>
        <v>44774</v>
      </c>
      <c r="B33" s="749">
        <f t="shared" si="0"/>
        <v>8</v>
      </c>
      <c r="C33" s="749">
        <f t="shared" si="1"/>
        <v>1</v>
      </c>
      <c r="D33" t="s">
        <v>1531</v>
      </c>
      <c r="E33" s="413">
        <v>72842.992105416299</v>
      </c>
      <c r="F33" s="413">
        <v>63609.792949583505</v>
      </c>
      <c r="G33" s="413">
        <v>1241.5806439371001</v>
      </c>
      <c r="I33" t="s">
        <v>1532</v>
      </c>
      <c r="J33" s="642">
        <v>3561465</v>
      </c>
      <c r="K33" s="642">
        <f t="shared" si="2"/>
        <v>148394.375</v>
      </c>
      <c r="L33" s="642">
        <v>71096</v>
      </c>
      <c r="M33" s="642">
        <f t="shared" si="3"/>
        <v>2962.3333333333335</v>
      </c>
      <c r="N33" s="642">
        <v>48</v>
      </c>
      <c r="O33" s="642">
        <f t="shared" si="4"/>
        <v>2</v>
      </c>
      <c r="Q33" t="s">
        <v>1533</v>
      </c>
      <c r="R33" s="750">
        <f t="shared" si="5"/>
        <v>0.49087434820501991</v>
      </c>
      <c r="S33" s="750">
        <f t="shared" si="6"/>
        <v>21.472868104956735</v>
      </c>
      <c r="T33" s="750">
        <f t="shared" si="7"/>
        <v>620.79032196855007</v>
      </c>
    </row>
    <row r="34" spans="1:20" ht="15">
      <c r="A34" s="751">
        <f t="shared" si="8"/>
        <v>44775</v>
      </c>
      <c r="B34" s="749">
        <f t="shared" si="0"/>
        <v>8</v>
      </c>
      <c r="C34" s="749">
        <f t="shared" si="1"/>
        <v>2</v>
      </c>
      <c r="D34" t="s">
        <v>1531</v>
      </c>
      <c r="E34" s="413">
        <v>71555.720160419864</v>
      </c>
      <c r="F34" s="413">
        <v>68790.511892722978</v>
      </c>
      <c r="G34" s="413">
        <v>1243.5806440262004</v>
      </c>
      <c r="I34" t="s">
        <v>1532</v>
      </c>
      <c r="J34" s="642">
        <v>3562774</v>
      </c>
      <c r="K34" s="642">
        <f t="shared" si="2"/>
        <v>148448.91666666666</v>
      </c>
      <c r="L34" s="642">
        <v>71112</v>
      </c>
      <c r="M34" s="642">
        <f t="shared" si="3"/>
        <v>2963</v>
      </c>
      <c r="N34" s="642">
        <v>48</v>
      </c>
      <c r="O34" s="642">
        <f t="shared" si="4"/>
        <v>2</v>
      </c>
      <c r="Q34" t="s">
        <v>1533</v>
      </c>
      <c r="R34" s="750">
        <f t="shared" si="5"/>
        <v>0.48202251499816628</v>
      </c>
      <c r="S34" s="750">
        <f t="shared" si="6"/>
        <v>23.216507557449535</v>
      </c>
      <c r="T34" s="750">
        <f t="shared" si="7"/>
        <v>621.79032201310019</v>
      </c>
    </row>
    <row r="35" spans="1:20" ht="15">
      <c r="A35" s="751">
        <f t="shared" si="8"/>
        <v>44776</v>
      </c>
      <c r="B35" s="749">
        <f t="shared" si="0"/>
        <v>8</v>
      </c>
      <c r="C35" s="749">
        <f t="shared" si="1"/>
        <v>3</v>
      </c>
      <c r="D35" t="s">
        <v>1531</v>
      </c>
      <c r="E35" s="413">
        <v>69651.683371787411</v>
      </c>
      <c r="F35" s="413">
        <v>84130.590313542038</v>
      </c>
      <c r="G35" s="413">
        <v>1251.5806437603003</v>
      </c>
      <c r="I35" t="s">
        <v>1532</v>
      </c>
      <c r="J35" s="642">
        <v>3555953</v>
      </c>
      <c r="K35" s="642">
        <f t="shared" si="2"/>
        <v>148164.70833333334</v>
      </c>
      <c r="L35" s="642">
        <v>71059</v>
      </c>
      <c r="M35" s="642">
        <f t="shared" si="3"/>
        <v>2960.7916666666665</v>
      </c>
      <c r="N35" s="642">
        <v>48</v>
      </c>
      <c r="O35" s="642">
        <f t="shared" si="4"/>
        <v>2</v>
      </c>
      <c r="Q35" t="s">
        <v>1533</v>
      </c>
      <c r="R35" s="750">
        <f t="shared" si="5"/>
        <v>0.4700963148058756</v>
      </c>
      <c r="S35" s="750">
        <f t="shared" si="6"/>
        <v>28.414897022544771</v>
      </c>
      <c r="T35" s="750">
        <f t="shared" si="7"/>
        <v>625.79032188015015</v>
      </c>
    </row>
    <row r="36" spans="1:20" ht="15">
      <c r="A36" s="751">
        <f t="shared" si="8"/>
        <v>44777</v>
      </c>
      <c r="B36" s="749">
        <f t="shared" si="0"/>
        <v>8</v>
      </c>
      <c r="C36" s="749">
        <f t="shared" si="1"/>
        <v>4</v>
      </c>
      <c r="D36" t="s">
        <v>1531</v>
      </c>
      <c r="E36" s="413">
        <v>92849.401722428913</v>
      </c>
      <c r="F36" s="413">
        <v>185316.67121963965</v>
      </c>
      <c r="G36" s="413">
        <v>1258.5806441145</v>
      </c>
      <c r="I36" t="s">
        <v>1532</v>
      </c>
      <c r="J36" s="642">
        <v>3561494</v>
      </c>
      <c r="K36" s="642">
        <f t="shared" si="2"/>
        <v>148395.58333333334</v>
      </c>
      <c r="L36" s="642">
        <v>71065</v>
      </c>
      <c r="M36" s="642">
        <f t="shared" si="3"/>
        <v>2961.0416666666665</v>
      </c>
      <c r="N36" s="642">
        <v>48</v>
      </c>
      <c r="O36" s="642">
        <f t="shared" si="4"/>
        <v>2</v>
      </c>
      <c r="Q36" t="s">
        <v>1533</v>
      </c>
      <c r="R36" s="750">
        <f t="shared" si="5"/>
        <v>0.62568844460731754</v>
      </c>
      <c r="S36" s="750">
        <f t="shared" si="6"/>
        <v>62.584958970961118</v>
      </c>
      <c r="T36" s="750">
        <f t="shared" si="7"/>
        <v>629.29032205725002</v>
      </c>
    </row>
    <row r="37" spans="1:20" ht="15">
      <c r="A37" s="751">
        <f t="shared" si="8"/>
        <v>44778</v>
      </c>
      <c r="B37" s="749">
        <f t="shared" si="0"/>
        <v>8</v>
      </c>
      <c r="C37" s="749">
        <f t="shared" si="1"/>
        <v>5</v>
      </c>
      <c r="D37" t="s">
        <v>1531</v>
      </c>
      <c r="E37" s="413">
        <v>77452.786498628178</v>
      </c>
      <c r="F37" s="413">
        <v>76423.896950391325</v>
      </c>
      <c r="G37" s="413">
        <v>1263.5806438486002</v>
      </c>
      <c r="I37" t="s">
        <v>1532</v>
      </c>
      <c r="J37" s="642">
        <v>3564823</v>
      </c>
      <c r="K37" s="642">
        <f t="shared" si="2"/>
        <v>148534.29166666666</v>
      </c>
      <c r="L37" s="642">
        <v>71381</v>
      </c>
      <c r="M37" s="642">
        <f t="shared" si="3"/>
        <v>2974.2083333333335</v>
      </c>
      <c r="N37" s="642">
        <v>48</v>
      </c>
      <c r="O37" s="642">
        <f t="shared" si="4"/>
        <v>2</v>
      </c>
      <c r="Q37" t="s">
        <v>1533</v>
      </c>
      <c r="R37" s="750">
        <f t="shared" si="5"/>
        <v>0.52144717310426814</v>
      </c>
      <c r="S37" s="750">
        <f t="shared" si="6"/>
        <v>25.695542606707551</v>
      </c>
      <c r="T37" s="750">
        <f t="shared" si="7"/>
        <v>631.79032192430009</v>
      </c>
    </row>
    <row r="38" spans="1:20" ht="15">
      <c r="A38" s="751">
        <f t="shared" si="8"/>
        <v>44779</v>
      </c>
      <c r="B38" s="749">
        <f t="shared" si="0"/>
        <v>8</v>
      </c>
      <c r="C38" s="749">
        <f t="shared" si="1"/>
        <v>6</v>
      </c>
      <c r="D38" t="s">
        <v>1531</v>
      </c>
      <c r="E38" s="413">
        <v>66395.296305183714</v>
      </c>
      <c r="F38" s="413">
        <v>73782.540632894496</v>
      </c>
      <c r="G38" s="413">
        <v>1242.5806437601</v>
      </c>
      <c r="I38" t="s">
        <v>1532</v>
      </c>
      <c r="J38" s="642">
        <v>3556510</v>
      </c>
      <c r="K38" s="642">
        <f t="shared" si="2"/>
        <v>148187.91666666666</v>
      </c>
      <c r="L38" s="642">
        <v>71387</v>
      </c>
      <c r="M38" s="642">
        <f t="shared" si="3"/>
        <v>2974.4583333333335</v>
      </c>
      <c r="N38" s="642">
        <v>48</v>
      </c>
      <c r="O38" s="642">
        <f t="shared" si="4"/>
        <v>2</v>
      </c>
      <c r="Q38" t="s">
        <v>1533</v>
      </c>
      <c r="R38" s="750">
        <f t="shared" si="5"/>
        <v>0.44804797718111555</v>
      </c>
      <c r="S38" s="750">
        <f t="shared" si="6"/>
        <v>24.805370378212668</v>
      </c>
      <c r="T38" s="750">
        <f t="shared" si="7"/>
        <v>621.29032188004999</v>
      </c>
    </row>
    <row r="39" spans="1:20" ht="15">
      <c r="A39" s="751">
        <f t="shared" si="8"/>
        <v>44780</v>
      </c>
      <c r="B39" s="749">
        <f t="shared" si="0"/>
        <v>8</v>
      </c>
      <c r="C39" s="749">
        <f t="shared" si="1"/>
        <v>7</v>
      </c>
      <c r="D39" t="s">
        <v>1531</v>
      </c>
      <c r="E39" s="413">
        <v>65387.4487684571</v>
      </c>
      <c r="F39" s="413">
        <v>159328.31289568669</v>
      </c>
      <c r="G39" s="413">
        <v>1249.5806439368998</v>
      </c>
      <c r="I39" t="s">
        <v>1532</v>
      </c>
      <c r="J39" s="642">
        <v>3562002</v>
      </c>
      <c r="K39" s="642">
        <f t="shared" si="2"/>
        <v>148416.75</v>
      </c>
      <c r="L39" s="642">
        <v>71415</v>
      </c>
      <c r="M39" s="642">
        <f t="shared" si="3"/>
        <v>2975.625</v>
      </c>
      <c r="N39" s="642">
        <v>48</v>
      </c>
      <c r="O39" s="642">
        <f t="shared" si="4"/>
        <v>2</v>
      </c>
      <c r="Q39" t="s">
        <v>1533</v>
      </c>
      <c r="R39" s="750">
        <f t="shared" si="5"/>
        <v>0.44056650457887736</v>
      </c>
      <c r="S39" s="750">
        <f t="shared" si="6"/>
        <v>53.544486585401955</v>
      </c>
      <c r="T39" s="750">
        <f t="shared" si="7"/>
        <v>624.79032196844992</v>
      </c>
    </row>
    <row r="40" spans="1:20" ht="15">
      <c r="A40" s="751">
        <f t="shared" si="8"/>
        <v>44781</v>
      </c>
      <c r="B40" s="749">
        <f t="shared" si="0"/>
        <v>8</v>
      </c>
      <c r="C40" s="749">
        <f t="shared" si="1"/>
        <v>8</v>
      </c>
      <c r="D40" t="s">
        <v>1531</v>
      </c>
      <c r="E40" s="413">
        <v>61941.457033186402</v>
      </c>
      <c r="F40" s="413">
        <v>58658.777650865901</v>
      </c>
      <c r="G40" s="413">
        <v>1226.5806442917999</v>
      </c>
      <c r="I40" t="s">
        <v>1532</v>
      </c>
      <c r="J40" s="642">
        <v>3569372</v>
      </c>
      <c r="K40" s="642">
        <f t="shared" si="2"/>
        <v>148723.83333333334</v>
      </c>
      <c r="L40" s="642">
        <v>71592</v>
      </c>
      <c r="M40" s="642">
        <f t="shared" si="3"/>
        <v>2983</v>
      </c>
      <c r="N40" s="642">
        <v>48</v>
      </c>
      <c r="O40" s="642">
        <f t="shared" si="4"/>
        <v>2</v>
      </c>
      <c r="Q40" t="s">
        <v>1533</v>
      </c>
      <c r="R40" s="750">
        <f t="shared" si="5"/>
        <v>0.41648642080356812</v>
      </c>
      <c r="S40" s="750">
        <f t="shared" si="6"/>
        <v>19.664357241322797</v>
      </c>
      <c r="T40" s="750">
        <f t="shared" si="7"/>
        <v>613.29032214589995</v>
      </c>
    </row>
    <row r="41" spans="1:20" ht="15">
      <c r="A41" s="751">
        <f t="shared" si="8"/>
        <v>44782</v>
      </c>
      <c r="B41" s="749">
        <f t="shared" si="0"/>
        <v>8</v>
      </c>
      <c r="C41" s="749">
        <f t="shared" si="1"/>
        <v>9</v>
      </c>
      <c r="D41" t="s">
        <v>1531</v>
      </c>
      <c r="E41" s="413">
        <v>60675.452688833073</v>
      </c>
      <c r="F41" s="413">
        <v>58065.594032217166</v>
      </c>
      <c r="G41" s="413">
        <v>1234.5806442915002</v>
      </c>
      <c r="I41" t="s">
        <v>1532</v>
      </c>
      <c r="J41" s="642">
        <v>3572310</v>
      </c>
      <c r="K41" s="642">
        <f t="shared" si="2"/>
        <v>148846.25</v>
      </c>
      <c r="L41" s="642">
        <v>71511</v>
      </c>
      <c r="M41" s="642">
        <f t="shared" si="3"/>
        <v>2979.625</v>
      </c>
      <c r="N41" s="642">
        <v>48</v>
      </c>
      <c r="O41" s="642">
        <f t="shared" si="4"/>
        <v>2</v>
      </c>
      <c r="Q41" t="s">
        <v>1533</v>
      </c>
      <c r="R41" s="750">
        <f t="shared" si="5"/>
        <v>0.40763843690273066</v>
      </c>
      <c r="S41" s="750">
        <f t="shared" si="6"/>
        <v>19.487550961015955</v>
      </c>
      <c r="T41" s="750">
        <f t="shared" si="7"/>
        <v>617.29032214575011</v>
      </c>
    </row>
    <row r="42" spans="1:20" ht="15">
      <c r="A42" s="751">
        <f t="shared" si="8"/>
        <v>44783</v>
      </c>
      <c r="B42" s="749">
        <f t="shared" si="0"/>
        <v>8</v>
      </c>
      <c r="C42" s="749">
        <f t="shared" si="1"/>
        <v>10</v>
      </c>
      <c r="D42" t="s">
        <v>1531</v>
      </c>
      <c r="E42" s="413">
        <v>56948.671259672301</v>
      </c>
      <c r="F42" s="413">
        <v>56246.977000861007</v>
      </c>
      <c r="G42" s="413">
        <v>1232.5806435826998</v>
      </c>
      <c r="I42" t="s">
        <v>1532</v>
      </c>
      <c r="J42" s="642">
        <v>3462635</v>
      </c>
      <c r="K42" s="642">
        <f t="shared" si="2"/>
        <v>144276.45833333334</v>
      </c>
      <c r="L42" s="642">
        <v>69999</v>
      </c>
      <c r="M42" s="642">
        <f t="shared" si="3"/>
        <v>2916.625</v>
      </c>
      <c r="N42" s="642">
        <v>48</v>
      </c>
      <c r="O42" s="642">
        <f t="shared" si="4"/>
        <v>2</v>
      </c>
      <c r="Q42" t="s">
        <v>1533</v>
      </c>
      <c r="R42" s="750">
        <f t="shared" si="5"/>
        <v>0.3947190824999271</v>
      </c>
      <c r="S42" s="750">
        <f t="shared" si="6"/>
        <v>19.28495332819989</v>
      </c>
      <c r="T42" s="750">
        <f t="shared" si="7"/>
        <v>616.29032179134992</v>
      </c>
    </row>
    <row r="43" spans="1:20" ht="15">
      <c r="A43" s="751">
        <f t="shared" si="8"/>
        <v>44784</v>
      </c>
      <c r="B43" s="749">
        <f t="shared" si="0"/>
        <v>8</v>
      </c>
      <c r="C43" s="749">
        <f t="shared" si="1"/>
        <v>11</v>
      </c>
      <c r="D43" t="s">
        <v>1531</v>
      </c>
      <c r="E43" s="413">
        <v>55186.132693205822</v>
      </c>
      <c r="F43" s="413">
        <v>54697.074741864206</v>
      </c>
      <c r="G43" s="413">
        <v>1216.5806438489999</v>
      </c>
      <c r="I43" t="s">
        <v>1532</v>
      </c>
      <c r="J43" s="642">
        <v>3406831</v>
      </c>
      <c r="K43" s="642">
        <f t="shared" si="2"/>
        <v>141951.29166666666</v>
      </c>
      <c r="L43" s="642">
        <v>69502</v>
      </c>
      <c r="M43" s="642">
        <f t="shared" si="3"/>
        <v>2895.9166666666665</v>
      </c>
      <c r="N43" s="642">
        <v>48</v>
      </c>
      <c r="O43" s="642">
        <f t="shared" si="4"/>
        <v>2</v>
      </c>
      <c r="Q43" t="s">
        <v>1533</v>
      </c>
      <c r="R43" s="750">
        <f t="shared" si="5"/>
        <v>0.38876809111955946</v>
      </c>
      <c r="S43" s="750">
        <f t="shared" si="6"/>
        <v>18.887654942372034</v>
      </c>
      <c r="T43" s="750">
        <f t="shared" si="7"/>
        <v>608.29032192449995</v>
      </c>
    </row>
    <row r="44" spans="1:20" ht="15">
      <c r="A44" s="751">
        <f t="shared" si="8"/>
        <v>44785</v>
      </c>
      <c r="B44" s="749">
        <f t="shared" si="0"/>
        <v>8</v>
      </c>
      <c r="C44" s="749">
        <f t="shared" si="1"/>
        <v>12</v>
      </c>
      <c r="D44" t="s">
        <v>1531</v>
      </c>
      <c r="E44" s="413">
        <v>63535.889236834315</v>
      </c>
      <c r="F44" s="413">
        <v>49058.655265194429</v>
      </c>
      <c r="G44" s="413">
        <v>1234.5806441144002</v>
      </c>
      <c r="I44" t="s">
        <v>1532</v>
      </c>
      <c r="J44" s="642">
        <v>3368835</v>
      </c>
      <c r="K44" s="642">
        <f t="shared" si="2"/>
        <v>140368.125</v>
      </c>
      <c r="L44" s="642">
        <v>69113</v>
      </c>
      <c r="M44" s="642">
        <f t="shared" si="3"/>
        <v>2879.7083333333335</v>
      </c>
      <c r="N44" s="642">
        <v>48</v>
      </c>
      <c r="O44" s="642">
        <f t="shared" si="4"/>
        <v>2</v>
      </c>
      <c r="Q44" t="s">
        <v>1533</v>
      </c>
      <c r="R44" s="750">
        <f t="shared" si="5"/>
        <v>0.45263758589661518</v>
      </c>
      <c r="S44" s="750">
        <f t="shared" si="6"/>
        <v>17.035980587800648</v>
      </c>
      <c r="T44" s="750">
        <f t="shared" si="7"/>
        <v>617.29032205720011</v>
      </c>
    </row>
    <row r="45" spans="1:20" ht="15">
      <c r="A45" s="751">
        <f t="shared" si="8"/>
        <v>44786</v>
      </c>
      <c r="B45" s="749">
        <f t="shared" si="0"/>
        <v>8</v>
      </c>
      <c r="C45" s="749">
        <f t="shared" si="1"/>
        <v>13</v>
      </c>
      <c r="D45" t="s">
        <v>1531</v>
      </c>
      <c r="E45" s="413">
        <v>55927.662669186917</v>
      </c>
      <c r="F45" s="413">
        <v>41390.712594249417</v>
      </c>
      <c r="G45" s="413">
        <v>1230.5836442028003</v>
      </c>
      <c r="I45" t="s">
        <v>1532</v>
      </c>
      <c r="J45" s="642">
        <v>3334492</v>
      </c>
      <c r="K45" s="642">
        <f t="shared" si="2"/>
        <v>138937.16666666666</v>
      </c>
      <c r="L45" s="642">
        <v>68911</v>
      </c>
      <c r="M45" s="642">
        <f t="shared" si="3"/>
        <v>2871.2916666666665</v>
      </c>
      <c r="N45" s="642">
        <v>48</v>
      </c>
      <c r="O45" s="642">
        <f t="shared" si="4"/>
        <v>2</v>
      </c>
      <c r="Q45" t="s">
        <v>1533</v>
      </c>
      <c r="R45" s="750">
        <f t="shared" si="5"/>
        <v>0.40253924857534107</v>
      </c>
      <c r="S45" s="750">
        <f t="shared" si="6"/>
        <v>14.415363327509194</v>
      </c>
      <c r="T45" s="750">
        <f t="shared" si="7"/>
        <v>615.29182210140016</v>
      </c>
    </row>
    <row r="46" spans="1:20" ht="15">
      <c r="A46" s="751">
        <f t="shared" si="8"/>
        <v>44787</v>
      </c>
      <c r="B46" s="749">
        <f t="shared" si="0"/>
        <v>8</v>
      </c>
      <c r="C46" s="749">
        <f t="shared" si="1"/>
        <v>14</v>
      </c>
      <c r="D46" t="s">
        <v>1531</v>
      </c>
      <c r="E46" s="413">
        <v>58099.917607642805</v>
      </c>
      <c r="F46" s="413">
        <v>134028.8932402436</v>
      </c>
      <c r="G46" s="413">
        <v>1254.5806449116001</v>
      </c>
      <c r="I46" t="s">
        <v>1532</v>
      </c>
      <c r="J46" s="642">
        <v>3342775</v>
      </c>
      <c r="K46" s="642">
        <f t="shared" si="2"/>
        <v>139282.29166666666</v>
      </c>
      <c r="L46" s="642">
        <v>69338</v>
      </c>
      <c r="M46" s="642">
        <f t="shared" si="3"/>
        <v>2889.0833333333335</v>
      </c>
      <c r="N46" s="642">
        <v>48</v>
      </c>
      <c r="O46" s="642">
        <f t="shared" si="4"/>
        <v>2</v>
      </c>
      <c r="Q46" t="s">
        <v>1533</v>
      </c>
      <c r="R46" s="750">
        <f t="shared" si="5"/>
        <v>0.41713786377588302</v>
      </c>
      <c r="S46" s="750">
        <f t="shared" si="6"/>
        <v>46.391494386423695</v>
      </c>
      <c r="T46" s="750">
        <f t="shared" si="7"/>
        <v>627.29032245580004</v>
      </c>
    </row>
    <row r="47" spans="1:20" ht="15">
      <c r="A47" s="751">
        <f t="shared" si="8"/>
        <v>44788</v>
      </c>
      <c r="B47" s="749">
        <f t="shared" si="0"/>
        <v>8</v>
      </c>
      <c r="C47" s="749">
        <f t="shared" si="1"/>
        <v>15</v>
      </c>
      <c r="D47" t="s">
        <v>1531</v>
      </c>
      <c r="E47" s="413">
        <v>63907.263214825485</v>
      </c>
      <c r="F47" s="413">
        <v>51673.080018401502</v>
      </c>
      <c r="G47" s="413">
        <v>1268.5806438488999</v>
      </c>
      <c r="I47" t="s">
        <v>1532</v>
      </c>
      <c r="J47" s="642">
        <v>3354073</v>
      </c>
      <c r="K47" s="642">
        <f t="shared" si="2"/>
        <v>139753.04166666666</v>
      </c>
      <c r="L47" s="642">
        <v>69454</v>
      </c>
      <c r="M47" s="642">
        <f t="shared" si="3"/>
        <v>2893.9166666666665</v>
      </c>
      <c r="N47" s="642">
        <v>48</v>
      </c>
      <c r="O47" s="642">
        <f t="shared" si="4"/>
        <v>2</v>
      </c>
      <c r="Q47" t="s">
        <v>1533</v>
      </c>
      <c r="R47" s="750">
        <f t="shared" si="5"/>
        <v>0.45728710053591909</v>
      </c>
      <c r="S47" s="750">
        <f t="shared" si="6"/>
        <v>17.855759501852106</v>
      </c>
      <c r="T47" s="750">
        <f t="shared" si="7"/>
        <v>634.29032192444993</v>
      </c>
    </row>
    <row r="48" spans="1:20" ht="15">
      <c r="A48" s="751">
        <f t="shared" si="8"/>
        <v>44789</v>
      </c>
      <c r="B48" s="749">
        <f t="shared" si="0"/>
        <v>8</v>
      </c>
      <c r="C48" s="749">
        <f t="shared" si="1"/>
        <v>16</v>
      </c>
      <c r="D48" t="s">
        <v>1531</v>
      </c>
      <c r="E48" s="413">
        <v>58099.990427179582</v>
      </c>
      <c r="F48" s="413">
        <v>50921.097683418287</v>
      </c>
      <c r="G48" s="413">
        <v>1228.5806442916</v>
      </c>
      <c r="I48" t="s">
        <v>1532</v>
      </c>
      <c r="J48" s="642">
        <v>3368570</v>
      </c>
      <c r="K48" s="642">
        <f t="shared" si="2"/>
        <v>140357.08333333334</v>
      </c>
      <c r="L48" s="642">
        <v>69407</v>
      </c>
      <c r="M48" s="642">
        <f t="shared" si="3"/>
        <v>2891.9583333333335</v>
      </c>
      <c r="N48" s="642">
        <v>48</v>
      </c>
      <c r="O48" s="642">
        <f t="shared" si="4"/>
        <v>2</v>
      </c>
      <c r="Q48" t="s">
        <v>1533</v>
      </c>
      <c r="R48" s="750">
        <f t="shared" si="5"/>
        <v>0.4139441277017577</v>
      </c>
      <c r="S48" s="750">
        <f t="shared" si="6"/>
        <v>17.607825498898364</v>
      </c>
      <c r="T48" s="750">
        <f t="shared" si="7"/>
        <v>614.29032214580002</v>
      </c>
    </row>
    <row r="49" spans="1:20" ht="15">
      <c r="A49" s="751">
        <f t="shared" si="8"/>
        <v>44790</v>
      </c>
      <c r="B49" s="749">
        <f t="shared" si="0"/>
        <v>8</v>
      </c>
      <c r="C49" s="749">
        <f t="shared" si="1"/>
        <v>17</v>
      </c>
      <c r="D49" t="s">
        <v>1531</v>
      </c>
      <c r="E49" s="413">
        <v>80896.892747810984</v>
      </c>
      <c r="F49" s="413">
        <v>159568.50625563558</v>
      </c>
      <c r="G49" s="413">
        <v>1236.5806434947001</v>
      </c>
      <c r="I49" t="s">
        <v>1532</v>
      </c>
      <c r="J49" s="642">
        <v>3414744</v>
      </c>
      <c r="K49" s="642">
        <f t="shared" si="2"/>
        <v>142281</v>
      </c>
      <c r="L49" s="642">
        <v>70055</v>
      </c>
      <c r="M49" s="642">
        <f t="shared" si="3"/>
        <v>2918.9583333333335</v>
      </c>
      <c r="N49" s="642">
        <v>48</v>
      </c>
      <c r="O49" s="642">
        <f t="shared" si="4"/>
        <v>2</v>
      </c>
      <c r="Q49" t="s">
        <v>1533</v>
      </c>
      <c r="R49" s="750">
        <f t="shared" si="5"/>
        <v>0.56857129727659339</v>
      </c>
      <c r="S49" s="750">
        <f t="shared" si="6"/>
        <v>54.666250091146296</v>
      </c>
      <c r="T49" s="750">
        <f t="shared" si="7"/>
        <v>618.29032174735005</v>
      </c>
    </row>
    <row r="50" spans="1:20" ht="15">
      <c r="A50" s="751">
        <f t="shared" si="8"/>
        <v>44791</v>
      </c>
      <c r="B50" s="749">
        <f t="shared" si="0"/>
        <v>8</v>
      </c>
      <c r="C50" s="749">
        <f t="shared" si="1"/>
        <v>18</v>
      </c>
      <c r="D50" t="s">
        <v>1531</v>
      </c>
      <c r="E50" s="413">
        <v>62142.170889442983</v>
      </c>
      <c r="F50" s="413">
        <v>54581.956317423988</v>
      </c>
      <c r="G50" s="413">
        <v>1235.5806441143002</v>
      </c>
      <c r="I50" t="s">
        <v>1532</v>
      </c>
      <c r="J50" s="642">
        <v>3453283</v>
      </c>
      <c r="K50" s="642">
        <f t="shared" si="2"/>
        <v>143886.79166666666</v>
      </c>
      <c r="L50" s="642">
        <v>70622</v>
      </c>
      <c r="M50" s="642">
        <f t="shared" si="3"/>
        <v>2942.5833333333335</v>
      </c>
      <c r="N50" s="642">
        <v>48</v>
      </c>
      <c r="O50" s="642">
        <f t="shared" si="4"/>
        <v>2</v>
      </c>
      <c r="Q50" t="s">
        <v>1533</v>
      </c>
      <c r="R50" s="750">
        <f t="shared" si="5"/>
        <v>0.43188238593437944</v>
      </c>
      <c r="S50" s="750">
        <f t="shared" si="6"/>
        <v>18.548992546489419</v>
      </c>
      <c r="T50" s="750">
        <f t="shared" si="7"/>
        <v>617.79032205715009</v>
      </c>
    </row>
    <row r="51" spans="1:20" ht="15">
      <c r="A51" s="751">
        <f t="shared" si="8"/>
        <v>44792</v>
      </c>
      <c r="B51" s="749">
        <f t="shared" si="0"/>
        <v>8</v>
      </c>
      <c r="C51" s="749">
        <f t="shared" si="1"/>
        <v>19</v>
      </c>
      <c r="D51" t="s">
        <v>1531</v>
      </c>
      <c r="E51" s="413">
        <v>62243.670033903203</v>
      </c>
      <c r="F51" s="413">
        <v>46971.744576661178</v>
      </c>
      <c r="G51" s="413">
        <v>1231.5806440260999</v>
      </c>
      <c r="I51" t="s">
        <v>1532</v>
      </c>
      <c r="J51" s="642">
        <v>3479512</v>
      </c>
      <c r="K51" s="642">
        <f t="shared" si="2"/>
        <v>144979.66666666666</v>
      </c>
      <c r="L51" s="642">
        <v>70753</v>
      </c>
      <c r="M51" s="642">
        <f t="shared" si="3"/>
        <v>2948.0416666666665</v>
      </c>
      <c r="N51" s="642">
        <v>48</v>
      </c>
      <c r="O51" s="642">
        <f t="shared" si="4"/>
        <v>2</v>
      </c>
      <c r="Q51" t="s">
        <v>1533</v>
      </c>
      <c r="R51" s="750">
        <f t="shared" si="5"/>
        <v>0.4293268943500344</v>
      </c>
      <c r="S51" s="750">
        <f t="shared" si="6"/>
        <v>15.933202406115194</v>
      </c>
      <c r="T51" s="750">
        <f t="shared" si="7"/>
        <v>615.79032201304994</v>
      </c>
    </row>
    <row r="52" spans="1:20" ht="15">
      <c r="A52" s="751">
        <f t="shared" si="8"/>
        <v>44793</v>
      </c>
      <c r="B52" s="749">
        <f t="shared" si="0"/>
        <v>8</v>
      </c>
      <c r="C52" s="749">
        <f t="shared" si="1"/>
        <v>20</v>
      </c>
      <c r="D52" t="s">
        <v>1531</v>
      </c>
      <c r="E52" s="413">
        <v>70860.701981514401</v>
      </c>
      <c r="F52" s="413">
        <v>40071.540029429394</v>
      </c>
      <c r="G52" s="413">
        <v>1232.5826438490994</v>
      </c>
      <c r="I52" t="s">
        <v>1532</v>
      </c>
      <c r="J52" s="642">
        <v>3457846</v>
      </c>
      <c r="K52" s="642">
        <f t="shared" si="2"/>
        <v>144076.91666666666</v>
      </c>
      <c r="L52" s="642">
        <v>70152</v>
      </c>
      <c r="M52" s="642">
        <f t="shared" si="3"/>
        <v>2923</v>
      </c>
      <c r="N52" s="642">
        <v>48</v>
      </c>
      <c r="O52" s="642">
        <f t="shared" si="4"/>
        <v>2</v>
      </c>
      <c r="Q52" t="s">
        <v>1533</v>
      </c>
      <c r="R52" s="750">
        <f t="shared" si="5"/>
        <v>0.49182550280039822</v>
      </c>
      <c r="S52" s="750">
        <f t="shared" si="6"/>
        <v>13.709045511265616</v>
      </c>
      <c r="T52" s="750">
        <f t="shared" si="7"/>
        <v>616.29132192454972</v>
      </c>
    </row>
    <row r="53" spans="1:20" ht="15">
      <c r="A53" s="751">
        <f t="shared" si="8"/>
        <v>44794</v>
      </c>
      <c r="B53" s="749">
        <f t="shared" si="0"/>
        <v>8</v>
      </c>
      <c r="C53" s="749">
        <f t="shared" si="1"/>
        <v>21</v>
      </c>
      <c r="D53" t="s">
        <v>1531</v>
      </c>
      <c r="E53" s="413">
        <v>60007.324836705608</v>
      </c>
      <c r="F53" s="413">
        <v>169297.66790042885</v>
      </c>
      <c r="G53" s="413">
        <v>1232.5806435827997</v>
      </c>
      <c r="I53" t="s">
        <v>1532</v>
      </c>
      <c r="J53" s="642">
        <v>3495590</v>
      </c>
      <c r="K53" s="642">
        <f t="shared" si="2"/>
        <v>145649.58333333334</v>
      </c>
      <c r="L53" s="642">
        <v>70927</v>
      </c>
      <c r="M53" s="642">
        <f t="shared" si="3"/>
        <v>2955.2916666666665</v>
      </c>
      <c r="N53" s="642">
        <v>48</v>
      </c>
      <c r="O53" s="642">
        <f t="shared" si="4"/>
        <v>2</v>
      </c>
      <c r="Q53" t="s">
        <v>1533</v>
      </c>
      <c r="R53" s="750">
        <f t="shared" si="5"/>
        <v>0.41199791625474796</v>
      </c>
      <c r="S53" s="750">
        <f t="shared" si="6"/>
        <v>57.286280677461228</v>
      </c>
      <c r="T53" s="750">
        <f t="shared" si="7"/>
        <v>616.29032179139983</v>
      </c>
    </row>
    <row r="54" spans="1:20" ht="15">
      <c r="A54" s="751">
        <f t="shared" si="8"/>
        <v>44795</v>
      </c>
      <c r="B54" s="749">
        <f t="shared" si="0"/>
        <v>8</v>
      </c>
      <c r="C54" s="749">
        <f t="shared" si="1"/>
        <v>22</v>
      </c>
      <c r="D54" t="s">
        <v>1531</v>
      </c>
      <c r="E54" s="413">
        <v>61467.411302705994</v>
      </c>
      <c r="F54" s="413">
        <v>20747.9916659556</v>
      </c>
      <c r="G54" s="413">
        <v>1221.5806442029002</v>
      </c>
      <c r="I54" t="s">
        <v>1532</v>
      </c>
      <c r="J54" s="642">
        <v>3527025</v>
      </c>
      <c r="K54" s="642">
        <f t="shared" si="2"/>
        <v>146959.375</v>
      </c>
      <c r="L54" s="642">
        <v>71368</v>
      </c>
      <c r="M54" s="642">
        <f t="shared" si="3"/>
        <v>2973.6666666666665</v>
      </c>
      <c r="N54" s="642">
        <v>48</v>
      </c>
      <c r="O54" s="642">
        <f t="shared" si="4"/>
        <v>2</v>
      </c>
      <c r="Q54" t="s">
        <v>1533</v>
      </c>
      <c r="R54" s="750">
        <f t="shared" si="5"/>
        <v>0.41826124602602588</v>
      </c>
      <c r="S54" s="750">
        <f t="shared" si="6"/>
        <v>6.9772419008930395</v>
      </c>
      <c r="T54" s="750">
        <f t="shared" si="7"/>
        <v>610.7903221014501</v>
      </c>
    </row>
    <row r="55" spans="1:20" ht="15">
      <c r="A55" s="751">
        <f t="shared" si="8"/>
        <v>44796</v>
      </c>
      <c r="B55" s="749">
        <f t="shared" si="0"/>
        <v>8</v>
      </c>
      <c r="C55" s="749">
        <f t="shared" si="1"/>
        <v>23</v>
      </c>
      <c r="D55" t="s">
        <v>1531</v>
      </c>
      <c r="E55" s="413">
        <v>59955.195428505489</v>
      </c>
      <c r="F55" s="413">
        <v>150977.51023160416</v>
      </c>
      <c r="G55" s="413">
        <v>1221.5806442029007</v>
      </c>
      <c r="I55" t="s">
        <v>1532</v>
      </c>
      <c r="J55" s="642">
        <v>3539123</v>
      </c>
      <c r="K55" s="642">
        <f t="shared" si="2"/>
        <v>147463.45833333334</v>
      </c>
      <c r="L55" s="642">
        <v>71497</v>
      </c>
      <c r="M55" s="642">
        <f t="shared" si="3"/>
        <v>2979.0416666666665</v>
      </c>
      <c r="N55" s="642">
        <v>48</v>
      </c>
      <c r="O55" s="642">
        <f t="shared" si="4"/>
        <v>2</v>
      </c>
      <c r="Q55" t="s">
        <v>1533</v>
      </c>
      <c r="R55" s="750">
        <f t="shared" si="5"/>
        <v>0.40657662654960897</v>
      </c>
      <c r="S55" s="750">
        <f t="shared" si="6"/>
        <v>50.679892101186063</v>
      </c>
      <c r="T55" s="750">
        <f t="shared" si="7"/>
        <v>610.79032210145033</v>
      </c>
    </row>
    <row r="56" spans="1:20" ht="15">
      <c r="A56" s="751">
        <f t="shared" si="8"/>
        <v>44797</v>
      </c>
      <c r="B56" s="749">
        <f t="shared" si="0"/>
        <v>8</v>
      </c>
      <c r="C56" s="749">
        <f t="shared" si="1"/>
        <v>24</v>
      </c>
      <c r="D56" t="s">
        <v>1531</v>
      </c>
      <c r="E56" s="413">
        <v>69685.913565693205</v>
      </c>
      <c r="F56" s="413">
        <v>53703.276506126196</v>
      </c>
      <c r="G56" s="413">
        <v>1237.5806434064002</v>
      </c>
      <c r="I56" t="s">
        <v>1532</v>
      </c>
      <c r="J56" s="642">
        <v>3554212</v>
      </c>
      <c r="K56" s="642">
        <f t="shared" si="2"/>
        <v>148092.16666666666</v>
      </c>
      <c r="L56" s="642">
        <v>71682</v>
      </c>
      <c r="M56" s="642">
        <f t="shared" si="3"/>
        <v>2986.75</v>
      </c>
      <c r="N56" s="642">
        <v>48</v>
      </c>
      <c r="O56" s="642">
        <f t="shared" si="4"/>
        <v>2</v>
      </c>
      <c r="Q56" t="s">
        <v>1533</v>
      </c>
      <c r="R56" s="750">
        <f t="shared" si="5"/>
        <v>0.47055772857011258</v>
      </c>
      <c r="S56" s="750">
        <f t="shared" si="6"/>
        <v>17.980506070520196</v>
      </c>
      <c r="T56" s="750">
        <f t="shared" si="7"/>
        <v>618.79032170320011</v>
      </c>
    </row>
    <row r="57" spans="1:20" ht="15">
      <c r="A57" s="751">
        <f t="shared" si="8"/>
        <v>44798</v>
      </c>
      <c r="B57" s="749">
        <f t="shared" si="0"/>
        <v>8</v>
      </c>
      <c r="C57" s="749">
        <f t="shared" si="1"/>
        <v>25</v>
      </c>
      <c r="D57" t="s">
        <v>1531</v>
      </c>
      <c r="E57" s="413">
        <v>158506.88210168667</v>
      </c>
      <c r="F57" s="413">
        <v>61739.231461861506</v>
      </c>
      <c r="G57" s="413">
        <v>1230.5806435831003</v>
      </c>
      <c r="I57" t="s">
        <v>1532</v>
      </c>
      <c r="J57" s="642">
        <v>3563561</v>
      </c>
      <c r="K57" s="642">
        <f t="shared" si="2"/>
        <v>148481.70833333334</v>
      </c>
      <c r="L57" s="642">
        <v>71537</v>
      </c>
      <c r="M57" s="642">
        <f t="shared" si="3"/>
        <v>2980.7083333333335</v>
      </c>
      <c r="N57" s="642">
        <v>48</v>
      </c>
      <c r="O57" s="642">
        <f t="shared" si="4"/>
        <v>2</v>
      </c>
      <c r="Q57" t="s">
        <v>1533</v>
      </c>
      <c r="R57" s="750">
        <f t="shared" si="5"/>
        <v>1.0675179042649978</v>
      </c>
      <c r="S57" s="750">
        <f t="shared" si="6"/>
        <v>20.712939528980474</v>
      </c>
      <c r="T57" s="750">
        <f t="shared" si="7"/>
        <v>615.29032179155013</v>
      </c>
    </row>
    <row r="58" spans="1:20" ht="15">
      <c r="A58" s="751">
        <f t="shared" si="8"/>
        <v>44799</v>
      </c>
      <c r="B58" s="749">
        <f t="shared" si="0"/>
        <v>8</v>
      </c>
      <c r="C58" s="749">
        <f t="shared" si="1"/>
        <v>26</v>
      </c>
      <c r="D58" t="s">
        <v>1531</v>
      </c>
      <c r="E58" s="413">
        <v>58223.290282465299</v>
      </c>
      <c r="F58" s="413">
        <v>52464.821310586187</v>
      </c>
      <c r="G58" s="413">
        <v>1230.5806435831003</v>
      </c>
      <c r="I58" t="s">
        <v>1532</v>
      </c>
      <c r="J58" s="642">
        <v>3572346</v>
      </c>
      <c r="K58" s="642">
        <f t="shared" si="2"/>
        <v>148847.75</v>
      </c>
      <c r="L58" s="642">
        <v>71659</v>
      </c>
      <c r="M58" s="642">
        <f t="shared" si="3"/>
        <v>2985.7916666666665</v>
      </c>
      <c r="N58" s="642">
        <v>48</v>
      </c>
      <c r="O58" s="642">
        <f t="shared" si="4"/>
        <v>2</v>
      </c>
      <c r="Q58" t="s">
        <v>1533</v>
      </c>
      <c r="R58" s="750">
        <f t="shared" si="5"/>
        <v>0.39116002950978634</v>
      </c>
      <c r="S58" s="750">
        <f t="shared" si="6"/>
        <v>17.571494319681666</v>
      </c>
      <c r="T58" s="750">
        <f t="shared" si="7"/>
        <v>615.29032179155013</v>
      </c>
    </row>
    <row r="59" spans="1:20" ht="15">
      <c r="A59" s="751">
        <f t="shared" si="8"/>
        <v>44800</v>
      </c>
      <c r="B59" s="749">
        <f t="shared" si="0"/>
        <v>8</v>
      </c>
      <c r="C59" s="749">
        <f t="shared" si="1"/>
        <v>27</v>
      </c>
      <c r="D59" t="s">
        <v>1531</v>
      </c>
      <c r="E59" s="413">
        <v>60620.075354841909</v>
      </c>
      <c r="F59" s="413">
        <v>56045.550577882495</v>
      </c>
      <c r="G59" s="413">
        <v>1242.5806440259003</v>
      </c>
      <c r="I59" t="s">
        <v>1532</v>
      </c>
      <c r="J59" s="642">
        <v>3577394</v>
      </c>
      <c r="K59" s="642">
        <f t="shared" si="2"/>
        <v>149058.08333333334</v>
      </c>
      <c r="L59" s="642">
        <v>71776</v>
      </c>
      <c r="M59" s="642">
        <f t="shared" si="3"/>
        <v>2990.6666666666665</v>
      </c>
      <c r="N59" s="642">
        <v>48</v>
      </c>
      <c r="O59" s="642">
        <f t="shared" si="4"/>
        <v>2</v>
      </c>
      <c r="Q59" t="s">
        <v>1533</v>
      </c>
      <c r="R59" s="750">
        <f t="shared" si="5"/>
        <v>0.40668760793924452</v>
      </c>
      <c r="S59" s="750">
        <f t="shared" si="6"/>
        <v>18.740152890509084</v>
      </c>
      <c r="T59" s="750">
        <f t="shared" si="7"/>
        <v>621.29032201295013</v>
      </c>
    </row>
    <row r="60" spans="1:20" ht="15">
      <c r="A60" s="751">
        <f t="shared" si="8"/>
        <v>44801</v>
      </c>
      <c r="B60" s="749">
        <f t="shared" si="0"/>
        <v>8</v>
      </c>
      <c r="C60" s="749">
        <f t="shared" si="1"/>
        <v>28</v>
      </c>
      <c r="D60" t="s">
        <v>1531</v>
      </c>
      <c r="E60" s="413">
        <v>69185.208421647112</v>
      </c>
      <c r="F60" s="413">
        <v>142582.01390839121</v>
      </c>
      <c r="G60" s="413">
        <v>1247.5806440263</v>
      </c>
      <c r="I60" t="s">
        <v>1532</v>
      </c>
      <c r="J60" s="642">
        <v>3587870</v>
      </c>
      <c r="K60" s="642">
        <f t="shared" si="2"/>
        <v>149494.58333333334</v>
      </c>
      <c r="L60" s="642">
        <v>71969</v>
      </c>
      <c r="M60" s="642">
        <f t="shared" si="3"/>
        <v>2998.7083333333335</v>
      </c>
      <c r="N60" s="642">
        <v>48</v>
      </c>
      <c r="O60" s="642">
        <f t="shared" si="4"/>
        <v>2</v>
      </c>
      <c r="Q60" t="s">
        <v>1533</v>
      </c>
      <c r="R60" s="750">
        <f t="shared" si="5"/>
        <v>0.46279408175868431</v>
      </c>
      <c r="S60" s="750">
        <f t="shared" si="6"/>
        <v>47.547809943189272</v>
      </c>
      <c r="T60" s="750">
        <f t="shared" si="7"/>
        <v>623.79032201314999</v>
      </c>
    </row>
    <row r="61" spans="1:20" ht="15">
      <c r="A61" s="751">
        <f t="shared" si="8"/>
        <v>44802</v>
      </c>
      <c r="B61" s="749">
        <f t="shared" si="0"/>
        <v>8</v>
      </c>
      <c r="C61" s="749">
        <f t="shared" si="1"/>
        <v>29</v>
      </c>
      <c r="D61" t="s">
        <v>1531</v>
      </c>
      <c r="E61" s="413">
        <v>63256.851549038212</v>
      </c>
      <c r="F61" s="413">
        <v>56233.297049308887</v>
      </c>
      <c r="G61" s="413">
        <v>1246.5806442024</v>
      </c>
      <c r="I61" t="s">
        <v>1532</v>
      </c>
      <c r="J61" s="642">
        <v>3598695</v>
      </c>
      <c r="K61" s="642">
        <f t="shared" si="2"/>
        <v>149945.625</v>
      </c>
      <c r="L61" s="642">
        <v>72057</v>
      </c>
      <c r="M61" s="642">
        <f t="shared" si="3"/>
        <v>3002.375</v>
      </c>
      <c r="N61" s="642">
        <v>48</v>
      </c>
      <c r="O61" s="642">
        <f t="shared" si="4"/>
        <v>2</v>
      </c>
      <c r="Q61" t="s">
        <v>1533</v>
      </c>
      <c r="R61" s="750">
        <f t="shared" si="5"/>
        <v>0.42186526982056471</v>
      </c>
      <c r="S61" s="750">
        <f t="shared" si="6"/>
        <v>18.72960474601237</v>
      </c>
      <c r="T61" s="750">
        <f t="shared" si="7"/>
        <v>623.29032210119999</v>
      </c>
    </row>
    <row r="62" spans="1:20" ht="15">
      <c r="A62" s="751">
        <f t="shared" si="8"/>
        <v>44803</v>
      </c>
      <c r="B62" s="749">
        <f t="shared" si="0"/>
        <v>8</v>
      </c>
      <c r="C62" s="749">
        <f t="shared" si="1"/>
        <v>30</v>
      </c>
      <c r="D62" t="s">
        <v>1531</v>
      </c>
      <c r="E62" s="413">
        <v>59497.944125424896</v>
      </c>
      <c r="F62" s="413">
        <v>66329.308675578883</v>
      </c>
      <c r="G62" s="413">
        <v>1342.1034470905001</v>
      </c>
      <c r="I62" t="s">
        <v>1532</v>
      </c>
      <c r="J62" s="642">
        <v>3601862</v>
      </c>
      <c r="K62" s="642">
        <f t="shared" si="2"/>
        <v>150077.58333333334</v>
      </c>
      <c r="L62" s="642">
        <v>72157</v>
      </c>
      <c r="M62" s="642">
        <f t="shared" si="3"/>
        <v>3006.5416666666665</v>
      </c>
      <c r="N62" s="642">
        <v>48</v>
      </c>
      <c r="O62" s="642">
        <f t="shared" si="4"/>
        <v>2</v>
      </c>
      <c r="Q62" t="s">
        <v>1533</v>
      </c>
      <c r="R62" s="750">
        <f t="shared" si="5"/>
        <v>0.39644790916759093</v>
      </c>
      <c r="S62" s="750">
        <f t="shared" si="6"/>
        <v>22.061662876975113</v>
      </c>
      <c r="T62" s="750">
        <f t="shared" si="7"/>
        <v>671.05172354525007</v>
      </c>
    </row>
    <row r="63" spans="1:20" ht="15">
      <c r="A63" s="751">
        <f t="shared" si="8"/>
        <v>44804</v>
      </c>
      <c r="B63" s="749">
        <f t="shared" si="0"/>
        <v>8</v>
      </c>
      <c r="C63" s="749">
        <f t="shared" si="1"/>
        <v>31</v>
      </c>
      <c r="D63" t="s">
        <v>1531</v>
      </c>
      <c r="E63" s="413">
        <v>59138.247579815696</v>
      </c>
      <c r="F63" s="413">
        <v>61142.773835782908</v>
      </c>
      <c r="G63" s="413">
        <v>1358.1034467882</v>
      </c>
      <c r="I63" t="s">
        <v>1532</v>
      </c>
      <c r="J63" s="642">
        <v>3603195</v>
      </c>
      <c r="K63" s="642">
        <f t="shared" si="2"/>
        <v>150133.125</v>
      </c>
      <c r="L63" s="642">
        <v>72072</v>
      </c>
      <c r="M63" s="642">
        <f t="shared" si="3"/>
        <v>3003</v>
      </c>
      <c r="N63" s="642">
        <v>48</v>
      </c>
      <c r="O63" s="642">
        <f t="shared" si="4"/>
        <v>2</v>
      </c>
      <c r="Q63" t="s">
        <v>1533</v>
      </c>
      <c r="R63" s="750">
        <f t="shared" si="5"/>
        <v>0.39390539282930198</v>
      </c>
      <c r="S63" s="750">
        <f t="shared" si="6"/>
        <v>20.360564047879755</v>
      </c>
      <c r="T63" s="750">
        <f t="shared" si="7"/>
        <v>679.05172339410001</v>
      </c>
    </row>
    <row r="64" spans="1:20" ht="15">
      <c r="A64" s="751">
        <f t="shared" si="8"/>
        <v>44805</v>
      </c>
      <c r="B64" s="749">
        <f t="shared" si="0"/>
        <v>9</v>
      </c>
      <c r="C64" s="749">
        <f t="shared" si="1"/>
        <v>1</v>
      </c>
      <c r="D64" t="s">
        <v>1531</v>
      </c>
      <c r="E64" s="413">
        <v>56861.706211412224</v>
      </c>
      <c r="F64" s="413">
        <v>51821.1880645294</v>
      </c>
      <c r="G64" s="413">
        <v>1386.1034462823995</v>
      </c>
      <c r="I64" t="s">
        <v>1532</v>
      </c>
      <c r="J64" s="642">
        <v>3605305</v>
      </c>
      <c r="K64" s="642">
        <f t="shared" si="2"/>
        <v>150221.04166666666</v>
      </c>
      <c r="L64" s="642">
        <v>72095</v>
      </c>
      <c r="M64" s="642">
        <f t="shared" si="3"/>
        <v>3003.9583333333335</v>
      </c>
      <c r="N64" s="642">
        <v>48</v>
      </c>
      <c r="O64" s="642">
        <f t="shared" si="4"/>
        <v>2</v>
      </c>
      <c r="Q64" t="s">
        <v>1533</v>
      </c>
      <c r="R64" s="750">
        <f t="shared" si="5"/>
        <v>0.37852024976358267</v>
      </c>
      <c r="S64" s="750">
        <f t="shared" si="6"/>
        <v>17.250967661401006</v>
      </c>
      <c r="T64" s="750">
        <f t="shared" si="7"/>
        <v>693.05172314119977</v>
      </c>
    </row>
    <row r="65" spans="1:20" ht="15">
      <c r="A65" s="751">
        <f t="shared" si="8"/>
        <v>44806</v>
      </c>
      <c r="B65" s="749">
        <f t="shared" si="0"/>
        <v>9</v>
      </c>
      <c r="C65" s="749">
        <f t="shared" si="1"/>
        <v>2</v>
      </c>
      <c r="D65" t="s">
        <v>1531</v>
      </c>
      <c r="E65" s="413">
        <v>60335.0239797623</v>
      </c>
      <c r="F65" s="413">
        <v>48192.95465931631</v>
      </c>
      <c r="G65" s="413">
        <v>1392.1034470909999</v>
      </c>
      <c r="I65" t="s">
        <v>1532</v>
      </c>
      <c r="J65" s="642">
        <v>3606581</v>
      </c>
      <c r="K65" s="642">
        <f t="shared" si="2"/>
        <v>150274.20833333334</v>
      </c>
      <c r="L65" s="642">
        <v>72238</v>
      </c>
      <c r="M65" s="642">
        <f t="shared" si="3"/>
        <v>3009.9166666666665</v>
      </c>
      <c r="N65" s="642">
        <v>48</v>
      </c>
      <c r="O65" s="642">
        <f t="shared" si="4"/>
        <v>2</v>
      </c>
      <c r="Q65" t="s">
        <v>1533</v>
      </c>
      <c r="R65" s="750">
        <f t="shared" si="5"/>
        <v>0.40149952975249831</v>
      </c>
      <c r="S65" s="750">
        <f t="shared" si="6"/>
        <v>16.011391675068406</v>
      </c>
      <c r="T65" s="750">
        <f t="shared" si="7"/>
        <v>696.05172354549995</v>
      </c>
    </row>
    <row r="66" spans="1:20" ht="15">
      <c r="A66" s="751">
        <f t="shared" si="8"/>
        <v>44807</v>
      </c>
      <c r="B66" s="749">
        <f t="shared" si="0"/>
        <v>9</v>
      </c>
      <c r="C66" s="749">
        <f t="shared" si="1"/>
        <v>3</v>
      </c>
      <c r="D66" t="s">
        <v>1531</v>
      </c>
      <c r="E66" s="413">
        <v>58867.524638559305</v>
      </c>
      <c r="F66" s="413">
        <v>39549.262755120493</v>
      </c>
      <c r="G66" s="413">
        <v>1351.1004468892002</v>
      </c>
      <c r="I66" t="s">
        <v>1532</v>
      </c>
      <c r="J66" s="642">
        <v>3607262</v>
      </c>
      <c r="K66" s="642">
        <f t="shared" ref="K66:K129" si="9">J66/$U$1</f>
        <v>150302.58333333334</v>
      </c>
      <c r="L66" s="642">
        <v>72120</v>
      </c>
      <c r="M66" s="642">
        <f t="shared" ref="M66:M129" si="10">L66/$U$1</f>
        <v>3005</v>
      </c>
      <c r="N66" s="642">
        <v>48</v>
      </c>
      <c r="O66" s="642">
        <f t="shared" ref="O66:O129" si="11">N66/$U$1</f>
        <v>2</v>
      </c>
      <c r="Q66" t="s">
        <v>1533</v>
      </c>
      <c r="R66" s="750">
        <f t="shared" si="5"/>
        <v>0.39166009880220048</v>
      </c>
      <c r="S66" s="750">
        <f t="shared" si="6"/>
        <v>13.161152331154906</v>
      </c>
      <c r="T66" s="750">
        <f t="shared" si="7"/>
        <v>675.55022344460008</v>
      </c>
    </row>
    <row r="67" spans="1:20" ht="15">
      <c r="A67" s="751">
        <f t="shared" si="8"/>
        <v>44808</v>
      </c>
      <c r="B67" s="749">
        <f t="shared" ref="B67:B130" si="12">MONTH(A67)</f>
        <v>9</v>
      </c>
      <c r="C67" s="749">
        <f t="shared" ref="C67:C130" si="13">DAY(A67)</f>
        <v>4</v>
      </c>
      <c r="D67" t="s">
        <v>1531</v>
      </c>
      <c r="E67" s="413">
        <v>70591.403540355095</v>
      </c>
      <c r="F67" s="413">
        <v>39341.32351338731</v>
      </c>
      <c r="G67" s="413">
        <v>1374.1034469892004</v>
      </c>
      <c r="I67" t="s">
        <v>1532</v>
      </c>
      <c r="J67" s="642">
        <v>3607977</v>
      </c>
      <c r="K67" s="642">
        <f t="shared" si="9"/>
        <v>150332.375</v>
      </c>
      <c r="L67" s="642">
        <v>72157</v>
      </c>
      <c r="M67" s="642">
        <f t="shared" si="10"/>
        <v>3006.5416666666665</v>
      </c>
      <c r="N67" s="642">
        <v>48</v>
      </c>
      <c r="O67" s="642">
        <f t="shared" si="11"/>
        <v>2</v>
      </c>
      <c r="Q67" t="s">
        <v>1533</v>
      </c>
      <c r="R67" s="750">
        <f t="shared" ref="R67:R130" si="14">E67/K67</f>
        <v>0.46956887057997382</v>
      </c>
      <c r="S67" s="750">
        <f t="shared" ref="S67:S130" si="15">F67/M67</f>
        <v>13.085241408613101</v>
      </c>
      <c r="T67" s="750">
        <f t="shared" ref="T67:T130" si="16">G67/O67</f>
        <v>687.0517234946002</v>
      </c>
    </row>
    <row r="68" spans="1:20" ht="15">
      <c r="A68" s="751">
        <f t="shared" ref="A68:A131" si="17">A67+1</f>
        <v>44809</v>
      </c>
      <c r="B68" s="749">
        <f t="shared" si="12"/>
        <v>9</v>
      </c>
      <c r="C68" s="749">
        <f t="shared" si="13"/>
        <v>5</v>
      </c>
      <c r="D68" t="s">
        <v>1531</v>
      </c>
      <c r="E68" s="413">
        <v>65081.86376055982</v>
      </c>
      <c r="F68" s="413">
        <v>37984.719295862291</v>
      </c>
      <c r="G68" s="413">
        <v>1363.1034466868998</v>
      </c>
      <c r="I68" t="s">
        <v>1532</v>
      </c>
      <c r="J68" s="642">
        <v>3608345</v>
      </c>
      <c r="K68" s="642">
        <f t="shared" si="9"/>
        <v>150347.70833333334</v>
      </c>
      <c r="L68" s="642">
        <v>72159</v>
      </c>
      <c r="M68" s="642">
        <f t="shared" si="10"/>
        <v>3006.625</v>
      </c>
      <c r="N68" s="642">
        <v>48</v>
      </c>
      <c r="O68" s="642">
        <f t="shared" si="11"/>
        <v>2</v>
      </c>
      <c r="Q68" t="s">
        <v>1533</v>
      </c>
      <c r="R68" s="750">
        <f t="shared" si="14"/>
        <v>0.4328756619041238</v>
      </c>
      <c r="S68" s="750">
        <f t="shared" si="15"/>
        <v>12.633673735787566</v>
      </c>
      <c r="T68" s="750">
        <f t="shared" si="16"/>
        <v>681.55172334344991</v>
      </c>
    </row>
    <row r="69" spans="1:20" ht="15">
      <c r="A69" s="751">
        <f t="shared" si="17"/>
        <v>44810</v>
      </c>
      <c r="B69" s="749">
        <f t="shared" si="12"/>
        <v>9</v>
      </c>
      <c r="C69" s="749">
        <f t="shared" si="13"/>
        <v>6</v>
      </c>
      <c r="D69" t="s">
        <v>1531</v>
      </c>
      <c r="E69" s="413">
        <v>63689.524068559498</v>
      </c>
      <c r="F69" s="413">
        <v>65028.682888309115</v>
      </c>
      <c r="G69" s="413">
        <v>1364.1034467877998</v>
      </c>
      <c r="I69" t="s">
        <v>1532</v>
      </c>
      <c r="J69" s="642">
        <v>3608230</v>
      </c>
      <c r="K69" s="642">
        <f t="shared" si="9"/>
        <v>150342.91666666666</v>
      </c>
      <c r="L69" s="642">
        <v>72095</v>
      </c>
      <c r="M69" s="642">
        <f t="shared" si="10"/>
        <v>3003.9583333333335</v>
      </c>
      <c r="N69" s="642">
        <v>48</v>
      </c>
      <c r="O69" s="642">
        <f t="shared" si="11"/>
        <v>2</v>
      </c>
      <c r="Q69" t="s">
        <v>1533</v>
      </c>
      <c r="R69" s="750">
        <f t="shared" si="14"/>
        <v>0.42362836561012684</v>
      </c>
      <c r="S69" s="750">
        <f t="shared" si="15"/>
        <v>21.647664738462012</v>
      </c>
      <c r="T69" s="750">
        <f t="shared" si="16"/>
        <v>682.05172339389992</v>
      </c>
    </row>
    <row r="70" spans="1:20" ht="15">
      <c r="A70" s="751">
        <f t="shared" si="17"/>
        <v>44811</v>
      </c>
      <c r="B70" s="749">
        <f t="shared" si="12"/>
        <v>9</v>
      </c>
      <c r="C70" s="749">
        <f t="shared" si="13"/>
        <v>7</v>
      </c>
      <c r="D70" t="s">
        <v>1531</v>
      </c>
      <c r="E70" s="413">
        <v>62038.865687319412</v>
      </c>
      <c r="F70" s="413">
        <v>167528.63684705534</v>
      </c>
      <c r="G70" s="413">
        <v>1364.1034466869</v>
      </c>
      <c r="I70" t="s">
        <v>1532</v>
      </c>
      <c r="J70" s="642">
        <v>3610886</v>
      </c>
      <c r="K70" s="642">
        <f t="shared" si="9"/>
        <v>150453.58333333334</v>
      </c>
      <c r="L70" s="642">
        <v>72109</v>
      </c>
      <c r="M70" s="642">
        <f t="shared" si="10"/>
        <v>3004.5416666666665</v>
      </c>
      <c r="N70" s="642">
        <v>48</v>
      </c>
      <c r="O70" s="642">
        <f t="shared" si="11"/>
        <v>2</v>
      </c>
      <c r="Q70" t="s">
        <v>1533</v>
      </c>
      <c r="R70" s="750">
        <f t="shared" si="14"/>
        <v>0.412345550786058</v>
      </c>
      <c r="S70" s="750">
        <f t="shared" si="15"/>
        <v>55.758466825629647</v>
      </c>
      <c r="T70" s="750">
        <f t="shared" si="16"/>
        <v>682.05172334345002</v>
      </c>
    </row>
    <row r="71" spans="1:20" ht="15">
      <c r="A71" s="751">
        <f t="shared" si="17"/>
        <v>44812</v>
      </c>
      <c r="B71" s="749">
        <f t="shared" si="12"/>
        <v>9</v>
      </c>
      <c r="C71" s="749">
        <f t="shared" si="13"/>
        <v>8</v>
      </c>
      <c r="D71" t="s">
        <v>1531</v>
      </c>
      <c r="E71" s="413">
        <v>64449.21419746639</v>
      </c>
      <c r="F71" s="413">
        <v>156844.21869635649</v>
      </c>
      <c r="G71" s="413">
        <v>1374.1034470903003</v>
      </c>
      <c r="I71" t="s">
        <v>1532</v>
      </c>
      <c r="J71" s="642">
        <v>3612718</v>
      </c>
      <c r="K71" s="642">
        <f t="shared" si="9"/>
        <v>150529.91666666666</v>
      </c>
      <c r="L71" s="642">
        <v>72118</v>
      </c>
      <c r="M71" s="642">
        <f t="shared" si="10"/>
        <v>3004.9166666666665</v>
      </c>
      <c r="N71" s="642">
        <v>48</v>
      </c>
      <c r="O71" s="642">
        <f t="shared" si="11"/>
        <v>2</v>
      </c>
      <c r="Q71" t="s">
        <v>1533</v>
      </c>
      <c r="R71" s="750">
        <f t="shared" si="14"/>
        <v>0.42814887315843458</v>
      </c>
      <c r="S71" s="750">
        <f t="shared" si="15"/>
        <v>52.195863012182201</v>
      </c>
      <c r="T71" s="750">
        <f t="shared" si="16"/>
        <v>687.05172354515014</v>
      </c>
    </row>
    <row r="72" spans="1:20" ht="15">
      <c r="A72" s="751">
        <f t="shared" si="17"/>
        <v>44813</v>
      </c>
      <c r="B72" s="749">
        <f t="shared" si="12"/>
        <v>9</v>
      </c>
      <c r="C72" s="749">
        <f t="shared" si="13"/>
        <v>9</v>
      </c>
      <c r="D72" t="s">
        <v>1531</v>
      </c>
      <c r="E72" s="413">
        <v>66815.220201671793</v>
      </c>
      <c r="F72" s="413">
        <v>57486.692812540125</v>
      </c>
      <c r="G72" s="413">
        <v>1372.1034467877</v>
      </c>
      <c r="I72" t="s">
        <v>1532</v>
      </c>
      <c r="J72" s="642">
        <v>3612736</v>
      </c>
      <c r="K72" s="642">
        <f t="shared" si="9"/>
        <v>150530.66666666666</v>
      </c>
      <c r="L72" s="642">
        <v>72191</v>
      </c>
      <c r="M72" s="642">
        <f t="shared" si="10"/>
        <v>3007.9583333333335</v>
      </c>
      <c r="N72" s="642">
        <v>48</v>
      </c>
      <c r="O72" s="642">
        <f t="shared" si="11"/>
        <v>2</v>
      </c>
      <c r="Q72" t="s">
        <v>1533</v>
      </c>
      <c r="R72" s="750">
        <f t="shared" si="14"/>
        <v>0.44386450735401733</v>
      </c>
      <c r="S72" s="750">
        <f t="shared" si="15"/>
        <v>19.111532289356884</v>
      </c>
      <c r="T72" s="750">
        <f t="shared" si="16"/>
        <v>686.05172339385001</v>
      </c>
    </row>
    <row r="73" spans="1:20" ht="15">
      <c r="A73" s="751">
        <f t="shared" si="17"/>
        <v>44814</v>
      </c>
      <c r="B73" s="749">
        <f t="shared" si="12"/>
        <v>9</v>
      </c>
      <c r="C73" s="749">
        <f t="shared" si="13"/>
        <v>10</v>
      </c>
      <c r="D73" t="s">
        <v>1531</v>
      </c>
      <c r="E73" s="413">
        <v>69763.887217085314</v>
      </c>
      <c r="F73" s="413">
        <v>50881.550300883689</v>
      </c>
      <c r="G73" s="413">
        <v>1393.1034468892003</v>
      </c>
      <c r="I73" t="s">
        <v>1532</v>
      </c>
      <c r="J73" s="642">
        <v>3613327</v>
      </c>
      <c r="K73" s="642">
        <f t="shared" si="9"/>
        <v>150555.29166666666</v>
      </c>
      <c r="L73" s="642">
        <v>72175</v>
      </c>
      <c r="M73" s="642">
        <f t="shared" si="10"/>
        <v>3007.2916666666665</v>
      </c>
      <c r="N73" s="642">
        <v>48</v>
      </c>
      <c r="O73" s="642">
        <f t="shared" si="11"/>
        <v>2</v>
      </c>
      <c r="Q73" t="s">
        <v>1533</v>
      </c>
      <c r="R73" s="750">
        <f t="shared" si="14"/>
        <v>0.46337718485208995</v>
      </c>
      <c r="S73" s="750">
        <f t="shared" si="15"/>
        <v>16.919393241720936</v>
      </c>
      <c r="T73" s="750">
        <f t="shared" si="16"/>
        <v>696.55172344460016</v>
      </c>
    </row>
    <row r="74" spans="1:20" ht="15">
      <c r="A74" s="751">
        <f t="shared" si="17"/>
        <v>44815</v>
      </c>
      <c r="B74" s="749">
        <f t="shared" si="12"/>
        <v>9</v>
      </c>
      <c r="C74" s="749">
        <f t="shared" si="13"/>
        <v>11</v>
      </c>
      <c r="D74" t="s">
        <v>1531</v>
      </c>
      <c r="E74" s="413">
        <v>72868.551909447371</v>
      </c>
      <c r="F74" s="413">
        <v>45653.099750339788</v>
      </c>
      <c r="G74" s="413">
        <v>1385.1034470909003</v>
      </c>
      <c r="I74" t="s">
        <v>1532</v>
      </c>
      <c r="J74" s="642">
        <v>3613272</v>
      </c>
      <c r="K74" s="642">
        <f t="shared" si="9"/>
        <v>150553</v>
      </c>
      <c r="L74" s="642">
        <v>72175</v>
      </c>
      <c r="M74" s="642">
        <f t="shared" si="10"/>
        <v>3007.2916666666665</v>
      </c>
      <c r="N74" s="642">
        <v>48</v>
      </c>
      <c r="O74" s="642">
        <f t="shared" si="11"/>
        <v>2</v>
      </c>
      <c r="Q74" t="s">
        <v>1533</v>
      </c>
      <c r="R74" s="750">
        <f t="shared" si="14"/>
        <v>0.48400597735978274</v>
      </c>
      <c r="S74" s="750">
        <f t="shared" si="15"/>
        <v>15.180802133815794</v>
      </c>
      <c r="T74" s="750">
        <f t="shared" si="16"/>
        <v>692.55172354545016</v>
      </c>
    </row>
    <row r="75" spans="1:20" ht="15">
      <c r="A75" s="751">
        <f t="shared" si="17"/>
        <v>44816</v>
      </c>
      <c r="B75" s="749">
        <f t="shared" si="12"/>
        <v>9</v>
      </c>
      <c r="C75" s="749">
        <f t="shared" si="13"/>
        <v>12</v>
      </c>
      <c r="D75" t="s">
        <v>1531</v>
      </c>
      <c r="E75" s="413">
        <v>79008.353035658482</v>
      </c>
      <c r="F75" s="413">
        <v>58771.093478562914</v>
      </c>
      <c r="G75" s="413">
        <v>1379.1034478985998</v>
      </c>
      <c r="I75" t="s">
        <v>1532</v>
      </c>
      <c r="J75" s="642">
        <v>3613560</v>
      </c>
      <c r="K75" s="642">
        <f t="shared" si="9"/>
        <v>150565</v>
      </c>
      <c r="L75" s="642">
        <v>72120</v>
      </c>
      <c r="M75" s="642">
        <f t="shared" si="10"/>
        <v>3005</v>
      </c>
      <c r="N75" s="642">
        <v>48</v>
      </c>
      <c r="O75" s="642">
        <f t="shared" si="11"/>
        <v>2</v>
      </c>
      <c r="Q75" t="s">
        <v>1533</v>
      </c>
      <c r="R75" s="750">
        <f t="shared" si="14"/>
        <v>0.52474581101622875</v>
      </c>
      <c r="S75" s="750">
        <f t="shared" si="15"/>
        <v>19.55776821250014</v>
      </c>
      <c r="T75" s="750">
        <f t="shared" si="16"/>
        <v>689.55172394929991</v>
      </c>
    </row>
    <row r="76" spans="1:20" ht="15">
      <c r="A76" s="751">
        <f t="shared" si="17"/>
        <v>44817</v>
      </c>
      <c r="B76" s="749">
        <f t="shared" si="12"/>
        <v>9</v>
      </c>
      <c r="C76" s="749">
        <f t="shared" si="13"/>
        <v>13</v>
      </c>
      <c r="D76" t="s">
        <v>1531</v>
      </c>
      <c r="E76" s="413">
        <v>63783.092684422794</v>
      </c>
      <c r="F76" s="413">
        <v>81184.272147424286</v>
      </c>
      <c r="G76" s="413">
        <v>1398.1034466871999</v>
      </c>
      <c r="I76" t="s">
        <v>1532</v>
      </c>
      <c r="J76" s="642">
        <v>3616969</v>
      </c>
      <c r="K76" s="642">
        <f t="shared" si="9"/>
        <v>150707.04166666666</v>
      </c>
      <c r="L76" s="642">
        <v>72272</v>
      </c>
      <c r="M76" s="642">
        <f t="shared" si="10"/>
        <v>3011.3333333333335</v>
      </c>
      <c r="N76" s="642">
        <v>48</v>
      </c>
      <c r="O76" s="642">
        <f t="shared" si="11"/>
        <v>2</v>
      </c>
      <c r="Q76" t="s">
        <v>1533</v>
      </c>
      <c r="R76" s="750">
        <f t="shared" si="14"/>
        <v>0.42322569655038433</v>
      </c>
      <c r="S76" s="750">
        <f t="shared" si="15"/>
        <v>26.959576759162371</v>
      </c>
      <c r="T76" s="750">
        <f t="shared" si="16"/>
        <v>699.05172334359997</v>
      </c>
    </row>
    <row r="77" spans="1:20" ht="15">
      <c r="A77" s="751">
        <f t="shared" si="17"/>
        <v>44818</v>
      </c>
      <c r="B77" s="749">
        <f t="shared" si="12"/>
        <v>9</v>
      </c>
      <c r="C77" s="749">
        <f t="shared" si="13"/>
        <v>14</v>
      </c>
      <c r="D77" t="s">
        <v>1531</v>
      </c>
      <c r="E77" s="413">
        <v>63089.708651950416</v>
      </c>
      <c r="F77" s="413">
        <v>159824.80064240479</v>
      </c>
      <c r="G77" s="413">
        <v>1416.1034464846005</v>
      </c>
      <c r="I77" t="s">
        <v>1532</v>
      </c>
      <c r="J77" s="642">
        <v>3617394</v>
      </c>
      <c r="K77" s="642">
        <f t="shared" si="9"/>
        <v>150724.75</v>
      </c>
      <c r="L77" s="642">
        <v>72256</v>
      </c>
      <c r="M77" s="642">
        <f t="shared" si="10"/>
        <v>3010.6666666666665</v>
      </c>
      <c r="N77" s="642">
        <v>48</v>
      </c>
      <c r="O77" s="642">
        <f t="shared" si="11"/>
        <v>2</v>
      </c>
      <c r="Q77" t="s">
        <v>1533</v>
      </c>
      <c r="R77" s="750">
        <f t="shared" si="14"/>
        <v>0.41857563971378564</v>
      </c>
      <c r="S77" s="750">
        <f t="shared" si="15"/>
        <v>53.086182675732331</v>
      </c>
      <c r="T77" s="750">
        <f t="shared" si="16"/>
        <v>708.05172324230023</v>
      </c>
    </row>
    <row r="78" spans="1:20" ht="15">
      <c r="A78" s="751">
        <f t="shared" si="17"/>
        <v>44819</v>
      </c>
      <c r="B78" s="749">
        <f t="shared" si="12"/>
        <v>9</v>
      </c>
      <c r="C78" s="749">
        <f t="shared" si="13"/>
        <v>15</v>
      </c>
      <c r="D78" t="s">
        <v>1531</v>
      </c>
      <c r="E78" s="413">
        <v>77347.406239646007</v>
      </c>
      <c r="F78" s="413">
        <v>161762.786434376</v>
      </c>
      <c r="G78" s="413">
        <v>1407.1</v>
      </c>
      <c r="I78" t="s">
        <v>1532</v>
      </c>
      <c r="J78" s="642">
        <v>3618276</v>
      </c>
      <c r="K78" s="642">
        <f t="shared" si="9"/>
        <v>150761.5</v>
      </c>
      <c r="L78" s="642">
        <v>72254</v>
      </c>
      <c r="M78" s="642">
        <f t="shared" si="10"/>
        <v>3010.5833333333335</v>
      </c>
      <c r="N78" s="642">
        <v>48</v>
      </c>
      <c r="O78" s="642">
        <f t="shared" si="11"/>
        <v>2</v>
      </c>
      <c r="Q78" t="s">
        <v>1533</v>
      </c>
      <c r="R78" s="750">
        <f t="shared" si="14"/>
        <v>0.5130448174079324</v>
      </c>
      <c r="S78" s="750">
        <f t="shared" si="15"/>
        <v>53.731376455629082</v>
      </c>
      <c r="T78" s="750">
        <f t="shared" si="16"/>
        <v>703.55</v>
      </c>
    </row>
    <row r="79" spans="1:20" ht="15">
      <c r="A79" s="751">
        <f t="shared" si="17"/>
        <v>44820</v>
      </c>
      <c r="B79" s="749">
        <f t="shared" si="12"/>
        <v>9</v>
      </c>
      <c r="C79" s="749">
        <f t="shared" si="13"/>
        <v>16</v>
      </c>
      <c r="D79" t="s">
        <v>1531</v>
      </c>
      <c r="E79" s="413">
        <v>77869.381408627305</v>
      </c>
      <c r="F79" s="413">
        <v>169793.60848076706</v>
      </c>
      <c r="G79" s="413">
        <v>1482.1034468890996</v>
      </c>
      <c r="I79" t="s">
        <v>1532</v>
      </c>
      <c r="J79" s="642">
        <v>3619032</v>
      </c>
      <c r="K79" s="642">
        <f t="shared" si="9"/>
        <v>150793</v>
      </c>
      <c r="L79" s="642">
        <v>72332</v>
      </c>
      <c r="M79" s="642">
        <f t="shared" si="10"/>
        <v>3013.8333333333335</v>
      </c>
      <c r="N79" s="642">
        <v>48</v>
      </c>
      <c r="O79" s="642">
        <f t="shared" si="11"/>
        <v>2</v>
      </c>
      <c r="Q79" t="s">
        <v>1533</v>
      </c>
      <c r="R79" s="750">
        <f t="shared" si="14"/>
        <v>0.51639917906419597</v>
      </c>
      <c r="S79" s="750">
        <f t="shared" si="15"/>
        <v>56.338088308610423</v>
      </c>
      <c r="T79" s="750">
        <f t="shared" si="16"/>
        <v>741.05172344454979</v>
      </c>
    </row>
    <row r="80" spans="1:20" ht="15">
      <c r="A80" s="751">
        <f t="shared" si="17"/>
        <v>44821</v>
      </c>
      <c r="B80" s="749">
        <f t="shared" si="12"/>
        <v>9</v>
      </c>
      <c r="C80" s="749">
        <f t="shared" si="13"/>
        <v>17</v>
      </c>
      <c r="D80" t="s">
        <v>1531</v>
      </c>
      <c r="E80" s="413">
        <v>80496.876037284397</v>
      </c>
      <c r="F80" s="413">
        <v>53090.159425677695</v>
      </c>
      <c r="G80" s="413">
        <v>1492.1034470906002</v>
      </c>
      <c r="I80" t="s">
        <v>1532</v>
      </c>
      <c r="J80" s="642">
        <v>3619498</v>
      </c>
      <c r="K80" s="642">
        <f t="shared" si="9"/>
        <v>150812.41666666666</v>
      </c>
      <c r="L80" s="642">
        <v>72318</v>
      </c>
      <c r="M80" s="642">
        <f t="shared" si="10"/>
        <v>3013.25</v>
      </c>
      <c r="N80" s="642">
        <v>48</v>
      </c>
      <c r="O80" s="642">
        <f t="shared" si="11"/>
        <v>2</v>
      </c>
      <c r="Q80" t="s">
        <v>1533</v>
      </c>
      <c r="R80" s="750">
        <f t="shared" si="14"/>
        <v>0.53375496405712219</v>
      </c>
      <c r="S80" s="750">
        <f t="shared" si="15"/>
        <v>17.61890298703317</v>
      </c>
      <c r="T80" s="750">
        <f t="shared" si="16"/>
        <v>746.05172354530009</v>
      </c>
    </row>
    <row r="81" spans="1:20" ht="15">
      <c r="A81" s="751">
        <f t="shared" si="17"/>
        <v>44822</v>
      </c>
      <c r="B81" s="749">
        <f t="shared" si="12"/>
        <v>9</v>
      </c>
      <c r="C81" s="749">
        <f t="shared" si="13"/>
        <v>18</v>
      </c>
      <c r="D81" t="s">
        <v>1531</v>
      </c>
      <c r="E81" s="413">
        <v>79185.330214794216</v>
      </c>
      <c r="F81" s="413">
        <v>47482.259502158478</v>
      </c>
      <c r="G81" s="413">
        <v>1461.1034478994</v>
      </c>
      <c r="I81" t="s">
        <v>1532</v>
      </c>
      <c r="J81" s="642">
        <v>3619576</v>
      </c>
      <c r="K81" s="642">
        <f t="shared" si="9"/>
        <v>150815.66666666666</v>
      </c>
      <c r="L81" s="642">
        <v>72280</v>
      </c>
      <c r="M81" s="642">
        <f t="shared" si="10"/>
        <v>3011.6666666666665</v>
      </c>
      <c r="N81" s="642">
        <v>48</v>
      </c>
      <c r="O81" s="642">
        <f t="shared" si="11"/>
        <v>2</v>
      </c>
      <c r="Q81" t="s">
        <v>1533</v>
      </c>
      <c r="R81" s="750">
        <f t="shared" si="14"/>
        <v>0.52504711191450637</v>
      </c>
      <c r="S81" s="750">
        <f t="shared" si="15"/>
        <v>15.766107194961311</v>
      </c>
      <c r="T81" s="750">
        <f t="shared" si="16"/>
        <v>730.55172394969998</v>
      </c>
    </row>
    <row r="82" spans="1:20" ht="15">
      <c r="A82" s="751">
        <f t="shared" si="17"/>
        <v>44823</v>
      </c>
      <c r="B82" s="749">
        <f t="shared" si="12"/>
        <v>9</v>
      </c>
      <c r="C82" s="749">
        <f t="shared" si="13"/>
        <v>19</v>
      </c>
      <c r="D82" t="s">
        <v>1531</v>
      </c>
      <c r="E82" s="413">
        <v>72530.753943282281</v>
      </c>
      <c r="F82" s="413">
        <v>61226.682584777496</v>
      </c>
      <c r="G82" s="413">
        <v>1458.1034473937</v>
      </c>
      <c r="I82" t="s">
        <v>1532</v>
      </c>
      <c r="J82" s="642">
        <v>3619504</v>
      </c>
      <c r="K82" s="642">
        <f t="shared" si="9"/>
        <v>150812.66666666666</v>
      </c>
      <c r="L82" s="642">
        <v>72319</v>
      </c>
      <c r="M82" s="642">
        <f t="shared" si="10"/>
        <v>3013.2916666666665</v>
      </c>
      <c r="N82" s="642">
        <v>48</v>
      </c>
      <c r="O82" s="642">
        <f t="shared" si="11"/>
        <v>2</v>
      </c>
      <c r="Q82" t="s">
        <v>1533</v>
      </c>
      <c r="R82" s="750">
        <f t="shared" si="14"/>
        <v>0.48093277273316315</v>
      </c>
      <c r="S82" s="750">
        <f t="shared" si="15"/>
        <v>20.318870311185997</v>
      </c>
      <c r="T82" s="750">
        <f t="shared" si="16"/>
        <v>729.05172369684999</v>
      </c>
    </row>
    <row r="83" spans="1:20" ht="15">
      <c r="A83" s="751">
        <f t="shared" si="17"/>
        <v>44824</v>
      </c>
      <c r="B83" s="749">
        <f t="shared" si="12"/>
        <v>9</v>
      </c>
      <c r="C83" s="749">
        <f t="shared" si="13"/>
        <v>20</v>
      </c>
      <c r="D83" t="s">
        <v>1531</v>
      </c>
      <c r="E83" s="413">
        <v>86503.291447000287</v>
      </c>
      <c r="F83" s="413">
        <v>82311.991913299935</v>
      </c>
      <c r="G83" s="413">
        <v>1468.1034465855</v>
      </c>
      <c r="I83" t="s">
        <v>1532</v>
      </c>
      <c r="J83" s="642">
        <v>3618959</v>
      </c>
      <c r="K83" s="642">
        <f t="shared" si="9"/>
        <v>150789.95833333334</v>
      </c>
      <c r="L83" s="642">
        <v>72322</v>
      </c>
      <c r="M83" s="642">
        <f t="shared" si="10"/>
        <v>3013.4166666666665</v>
      </c>
      <c r="N83" s="642">
        <v>48</v>
      </c>
      <c r="O83" s="642">
        <f t="shared" si="11"/>
        <v>2</v>
      </c>
      <c r="Q83" t="s">
        <v>1533</v>
      </c>
      <c r="R83" s="750">
        <f t="shared" si="14"/>
        <v>0.57366745374236261</v>
      </c>
      <c r="S83" s="750">
        <f t="shared" si="15"/>
        <v>27.315171122468939</v>
      </c>
      <c r="T83" s="750">
        <f t="shared" si="16"/>
        <v>734.05172329275001</v>
      </c>
    </row>
    <row r="84" spans="1:20" ht="15">
      <c r="A84" s="751">
        <f t="shared" si="17"/>
        <v>44825</v>
      </c>
      <c r="B84" s="749">
        <f t="shared" si="12"/>
        <v>9</v>
      </c>
      <c r="C84" s="749">
        <f t="shared" si="13"/>
        <v>21</v>
      </c>
      <c r="D84" t="s">
        <v>1531</v>
      </c>
      <c r="E84" s="413">
        <v>77133.614359267624</v>
      </c>
      <c r="F84" s="413">
        <v>71806.709003781201</v>
      </c>
      <c r="G84" s="413">
        <v>1464.1034472924</v>
      </c>
      <c r="I84" t="s">
        <v>1532</v>
      </c>
      <c r="J84" s="642">
        <v>3612246</v>
      </c>
      <c r="K84" s="642">
        <f t="shared" si="9"/>
        <v>150510.25</v>
      </c>
      <c r="L84" s="642">
        <v>72182</v>
      </c>
      <c r="M84" s="642">
        <f t="shared" si="10"/>
        <v>3007.5833333333335</v>
      </c>
      <c r="N84" s="642">
        <v>48</v>
      </c>
      <c r="O84" s="642">
        <f t="shared" si="11"/>
        <v>2</v>
      </c>
      <c r="Q84" t="s">
        <v>1533</v>
      </c>
      <c r="R84" s="750">
        <f t="shared" si="14"/>
        <v>0.51248080685048114</v>
      </c>
      <c r="S84" s="750">
        <f t="shared" si="15"/>
        <v>23.875218421361957</v>
      </c>
      <c r="T84" s="750">
        <f t="shared" si="16"/>
        <v>732.0517236462</v>
      </c>
    </row>
    <row r="85" spans="1:20" ht="15">
      <c r="A85" s="751">
        <f t="shared" si="17"/>
        <v>44826</v>
      </c>
      <c r="B85" s="749">
        <f t="shared" si="12"/>
        <v>9</v>
      </c>
      <c r="C85" s="749">
        <f t="shared" si="13"/>
        <v>22</v>
      </c>
      <c r="D85" t="s">
        <v>1531</v>
      </c>
      <c r="E85" s="413">
        <v>78431.59780360492</v>
      </c>
      <c r="F85" s="413">
        <v>64745.127846129806</v>
      </c>
      <c r="G85" s="413">
        <v>1480.1034462829</v>
      </c>
      <c r="I85" t="s">
        <v>1532</v>
      </c>
      <c r="J85" s="642">
        <v>3618758</v>
      </c>
      <c r="K85" s="642">
        <f t="shared" si="9"/>
        <v>150781.58333333334</v>
      </c>
      <c r="L85" s="642">
        <v>72359</v>
      </c>
      <c r="M85" s="642">
        <f t="shared" si="10"/>
        <v>3014.9583333333335</v>
      </c>
      <c r="N85" s="642">
        <v>48</v>
      </c>
      <c r="O85" s="642">
        <f t="shared" si="11"/>
        <v>2</v>
      </c>
      <c r="Q85" t="s">
        <v>1533</v>
      </c>
      <c r="R85" s="750">
        <f t="shared" si="14"/>
        <v>0.52016695984824568</v>
      </c>
      <c r="S85" s="750">
        <f t="shared" si="15"/>
        <v>21.474634369008903</v>
      </c>
      <c r="T85" s="750">
        <f t="shared" si="16"/>
        <v>740.05172314145</v>
      </c>
    </row>
    <row r="86" spans="1:20" ht="15">
      <c r="A86" s="751">
        <f t="shared" si="17"/>
        <v>44827</v>
      </c>
      <c r="B86" s="749">
        <f t="shared" si="12"/>
        <v>9</v>
      </c>
      <c r="C86" s="749">
        <f t="shared" si="13"/>
        <v>23</v>
      </c>
      <c r="D86" t="s">
        <v>1531</v>
      </c>
      <c r="E86" s="413">
        <v>83707.205020812034</v>
      </c>
      <c r="F86" s="413">
        <v>68816.912968461387</v>
      </c>
      <c r="G86" s="413">
        <v>1510.1034480000001</v>
      </c>
      <c r="I86" t="s">
        <v>1532</v>
      </c>
      <c r="J86" s="642">
        <v>3619624</v>
      </c>
      <c r="K86" s="642">
        <f t="shared" si="9"/>
        <v>150817.66666666666</v>
      </c>
      <c r="L86" s="642">
        <v>72375</v>
      </c>
      <c r="M86" s="642">
        <f t="shared" si="10"/>
        <v>3015.625</v>
      </c>
      <c r="N86" s="642">
        <v>48</v>
      </c>
      <c r="O86" s="642">
        <f t="shared" si="11"/>
        <v>2</v>
      </c>
      <c r="Q86" t="s">
        <v>1533</v>
      </c>
      <c r="R86" s="750">
        <f t="shared" si="14"/>
        <v>0.55502254391602246</v>
      </c>
      <c r="S86" s="750">
        <f t="shared" si="15"/>
        <v>22.820116217520873</v>
      </c>
      <c r="T86" s="750">
        <f t="shared" si="16"/>
        <v>755.05172400000004</v>
      </c>
    </row>
    <row r="87" spans="1:20" ht="15">
      <c r="A87" s="751">
        <f t="shared" si="17"/>
        <v>44828</v>
      </c>
      <c r="B87" s="749">
        <f t="shared" si="12"/>
        <v>9</v>
      </c>
      <c r="C87" s="749">
        <f t="shared" si="13"/>
        <v>24</v>
      </c>
      <c r="D87" t="s">
        <v>1531</v>
      </c>
      <c r="E87" s="413">
        <v>88583.729657248812</v>
      </c>
      <c r="F87" s="413">
        <v>57023.029531188797</v>
      </c>
      <c r="G87" s="413">
        <v>1478.1034467878003</v>
      </c>
      <c r="I87" t="s">
        <v>1532</v>
      </c>
      <c r="J87" s="642">
        <v>3596561</v>
      </c>
      <c r="K87" s="642">
        <f t="shared" si="9"/>
        <v>149856.70833333334</v>
      </c>
      <c r="L87" s="642">
        <v>71695</v>
      </c>
      <c r="M87" s="642">
        <f t="shared" si="10"/>
        <v>2987.2916666666665</v>
      </c>
      <c r="N87" s="642">
        <v>48</v>
      </c>
      <c r="O87" s="642">
        <f t="shared" si="11"/>
        <v>2</v>
      </c>
      <c r="Q87" t="s">
        <v>1533</v>
      </c>
      <c r="R87" s="750">
        <f t="shared" si="14"/>
        <v>0.59112288427027138</v>
      </c>
      <c r="S87" s="750">
        <f t="shared" si="15"/>
        <v>19.088537676944433</v>
      </c>
      <c r="T87" s="750">
        <f t="shared" si="16"/>
        <v>739.05172339390015</v>
      </c>
    </row>
    <row r="88" spans="1:20" ht="15">
      <c r="A88" s="751">
        <f t="shared" si="17"/>
        <v>44829</v>
      </c>
      <c r="B88" s="749">
        <f t="shared" si="12"/>
        <v>9</v>
      </c>
      <c r="C88" s="749">
        <f t="shared" si="13"/>
        <v>25</v>
      </c>
      <c r="D88" t="s">
        <v>1531</v>
      </c>
      <c r="E88" s="413">
        <v>83131.883988781992</v>
      </c>
      <c r="F88" s="413">
        <v>59258.639541866592</v>
      </c>
      <c r="G88" s="413">
        <v>1449.1054469897997</v>
      </c>
      <c r="I88" t="s">
        <v>1532</v>
      </c>
      <c r="J88" s="642">
        <v>3605825</v>
      </c>
      <c r="K88" s="642">
        <f t="shared" si="9"/>
        <v>150242.70833333334</v>
      </c>
      <c r="L88" s="642">
        <v>72056</v>
      </c>
      <c r="M88" s="642">
        <f t="shared" si="10"/>
        <v>3002.3333333333335</v>
      </c>
      <c r="N88" s="642">
        <v>48</v>
      </c>
      <c r="O88" s="642">
        <f t="shared" si="11"/>
        <v>2</v>
      </c>
      <c r="Q88" t="s">
        <v>1533</v>
      </c>
      <c r="R88" s="750">
        <f t="shared" si="14"/>
        <v>0.55331726185568286</v>
      </c>
      <c r="S88" s="750">
        <f t="shared" si="15"/>
        <v>19.737528436282865</v>
      </c>
      <c r="T88" s="750">
        <f t="shared" si="16"/>
        <v>724.55272349489985</v>
      </c>
    </row>
    <row r="89" spans="1:20" ht="15">
      <c r="A89" s="751">
        <f t="shared" si="17"/>
        <v>44830</v>
      </c>
      <c r="B89" s="749">
        <f t="shared" si="12"/>
        <v>9</v>
      </c>
      <c r="C89" s="749">
        <f t="shared" si="13"/>
        <v>26</v>
      </c>
      <c r="D89" t="s">
        <v>1531</v>
      </c>
      <c r="E89" s="413">
        <v>83882.070087725617</v>
      </c>
      <c r="F89" s="413">
        <v>72689.606654510106</v>
      </c>
      <c r="G89" s="413">
        <v>1438.1034463835999</v>
      </c>
      <c r="I89" t="s">
        <v>1532</v>
      </c>
      <c r="J89" s="642">
        <v>3618496</v>
      </c>
      <c r="K89" s="642">
        <f t="shared" si="9"/>
        <v>150770.66666666666</v>
      </c>
      <c r="L89" s="642">
        <v>72310</v>
      </c>
      <c r="M89" s="642">
        <f t="shared" si="10"/>
        <v>3012.9166666666665</v>
      </c>
      <c r="N89" s="642">
        <v>48</v>
      </c>
      <c r="O89" s="642">
        <f t="shared" si="11"/>
        <v>2</v>
      </c>
      <c r="Q89" t="s">
        <v>1533</v>
      </c>
      <c r="R89" s="750">
        <f t="shared" si="14"/>
        <v>0.55635537032662596</v>
      </c>
      <c r="S89" s="750">
        <f t="shared" si="15"/>
        <v>24.125993081292251</v>
      </c>
      <c r="T89" s="750">
        <f t="shared" si="16"/>
        <v>719.05172319179997</v>
      </c>
    </row>
    <row r="90" spans="1:20" ht="15">
      <c r="A90" s="751">
        <f t="shared" si="17"/>
        <v>44831</v>
      </c>
      <c r="B90" s="749">
        <f t="shared" si="12"/>
        <v>9</v>
      </c>
      <c r="C90" s="749">
        <f t="shared" si="13"/>
        <v>27</v>
      </c>
      <c r="D90" t="s">
        <v>1531</v>
      </c>
      <c r="E90" s="413">
        <v>69487.264471907707</v>
      </c>
      <c r="F90" s="413">
        <v>70935.051334052696</v>
      </c>
      <c r="G90" s="413">
        <v>1442.1034469895994</v>
      </c>
      <c r="I90" t="s">
        <v>1532</v>
      </c>
      <c r="J90" s="642">
        <v>3621928</v>
      </c>
      <c r="K90" s="642">
        <f t="shared" si="9"/>
        <v>150913.66666666666</v>
      </c>
      <c r="L90" s="642">
        <v>72351</v>
      </c>
      <c r="M90" s="642">
        <f t="shared" si="10"/>
        <v>3014.625</v>
      </c>
      <c r="N90" s="642">
        <v>48</v>
      </c>
      <c r="O90" s="642">
        <f t="shared" si="11"/>
        <v>2</v>
      </c>
      <c r="Q90" t="s">
        <v>1533</v>
      </c>
      <c r="R90" s="750">
        <f t="shared" si="14"/>
        <v>0.46044381537285806</v>
      </c>
      <c r="S90" s="750">
        <f t="shared" si="15"/>
        <v>23.530306865382162</v>
      </c>
      <c r="T90" s="750">
        <f t="shared" si="16"/>
        <v>721.05172349479972</v>
      </c>
    </row>
    <row r="91" spans="1:20" ht="15">
      <c r="A91" s="751">
        <f t="shared" si="17"/>
        <v>44832</v>
      </c>
      <c r="B91" s="749">
        <f t="shared" si="12"/>
        <v>9</v>
      </c>
      <c r="C91" s="749">
        <f t="shared" si="13"/>
        <v>28</v>
      </c>
      <c r="D91" t="s">
        <v>1531</v>
      </c>
      <c r="E91" s="413">
        <v>77931.104009056493</v>
      </c>
      <c r="F91" s="413">
        <v>73619.920484365313</v>
      </c>
      <c r="G91" s="413">
        <v>1692.4642841823998</v>
      </c>
      <c r="I91" t="s">
        <v>1532</v>
      </c>
      <c r="J91" s="642">
        <v>3623475</v>
      </c>
      <c r="K91" s="642">
        <f t="shared" si="9"/>
        <v>150978.125</v>
      </c>
      <c r="L91" s="642">
        <v>72422</v>
      </c>
      <c r="M91" s="642">
        <f t="shared" si="10"/>
        <v>3017.5833333333335</v>
      </c>
      <c r="N91" s="642">
        <v>48</v>
      </c>
      <c r="O91" s="642">
        <f t="shared" si="11"/>
        <v>2</v>
      </c>
      <c r="Q91" t="s">
        <v>1533</v>
      </c>
      <c r="R91" s="750">
        <f t="shared" si="14"/>
        <v>0.51617480352903111</v>
      </c>
      <c r="S91" s="750">
        <f t="shared" si="15"/>
        <v>24.396980083742058</v>
      </c>
      <c r="T91" s="750">
        <f t="shared" si="16"/>
        <v>846.23214209119988</v>
      </c>
    </row>
    <row r="92" spans="1:20" ht="15">
      <c r="A92" s="751">
        <f t="shared" si="17"/>
        <v>44833</v>
      </c>
      <c r="B92" s="749">
        <f t="shared" si="12"/>
        <v>9</v>
      </c>
      <c r="C92" s="749">
        <f t="shared" si="13"/>
        <v>29</v>
      </c>
      <c r="D92" t="s">
        <v>1531</v>
      </c>
      <c r="E92" s="413">
        <v>87592.695644039486</v>
      </c>
      <c r="F92" s="413">
        <v>79110.424851954827</v>
      </c>
      <c r="G92" s="413">
        <v>1756.4642841821001</v>
      </c>
      <c r="I92" t="s">
        <v>1532</v>
      </c>
      <c r="J92" s="642">
        <v>3623143</v>
      </c>
      <c r="K92" s="642">
        <f t="shared" si="9"/>
        <v>150964.29166666666</v>
      </c>
      <c r="L92" s="642">
        <v>72326</v>
      </c>
      <c r="M92" s="642">
        <f t="shared" si="10"/>
        <v>3013.5833333333335</v>
      </c>
      <c r="N92" s="642">
        <v>48</v>
      </c>
      <c r="O92" s="642">
        <f t="shared" si="11"/>
        <v>2</v>
      </c>
      <c r="Q92" t="s">
        <v>1533</v>
      </c>
      <c r="R92" s="750">
        <f t="shared" si="14"/>
        <v>0.58022128727928979</v>
      </c>
      <c r="S92" s="750">
        <f t="shared" si="15"/>
        <v>26.251281647635924</v>
      </c>
      <c r="T92" s="750">
        <f t="shared" si="16"/>
        <v>878.23214209105004</v>
      </c>
    </row>
    <row r="93" spans="1:20" ht="15">
      <c r="A93" s="751">
        <f t="shared" si="17"/>
        <v>44834</v>
      </c>
      <c r="B93" s="749">
        <f t="shared" si="12"/>
        <v>9</v>
      </c>
      <c r="C93" s="749">
        <f t="shared" si="13"/>
        <v>30</v>
      </c>
      <c r="D93" t="s">
        <v>1531</v>
      </c>
      <c r="E93" s="413">
        <v>96309.899132991413</v>
      </c>
      <c r="F93" s="413">
        <v>69055.119689907093</v>
      </c>
      <c r="G93" s="413">
        <v>1782.4642844423004</v>
      </c>
      <c r="I93" t="s">
        <v>1532</v>
      </c>
      <c r="J93" s="642">
        <v>3622434</v>
      </c>
      <c r="K93" s="642">
        <f t="shared" si="9"/>
        <v>150934.75</v>
      </c>
      <c r="L93" s="642">
        <v>72376</v>
      </c>
      <c r="M93" s="642">
        <f t="shared" si="10"/>
        <v>3015.6666666666665</v>
      </c>
      <c r="N93" s="642">
        <v>48</v>
      </c>
      <c r="O93" s="642">
        <f t="shared" si="11"/>
        <v>2</v>
      </c>
      <c r="Q93" t="s">
        <v>1533</v>
      </c>
      <c r="R93" s="750">
        <f t="shared" si="14"/>
        <v>0.6380896323278199</v>
      </c>
      <c r="S93" s="750">
        <f t="shared" si="15"/>
        <v>22.898790656540431</v>
      </c>
      <c r="T93" s="750">
        <f t="shared" si="16"/>
        <v>891.23214222115018</v>
      </c>
    </row>
    <row r="94" spans="1:20" ht="15">
      <c r="A94" s="751">
        <f t="shared" si="17"/>
        <v>44835</v>
      </c>
      <c r="B94" s="749">
        <f t="shared" si="12"/>
        <v>10</v>
      </c>
      <c r="C94" s="749">
        <f t="shared" si="13"/>
        <v>1</v>
      </c>
      <c r="D94" t="s">
        <v>1531</v>
      </c>
      <c r="E94" s="413">
        <v>87470.258115377306</v>
      </c>
      <c r="F94" s="413">
        <v>54322.513172028703</v>
      </c>
      <c r="G94" s="413">
        <v>1767.4642850911996</v>
      </c>
      <c r="I94" t="s">
        <v>1532</v>
      </c>
      <c r="J94" s="642">
        <v>3621857</v>
      </c>
      <c r="K94" s="642">
        <f t="shared" si="9"/>
        <v>150910.70833333334</v>
      </c>
      <c r="L94" s="642">
        <v>72392</v>
      </c>
      <c r="M94" s="642">
        <f t="shared" si="10"/>
        <v>3016.3333333333335</v>
      </c>
      <c r="N94" s="642">
        <v>48</v>
      </c>
      <c r="O94" s="642">
        <f t="shared" si="11"/>
        <v>2</v>
      </c>
      <c r="Q94" t="s">
        <v>1533</v>
      </c>
      <c r="R94" s="750">
        <f t="shared" si="14"/>
        <v>0.57961598008122772</v>
      </c>
      <c r="S94" s="750">
        <f t="shared" si="15"/>
        <v>18.00945292475258</v>
      </c>
      <c r="T94" s="750">
        <f t="shared" si="16"/>
        <v>883.7321425455998</v>
      </c>
    </row>
    <row r="95" spans="1:20" ht="15">
      <c r="A95" s="751">
        <f t="shared" si="17"/>
        <v>44836</v>
      </c>
      <c r="B95" s="749">
        <f t="shared" si="12"/>
        <v>10</v>
      </c>
      <c r="C95" s="749">
        <f t="shared" si="13"/>
        <v>2</v>
      </c>
      <c r="D95" t="s">
        <v>1531</v>
      </c>
      <c r="E95" s="413">
        <v>81169.628436379106</v>
      </c>
      <c r="F95" s="413">
        <v>49477.550696041922</v>
      </c>
      <c r="G95" s="413">
        <v>1745.4642844416001</v>
      </c>
      <c r="I95" t="s">
        <v>1532</v>
      </c>
      <c r="J95" s="642">
        <v>3622992</v>
      </c>
      <c r="K95" s="642">
        <f t="shared" si="9"/>
        <v>150958</v>
      </c>
      <c r="L95" s="642">
        <v>72438</v>
      </c>
      <c r="M95" s="642">
        <f t="shared" si="10"/>
        <v>3018.25</v>
      </c>
      <c r="N95" s="642">
        <v>48</v>
      </c>
      <c r="O95" s="642">
        <f t="shared" si="11"/>
        <v>2</v>
      </c>
      <c r="Q95" t="s">
        <v>1533</v>
      </c>
      <c r="R95" s="750">
        <f t="shared" si="14"/>
        <v>0.53769676622887896</v>
      </c>
      <c r="S95" s="750">
        <f t="shared" si="15"/>
        <v>16.3927940680997</v>
      </c>
      <c r="T95" s="750">
        <f t="shared" si="16"/>
        <v>872.73214222080003</v>
      </c>
    </row>
    <row r="96" spans="1:20" ht="15">
      <c r="A96" s="751">
        <f t="shared" si="17"/>
        <v>44837</v>
      </c>
      <c r="B96" s="749">
        <f t="shared" si="12"/>
        <v>10</v>
      </c>
      <c r="C96" s="749">
        <f t="shared" si="13"/>
        <v>3</v>
      </c>
      <c r="D96" t="s">
        <v>1531</v>
      </c>
      <c r="E96" s="413">
        <v>86119.632294677678</v>
      </c>
      <c r="F96" s="413">
        <v>67757.61172370601</v>
      </c>
      <c r="G96" s="413">
        <v>1755.4642844412992</v>
      </c>
      <c r="I96" t="s">
        <v>1532</v>
      </c>
      <c r="J96" s="642">
        <v>3603259</v>
      </c>
      <c r="K96" s="642">
        <f t="shared" si="9"/>
        <v>150135.79166666666</v>
      </c>
      <c r="L96" s="642">
        <v>71972</v>
      </c>
      <c r="M96" s="642">
        <f t="shared" si="10"/>
        <v>2998.8333333333335</v>
      </c>
      <c r="N96" s="642">
        <v>48</v>
      </c>
      <c r="O96" s="642">
        <f t="shared" si="11"/>
        <v>2</v>
      </c>
      <c r="Q96" t="s">
        <v>1533</v>
      </c>
      <c r="R96" s="750">
        <f t="shared" si="14"/>
        <v>0.57361160412622691</v>
      </c>
      <c r="S96" s="750">
        <f t="shared" si="15"/>
        <v>22.594657385774248</v>
      </c>
      <c r="T96" s="750">
        <f t="shared" si="16"/>
        <v>877.73214222064962</v>
      </c>
    </row>
    <row r="97" spans="1:20" ht="15">
      <c r="A97" s="751">
        <f t="shared" si="17"/>
        <v>44838</v>
      </c>
      <c r="B97" s="749">
        <f t="shared" si="12"/>
        <v>10</v>
      </c>
      <c r="C97" s="749">
        <f t="shared" si="13"/>
        <v>4</v>
      </c>
      <c r="D97" t="s">
        <v>1531</v>
      </c>
      <c r="E97" s="413">
        <v>89060.669031559562</v>
      </c>
      <c r="F97" s="413">
        <v>84810.583377281713</v>
      </c>
      <c r="G97" s="413">
        <v>1748.4642839226003</v>
      </c>
      <c r="I97" t="s">
        <v>1532</v>
      </c>
      <c r="J97" s="642">
        <v>3623873</v>
      </c>
      <c r="K97" s="642">
        <f t="shared" si="9"/>
        <v>150994.70833333334</v>
      </c>
      <c r="L97" s="642">
        <v>72561</v>
      </c>
      <c r="M97" s="642">
        <f t="shared" si="10"/>
        <v>3023.375</v>
      </c>
      <c r="N97" s="642">
        <v>48</v>
      </c>
      <c r="O97" s="642">
        <f t="shared" si="11"/>
        <v>2</v>
      </c>
      <c r="Q97" t="s">
        <v>1533</v>
      </c>
      <c r="R97" s="750">
        <f t="shared" si="14"/>
        <v>0.58982642514167283</v>
      </c>
      <c r="S97" s="750">
        <f t="shared" si="15"/>
        <v>28.051625543401567</v>
      </c>
      <c r="T97" s="750">
        <f t="shared" si="16"/>
        <v>874.23214196130016</v>
      </c>
    </row>
    <row r="98" spans="1:20" ht="15">
      <c r="A98" s="751">
        <f t="shared" si="17"/>
        <v>44839</v>
      </c>
      <c r="B98" s="749">
        <f t="shared" si="12"/>
        <v>10</v>
      </c>
      <c r="C98" s="749">
        <f t="shared" si="13"/>
        <v>5</v>
      </c>
      <c r="D98" t="s">
        <v>1531</v>
      </c>
      <c r="E98" s="413">
        <v>82481.205812978224</v>
      </c>
      <c r="F98" s="413">
        <v>80920.090366954319</v>
      </c>
      <c r="G98" s="413">
        <v>1760.4642837926995</v>
      </c>
      <c r="I98" t="s">
        <v>1532</v>
      </c>
      <c r="J98" s="642">
        <v>3625736</v>
      </c>
      <c r="K98" s="642">
        <f t="shared" si="9"/>
        <v>151072.33333333334</v>
      </c>
      <c r="L98" s="642">
        <v>72623</v>
      </c>
      <c r="M98" s="642">
        <f t="shared" si="10"/>
        <v>3025.9583333333335</v>
      </c>
      <c r="N98" s="642">
        <v>48</v>
      </c>
      <c r="O98" s="642">
        <f t="shared" si="11"/>
        <v>2</v>
      </c>
      <c r="Q98" t="s">
        <v>1533</v>
      </c>
      <c r="R98" s="750">
        <f t="shared" si="14"/>
        <v>0.54597161500767766</v>
      </c>
      <c r="S98" s="750">
        <f t="shared" si="15"/>
        <v>26.741971122191366</v>
      </c>
      <c r="T98" s="750">
        <f t="shared" si="16"/>
        <v>880.23214189634973</v>
      </c>
    </row>
    <row r="99" spans="1:20" ht="15">
      <c r="A99" s="751">
        <f t="shared" si="17"/>
        <v>44840</v>
      </c>
      <c r="B99" s="749">
        <f t="shared" si="12"/>
        <v>10</v>
      </c>
      <c r="C99" s="749">
        <f t="shared" si="13"/>
        <v>6</v>
      </c>
      <c r="D99" t="s">
        <v>1531</v>
      </c>
      <c r="E99" s="413">
        <v>124207.45149469876</v>
      </c>
      <c r="F99" s="413">
        <v>272734.61905489682</v>
      </c>
      <c r="G99" s="413">
        <v>1756.4642839225999</v>
      </c>
      <c r="I99" t="s">
        <v>1532</v>
      </c>
      <c r="J99" s="642">
        <v>3626934</v>
      </c>
      <c r="K99" s="642">
        <f t="shared" si="9"/>
        <v>151122.25</v>
      </c>
      <c r="L99" s="642">
        <v>72663</v>
      </c>
      <c r="M99" s="642">
        <f t="shared" si="10"/>
        <v>3027.625</v>
      </c>
      <c r="N99" s="642">
        <v>48</v>
      </c>
      <c r="O99" s="642">
        <f t="shared" si="11"/>
        <v>2</v>
      </c>
      <c r="Q99" t="s">
        <v>1533</v>
      </c>
      <c r="R99" s="750">
        <f t="shared" si="14"/>
        <v>0.82190049112356889</v>
      </c>
      <c r="S99" s="750">
        <f t="shared" si="15"/>
        <v>90.082034285916123</v>
      </c>
      <c r="T99" s="750">
        <f t="shared" si="16"/>
        <v>878.23214196129993</v>
      </c>
    </row>
    <row r="100" spans="1:20" ht="15">
      <c r="A100" s="751">
        <f t="shared" si="17"/>
        <v>44841</v>
      </c>
      <c r="B100" s="749">
        <f t="shared" si="12"/>
        <v>10</v>
      </c>
      <c r="C100" s="749">
        <f t="shared" si="13"/>
        <v>7</v>
      </c>
      <c r="D100" t="s">
        <v>1531</v>
      </c>
      <c r="E100" s="413">
        <v>77732.172798602915</v>
      </c>
      <c r="F100" s="413">
        <v>70035.925035504784</v>
      </c>
      <c r="G100" s="413">
        <v>1793.4642850907996</v>
      </c>
      <c r="I100" t="s">
        <v>1532</v>
      </c>
      <c r="J100" s="642">
        <v>3627607</v>
      </c>
      <c r="K100" s="642">
        <f t="shared" si="9"/>
        <v>151150.29166666666</v>
      </c>
      <c r="L100" s="642">
        <v>72766</v>
      </c>
      <c r="M100" s="642">
        <f t="shared" si="10"/>
        <v>3031.9166666666665</v>
      </c>
      <c r="N100" s="642">
        <v>48</v>
      </c>
      <c r="O100" s="642">
        <f t="shared" si="11"/>
        <v>2</v>
      </c>
      <c r="Q100" t="s">
        <v>1533</v>
      </c>
      <c r="R100" s="750">
        <f t="shared" si="14"/>
        <v>0.51427074299020537</v>
      </c>
      <c r="S100" s="750">
        <f t="shared" si="15"/>
        <v>23.099554748812839</v>
      </c>
      <c r="T100" s="750">
        <f t="shared" si="16"/>
        <v>896.73214254539982</v>
      </c>
    </row>
    <row r="101" spans="1:20" ht="15">
      <c r="A101" s="751">
        <f t="shared" si="17"/>
        <v>44842</v>
      </c>
      <c r="B101" s="749">
        <f t="shared" si="12"/>
        <v>10</v>
      </c>
      <c r="C101" s="749">
        <f t="shared" si="13"/>
        <v>8</v>
      </c>
      <c r="D101" t="s">
        <v>1531</v>
      </c>
      <c r="E101" s="413">
        <v>86456.682437351716</v>
      </c>
      <c r="F101" s="413">
        <v>63739.653720493916</v>
      </c>
      <c r="G101" s="413">
        <v>1788.4642843120005</v>
      </c>
      <c r="I101" t="s">
        <v>1532</v>
      </c>
      <c r="J101" s="642">
        <v>3628168</v>
      </c>
      <c r="K101" s="642">
        <f t="shared" si="9"/>
        <v>151173.66666666666</v>
      </c>
      <c r="L101" s="642">
        <v>72783</v>
      </c>
      <c r="M101" s="642">
        <f t="shared" si="10"/>
        <v>3032.625</v>
      </c>
      <c r="N101" s="642">
        <v>48</v>
      </c>
      <c r="O101" s="642">
        <f t="shared" si="11"/>
        <v>2</v>
      </c>
      <c r="Q101" t="s">
        <v>1533</v>
      </c>
      <c r="R101" s="750">
        <f t="shared" si="14"/>
        <v>0.57190305920134932</v>
      </c>
      <c r="S101" s="750">
        <f t="shared" si="15"/>
        <v>21.017980700051577</v>
      </c>
      <c r="T101" s="750">
        <f t="shared" si="16"/>
        <v>894.23214215600024</v>
      </c>
    </row>
    <row r="102" spans="1:20" ht="15">
      <c r="A102" s="751">
        <f t="shared" si="17"/>
        <v>44843</v>
      </c>
      <c r="B102" s="749">
        <f t="shared" si="12"/>
        <v>10</v>
      </c>
      <c r="C102" s="749">
        <f t="shared" si="13"/>
        <v>9</v>
      </c>
      <c r="D102" t="s">
        <v>1531</v>
      </c>
      <c r="E102" s="413">
        <v>108674.6708705441</v>
      </c>
      <c r="F102" s="413">
        <v>80433.634233031597</v>
      </c>
      <c r="G102" s="413">
        <v>1797.4642852207999</v>
      </c>
      <c r="I102" t="s">
        <v>1532</v>
      </c>
      <c r="J102" s="642">
        <v>3628691</v>
      </c>
      <c r="K102" s="642">
        <f t="shared" si="9"/>
        <v>151195.45833333334</v>
      </c>
      <c r="L102" s="642">
        <v>72854</v>
      </c>
      <c r="M102" s="642">
        <f t="shared" si="10"/>
        <v>3035.5833333333335</v>
      </c>
      <c r="N102" s="642">
        <v>48</v>
      </c>
      <c r="O102" s="642">
        <f t="shared" si="11"/>
        <v>2</v>
      </c>
      <c r="Q102" t="s">
        <v>1533</v>
      </c>
      <c r="R102" s="750">
        <f t="shared" si="14"/>
        <v>0.71876941323828847</v>
      </c>
      <c r="S102" s="750">
        <f t="shared" si="15"/>
        <v>26.496928399164879</v>
      </c>
      <c r="T102" s="750">
        <f t="shared" si="16"/>
        <v>898.73214261039993</v>
      </c>
    </row>
    <row r="103" spans="1:20" ht="15">
      <c r="A103" s="751">
        <f t="shared" si="17"/>
        <v>44844</v>
      </c>
      <c r="B103" s="749">
        <f t="shared" si="12"/>
        <v>10</v>
      </c>
      <c r="C103" s="749">
        <f t="shared" si="13"/>
        <v>10</v>
      </c>
      <c r="D103" t="s">
        <v>1531</v>
      </c>
      <c r="E103" s="413">
        <v>102400.82507494096</v>
      </c>
      <c r="F103" s="413">
        <v>275604.87664899376</v>
      </c>
      <c r="G103" s="413">
        <v>1805.4642839219</v>
      </c>
      <c r="I103" t="s">
        <v>1532</v>
      </c>
      <c r="J103" s="642">
        <v>3627523</v>
      </c>
      <c r="K103" s="642">
        <f t="shared" si="9"/>
        <v>151146.79166666666</v>
      </c>
      <c r="L103" s="642">
        <v>72872</v>
      </c>
      <c r="M103" s="642">
        <f t="shared" si="10"/>
        <v>3036.3333333333335</v>
      </c>
      <c r="N103" s="642">
        <v>48</v>
      </c>
      <c r="O103" s="642">
        <f t="shared" si="11"/>
        <v>2</v>
      </c>
      <c r="Q103" t="s">
        <v>1533</v>
      </c>
      <c r="R103" s="750">
        <f t="shared" si="14"/>
        <v>0.67749254844106666</v>
      </c>
      <c r="S103" s="750">
        <f t="shared" si="15"/>
        <v>90.768979025906376</v>
      </c>
      <c r="T103" s="750">
        <f t="shared" si="16"/>
        <v>902.73214196095</v>
      </c>
    </row>
    <row r="104" spans="1:20" ht="15">
      <c r="A104" s="751">
        <f t="shared" si="17"/>
        <v>44845</v>
      </c>
      <c r="B104" s="749">
        <f t="shared" si="12"/>
        <v>10</v>
      </c>
      <c r="C104" s="749">
        <f t="shared" si="13"/>
        <v>11</v>
      </c>
      <c r="D104" t="s">
        <v>1531</v>
      </c>
      <c r="E104" s="413">
        <v>108451.56150968274</v>
      </c>
      <c r="F104" s="413">
        <v>83964.327883507489</v>
      </c>
      <c r="G104" s="413">
        <v>1768.4642837928</v>
      </c>
      <c r="I104" t="s">
        <v>1532</v>
      </c>
      <c r="J104" s="642">
        <v>3632360</v>
      </c>
      <c r="K104" s="642">
        <f t="shared" si="9"/>
        <v>151348.33333333334</v>
      </c>
      <c r="L104" s="642">
        <v>72886</v>
      </c>
      <c r="M104" s="642">
        <f t="shared" si="10"/>
        <v>3036.9166666666665</v>
      </c>
      <c r="N104" s="642">
        <v>48</v>
      </c>
      <c r="O104" s="642">
        <f t="shared" si="11"/>
        <v>2</v>
      </c>
      <c r="Q104" t="s">
        <v>1533</v>
      </c>
      <c r="R104" s="750">
        <f t="shared" si="14"/>
        <v>0.71656924870673211</v>
      </c>
      <c r="S104" s="750">
        <f t="shared" si="15"/>
        <v>27.647886688859039</v>
      </c>
      <c r="T104" s="750">
        <f t="shared" si="16"/>
        <v>884.23214189639998</v>
      </c>
    </row>
    <row r="105" spans="1:20" ht="15">
      <c r="A105" s="751">
        <f t="shared" si="17"/>
        <v>44846</v>
      </c>
      <c r="B105" s="749">
        <f t="shared" si="12"/>
        <v>10</v>
      </c>
      <c r="C105" s="749">
        <f t="shared" si="13"/>
        <v>12</v>
      </c>
      <c r="D105" t="s">
        <v>1531</v>
      </c>
      <c r="E105" s="413">
        <v>111117.30589354309</v>
      </c>
      <c r="F105" s="413">
        <v>196781.6863700503</v>
      </c>
      <c r="G105" s="413">
        <v>1802.4642847016996</v>
      </c>
      <c r="I105" t="s">
        <v>1532</v>
      </c>
      <c r="J105" s="642">
        <v>3636486</v>
      </c>
      <c r="K105" s="642">
        <f t="shared" si="9"/>
        <v>151520.25</v>
      </c>
      <c r="L105" s="642">
        <v>72911</v>
      </c>
      <c r="M105" s="642">
        <f t="shared" si="10"/>
        <v>3037.9583333333335</v>
      </c>
      <c r="N105" s="642">
        <v>48</v>
      </c>
      <c r="O105" s="642">
        <f t="shared" si="11"/>
        <v>2</v>
      </c>
      <c r="Q105" t="s">
        <v>1533</v>
      </c>
      <c r="R105" s="750">
        <f t="shared" si="14"/>
        <v>0.73334954168530664</v>
      </c>
      <c r="S105" s="750">
        <f t="shared" si="15"/>
        <v>64.774320375268573</v>
      </c>
      <c r="T105" s="750">
        <f t="shared" si="16"/>
        <v>901.23214235084981</v>
      </c>
    </row>
    <row r="106" spans="1:20" ht="15">
      <c r="A106" s="751">
        <f t="shared" si="17"/>
        <v>44847</v>
      </c>
      <c r="B106" s="749">
        <f t="shared" si="12"/>
        <v>10</v>
      </c>
      <c r="C106" s="749">
        <f t="shared" si="13"/>
        <v>13</v>
      </c>
      <c r="D106" t="s">
        <v>1531</v>
      </c>
      <c r="E106" s="413">
        <v>145225.41882169366</v>
      </c>
      <c r="F106" s="413">
        <v>94223.322604116591</v>
      </c>
      <c r="G106" s="413">
        <v>1826.4642847011999</v>
      </c>
      <c r="I106" t="s">
        <v>1532</v>
      </c>
      <c r="J106" s="642">
        <v>3636761</v>
      </c>
      <c r="K106" s="642">
        <f t="shared" si="9"/>
        <v>151531.70833333334</v>
      </c>
      <c r="L106" s="642">
        <v>72926</v>
      </c>
      <c r="M106" s="642">
        <f t="shared" si="10"/>
        <v>3038.5833333333335</v>
      </c>
      <c r="N106" s="642">
        <v>48</v>
      </c>
      <c r="O106" s="642">
        <f t="shared" si="11"/>
        <v>2</v>
      </c>
      <c r="Q106" t="s">
        <v>1533</v>
      </c>
      <c r="R106" s="750">
        <f t="shared" si="14"/>
        <v>0.95838303691681903</v>
      </c>
      <c r="S106" s="750">
        <f t="shared" si="15"/>
        <v>31.008964463960702</v>
      </c>
      <c r="T106" s="750">
        <f t="shared" si="16"/>
        <v>913.23214235059993</v>
      </c>
    </row>
    <row r="107" spans="1:20" ht="15">
      <c r="A107" s="751">
        <f t="shared" si="17"/>
        <v>44848</v>
      </c>
      <c r="B107" s="749">
        <f t="shared" si="12"/>
        <v>10</v>
      </c>
      <c r="C107" s="749">
        <f t="shared" si="13"/>
        <v>14</v>
      </c>
      <c r="D107" t="s">
        <v>1531</v>
      </c>
      <c r="E107" s="413">
        <v>153505.89478791069</v>
      </c>
      <c r="F107" s="413">
        <v>89083.922707611171</v>
      </c>
      <c r="G107" s="413">
        <v>1827.4642848312005</v>
      </c>
      <c r="I107" t="s">
        <v>1532</v>
      </c>
      <c r="J107" s="642">
        <v>3637080</v>
      </c>
      <c r="K107" s="642">
        <f t="shared" si="9"/>
        <v>151545</v>
      </c>
      <c r="L107" s="642">
        <v>72934</v>
      </c>
      <c r="M107" s="642">
        <f t="shared" si="10"/>
        <v>3038.9166666666665</v>
      </c>
      <c r="N107" s="642">
        <v>48</v>
      </c>
      <c r="O107" s="642">
        <f t="shared" si="11"/>
        <v>2</v>
      </c>
      <c r="Q107" t="s">
        <v>1533</v>
      </c>
      <c r="R107" s="750">
        <f t="shared" si="14"/>
        <v>1.0129393565469709</v>
      </c>
      <c r="S107" s="750">
        <f t="shared" si="15"/>
        <v>29.314368401330906</v>
      </c>
      <c r="T107" s="750">
        <f t="shared" si="16"/>
        <v>913.73214241560026</v>
      </c>
    </row>
    <row r="108" spans="1:20" ht="15">
      <c r="A108" s="751">
        <f t="shared" si="17"/>
        <v>44849</v>
      </c>
      <c r="B108" s="749">
        <f t="shared" si="12"/>
        <v>10</v>
      </c>
      <c r="C108" s="749">
        <f t="shared" si="13"/>
        <v>15</v>
      </c>
      <c r="D108" t="s">
        <v>1531</v>
      </c>
      <c r="E108" s="413">
        <v>119061.29209697497</v>
      </c>
      <c r="F108" s="413">
        <v>87597.093695532603</v>
      </c>
      <c r="G108" s="413">
        <v>1791.4642844422001</v>
      </c>
      <c r="I108" t="s">
        <v>1532</v>
      </c>
      <c r="J108" s="642">
        <v>3637973</v>
      </c>
      <c r="K108" s="642">
        <f t="shared" si="9"/>
        <v>151582.20833333334</v>
      </c>
      <c r="L108" s="642">
        <v>72936</v>
      </c>
      <c r="M108" s="642">
        <f t="shared" si="10"/>
        <v>3039</v>
      </c>
      <c r="N108" s="642">
        <v>48</v>
      </c>
      <c r="O108" s="642">
        <f t="shared" si="11"/>
        <v>2</v>
      </c>
      <c r="Q108" t="s">
        <v>1533</v>
      </c>
      <c r="R108" s="750">
        <f t="shared" si="14"/>
        <v>0.78545690425063597</v>
      </c>
      <c r="S108" s="750">
        <f t="shared" si="15"/>
        <v>28.824315135088057</v>
      </c>
      <c r="T108" s="750">
        <f t="shared" si="16"/>
        <v>895.73214222110005</v>
      </c>
    </row>
    <row r="109" spans="1:20" ht="15">
      <c r="A109" s="751">
        <f t="shared" si="17"/>
        <v>44850</v>
      </c>
      <c r="B109" s="749">
        <f t="shared" si="12"/>
        <v>10</v>
      </c>
      <c r="C109" s="749">
        <f t="shared" si="13"/>
        <v>16</v>
      </c>
      <c r="D109" t="s">
        <v>1531</v>
      </c>
      <c r="E109" s="413">
        <v>134903.09619486751</v>
      </c>
      <c r="F109" s="413">
        <v>76930.848535029203</v>
      </c>
      <c r="G109" s="413">
        <v>1784.4642843122003</v>
      </c>
      <c r="I109" t="s">
        <v>1532</v>
      </c>
      <c r="J109" s="642">
        <v>3637709</v>
      </c>
      <c r="K109" s="642">
        <f t="shared" si="9"/>
        <v>151571.20833333334</v>
      </c>
      <c r="L109" s="642">
        <v>72927</v>
      </c>
      <c r="M109" s="642">
        <f t="shared" si="10"/>
        <v>3038.625</v>
      </c>
      <c r="N109" s="642">
        <v>48</v>
      </c>
      <c r="O109" s="642">
        <f t="shared" si="11"/>
        <v>2</v>
      </c>
      <c r="Q109" t="s">
        <v>1533</v>
      </c>
      <c r="R109" s="750">
        <f t="shared" si="14"/>
        <v>0.89003114561302732</v>
      </c>
      <c r="S109" s="750">
        <f t="shared" si="15"/>
        <v>25.317651416357464</v>
      </c>
      <c r="T109" s="750">
        <f t="shared" si="16"/>
        <v>892.23214215610017</v>
      </c>
    </row>
    <row r="110" spans="1:20" ht="15">
      <c r="A110" s="751">
        <f t="shared" si="17"/>
        <v>44851</v>
      </c>
      <c r="B110" s="749">
        <f t="shared" si="12"/>
        <v>10</v>
      </c>
      <c r="C110" s="749">
        <f t="shared" si="13"/>
        <v>17</v>
      </c>
      <c r="D110" t="s">
        <v>1531</v>
      </c>
      <c r="E110" s="413">
        <v>155348.53031446171</v>
      </c>
      <c r="F110" s="413">
        <v>92026.632773109624</v>
      </c>
      <c r="G110" s="413">
        <v>1794.4642850909995</v>
      </c>
      <c r="I110" t="s">
        <v>1532</v>
      </c>
      <c r="J110" s="642">
        <v>3637493</v>
      </c>
      <c r="K110" s="642">
        <f t="shared" si="9"/>
        <v>151562.20833333334</v>
      </c>
      <c r="L110" s="642">
        <v>72967</v>
      </c>
      <c r="M110" s="642">
        <f t="shared" si="10"/>
        <v>3040.2916666666665</v>
      </c>
      <c r="N110" s="642">
        <v>48</v>
      </c>
      <c r="O110" s="642">
        <f t="shared" si="11"/>
        <v>2</v>
      </c>
      <c r="Q110" t="s">
        <v>1533</v>
      </c>
      <c r="R110" s="750">
        <f t="shared" si="14"/>
        <v>1.0249819663012631</v>
      </c>
      <c r="S110" s="750">
        <f t="shared" si="15"/>
        <v>30.269014575830596</v>
      </c>
      <c r="T110" s="750">
        <f t="shared" si="16"/>
        <v>897.23214254549976</v>
      </c>
    </row>
    <row r="111" spans="1:20" ht="15">
      <c r="A111" s="751">
        <f t="shared" si="17"/>
        <v>44852</v>
      </c>
      <c r="B111" s="749">
        <f t="shared" si="12"/>
        <v>10</v>
      </c>
      <c r="C111" s="749">
        <f t="shared" si="13"/>
        <v>18</v>
      </c>
      <c r="D111" t="s">
        <v>1531</v>
      </c>
      <c r="E111" s="413">
        <v>152621.25998639959</v>
      </c>
      <c r="F111" s="413">
        <v>205039.9610425008</v>
      </c>
      <c r="G111" s="413">
        <v>1825.4642843113998</v>
      </c>
      <c r="I111" t="s">
        <v>1532</v>
      </c>
      <c r="J111" s="642">
        <v>3637566</v>
      </c>
      <c r="K111" s="642">
        <f t="shared" si="9"/>
        <v>151565.25</v>
      </c>
      <c r="L111" s="642">
        <v>72976</v>
      </c>
      <c r="M111" s="642">
        <f t="shared" si="10"/>
        <v>3040.6666666666665</v>
      </c>
      <c r="N111" s="642">
        <v>48</v>
      </c>
      <c r="O111" s="642">
        <f t="shared" si="11"/>
        <v>2</v>
      </c>
      <c r="Q111" t="s">
        <v>1533</v>
      </c>
      <c r="R111" s="750">
        <f t="shared" si="14"/>
        <v>1.0069673621519417</v>
      </c>
      <c r="S111" s="750">
        <f t="shared" si="15"/>
        <v>67.432567762278282</v>
      </c>
      <c r="T111" s="750">
        <f t="shared" si="16"/>
        <v>912.73214215569988</v>
      </c>
    </row>
    <row r="112" spans="1:20" ht="15">
      <c r="A112" s="751">
        <f t="shared" si="17"/>
        <v>44853</v>
      </c>
      <c r="B112" s="749">
        <f t="shared" si="12"/>
        <v>10</v>
      </c>
      <c r="C112" s="749">
        <f t="shared" si="13"/>
        <v>19</v>
      </c>
      <c r="D112" t="s">
        <v>1531</v>
      </c>
      <c r="E112" s="413">
        <v>177497.02292461065</v>
      </c>
      <c r="F112" s="413">
        <v>104711.39636421147</v>
      </c>
      <c r="G112" s="413">
        <v>1891.4642845719998</v>
      </c>
      <c r="I112" t="s">
        <v>1532</v>
      </c>
      <c r="J112" s="642">
        <v>3638477</v>
      </c>
      <c r="K112" s="642">
        <f t="shared" si="9"/>
        <v>151603.20833333334</v>
      </c>
      <c r="L112" s="642">
        <v>72992</v>
      </c>
      <c r="M112" s="642">
        <f t="shared" si="10"/>
        <v>3041.3333333333335</v>
      </c>
      <c r="N112" s="642">
        <v>48</v>
      </c>
      <c r="O112" s="642">
        <f t="shared" si="11"/>
        <v>2</v>
      </c>
      <c r="Q112" t="s">
        <v>1533</v>
      </c>
      <c r="R112" s="750">
        <f t="shared" si="14"/>
        <v>1.1707999116637691</v>
      </c>
      <c r="S112" s="750">
        <f t="shared" si="15"/>
        <v>34.429437647154138</v>
      </c>
      <c r="T112" s="750">
        <f t="shared" si="16"/>
        <v>945.73214228599988</v>
      </c>
    </row>
    <row r="113" spans="1:20" ht="15">
      <c r="A113" s="751">
        <f t="shared" si="17"/>
        <v>44854</v>
      </c>
      <c r="B113" s="749">
        <f t="shared" si="12"/>
        <v>10</v>
      </c>
      <c r="C113" s="749">
        <f t="shared" si="13"/>
        <v>20</v>
      </c>
      <c r="D113" t="s">
        <v>1531</v>
      </c>
      <c r="E113" s="413">
        <v>198223.66013517708</v>
      </c>
      <c r="F113" s="413">
        <v>309969.858977027</v>
      </c>
      <c r="G113" s="413">
        <v>1936.4642844415998</v>
      </c>
      <c r="I113" t="s">
        <v>1532</v>
      </c>
      <c r="J113" s="642">
        <v>3638954</v>
      </c>
      <c r="K113" s="642">
        <f t="shared" si="9"/>
        <v>151623.08333333334</v>
      </c>
      <c r="L113" s="642">
        <v>72982</v>
      </c>
      <c r="M113" s="642">
        <f t="shared" si="10"/>
        <v>3040.9166666666665</v>
      </c>
      <c r="N113" s="642">
        <v>48</v>
      </c>
      <c r="O113" s="642">
        <f t="shared" si="11"/>
        <v>2</v>
      </c>
      <c r="Q113" t="s">
        <v>1533</v>
      </c>
      <c r="R113" s="750">
        <f t="shared" si="14"/>
        <v>1.307344869774185</v>
      </c>
      <c r="S113" s="750">
        <f t="shared" si="15"/>
        <v>101.93303301428638</v>
      </c>
      <c r="T113" s="750">
        <f t="shared" si="16"/>
        <v>968.23214222079991</v>
      </c>
    </row>
    <row r="114" spans="1:20" ht="15">
      <c r="A114" s="751">
        <f t="shared" si="17"/>
        <v>44855</v>
      </c>
      <c r="B114" s="749">
        <f t="shared" si="12"/>
        <v>10</v>
      </c>
      <c r="C114" s="749">
        <f t="shared" si="13"/>
        <v>21</v>
      </c>
      <c r="D114" t="s">
        <v>1531</v>
      </c>
      <c r="E114" s="413">
        <v>282577.47967054963</v>
      </c>
      <c r="F114" s="413">
        <v>157096.10868926835</v>
      </c>
      <c r="G114" s="413">
        <v>2244.4642843118008</v>
      </c>
      <c r="I114" t="s">
        <v>1532</v>
      </c>
      <c r="J114" s="642">
        <v>3632332</v>
      </c>
      <c r="K114" s="642">
        <f t="shared" si="9"/>
        <v>151347.16666666666</v>
      </c>
      <c r="L114" s="642">
        <v>72901</v>
      </c>
      <c r="M114" s="642">
        <f t="shared" si="10"/>
        <v>3037.5416666666665</v>
      </c>
      <c r="N114" s="642">
        <v>48</v>
      </c>
      <c r="O114" s="642">
        <f t="shared" si="11"/>
        <v>2</v>
      </c>
      <c r="Q114" t="s">
        <v>1533</v>
      </c>
      <c r="R114" s="750">
        <f t="shared" si="14"/>
        <v>1.8670813989726687</v>
      </c>
      <c r="S114" s="750">
        <f t="shared" si="15"/>
        <v>51.718174079127046</v>
      </c>
      <c r="T114" s="750">
        <f t="shared" si="16"/>
        <v>1122.2321421559004</v>
      </c>
    </row>
    <row r="115" spans="1:20" ht="15">
      <c r="A115" s="751">
        <f t="shared" si="17"/>
        <v>44856</v>
      </c>
      <c r="B115" s="749">
        <f t="shared" si="12"/>
        <v>10</v>
      </c>
      <c r="C115" s="749">
        <f t="shared" si="13"/>
        <v>22</v>
      </c>
      <c r="D115" t="s">
        <v>1531</v>
      </c>
      <c r="E115" s="413">
        <v>320923.76662670053</v>
      </c>
      <c r="F115" s="413">
        <v>231037.88183812</v>
      </c>
      <c r="G115" s="413">
        <v>2278.4642847011005</v>
      </c>
      <c r="I115" t="s">
        <v>1532</v>
      </c>
      <c r="J115" s="642">
        <v>3623372</v>
      </c>
      <c r="K115" s="642">
        <f t="shared" si="9"/>
        <v>150973.83333333334</v>
      </c>
      <c r="L115" s="642">
        <v>72664</v>
      </c>
      <c r="M115" s="642">
        <f t="shared" si="10"/>
        <v>3027.6666666666665</v>
      </c>
      <c r="N115" s="642">
        <v>48</v>
      </c>
      <c r="O115" s="642">
        <f t="shared" si="11"/>
        <v>2</v>
      </c>
      <c r="Q115" t="s">
        <v>1533</v>
      </c>
      <c r="R115" s="750">
        <f t="shared" si="14"/>
        <v>2.1256913171048439</v>
      </c>
      <c r="S115" s="750">
        <f t="shared" si="15"/>
        <v>76.308889740653967</v>
      </c>
      <c r="T115" s="750">
        <f t="shared" si="16"/>
        <v>1139.2321423505502</v>
      </c>
    </row>
    <row r="116" spans="1:20" ht="15">
      <c r="A116" s="751">
        <f t="shared" si="17"/>
        <v>44857</v>
      </c>
      <c r="B116" s="749">
        <f t="shared" si="12"/>
        <v>10</v>
      </c>
      <c r="C116" s="749">
        <f t="shared" si="13"/>
        <v>23</v>
      </c>
      <c r="D116" t="s">
        <v>1531</v>
      </c>
      <c r="E116" s="413">
        <v>344522.83114670397</v>
      </c>
      <c r="F116" s="413">
        <v>225480.48954616184</v>
      </c>
      <c r="G116" s="413">
        <v>2393.4642845718004</v>
      </c>
      <c r="I116" t="s">
        <v>1532</v>
      </c>
      <c r="J116" s="642">
        <v>3631747</v>
      </c>
      <c r="K116" s="642">
        <f t="shared" si="9"/>
        <v>151322.79166666666</v>
      </c>
      <c r="L116" s="642">
        <v>72912</v>
      </c>
      <c r="M116" s="642">
        <f t="shared" si="10"/>
        <v>3038</v>
      </c>
      <c r="N116" s="642">
        <v>48</v>
      </c>
      <c r="O116" s="642">
        <f t="shared" si="11"/>
        <v>2</v>
      </c>
      <c r="Q116" t="s">
        <v>1533</v>
      </c>
      <c r="R116" s="750">
        <f t="shared" si="14"/>
        <v>2.276741179250894</v>
      </c>
      <c r="S116" s="750">
        <f t="shared" si="15"/>
        <v>74.22004264192293</v>
      </c>
      <c r="T116" s="750">
        <f t="shared" si="16"/>
        <v>1196.7321422859002</v>
      </c>
    </row>
    <row r="117" spans="1:20" ht="15">
      <c r="A117" s="751">
        <f t="shared" si="17"/>
        <v>44858</v>
      </c>
      <c r="B117" s="749">
        <f t="shared" si="12"/>
        <v>10</v>
      </c>
      <c r="C117" s="749">
        <f t="shared" si="13"/>
        <v>24</v>
      </c>
      <c r="D117" t="s">
        <v>1531</v>
      </c>
      <c r="E117" s="413">
        <v>434053.06857575261</v>
      </c>
      <c r="F117" s="413">
        <v>172708.56450952537</v>
      </c>
      <c r="G117" s="413">
        <v>2611.4642844415994</v>
      </c>
      <c r="I117" t="s">
        <v>1532</v>
      </c>
      <c r="J117" s="642">
        <v>3636703</v>
      </c>
      <c r="K117" s="642">
        <f t="shared" si="9"/>
        <v>151529.29166666666</v>
      </c>
      <c r="L117" s="642">
        <v>73017</v>
      </c>
      <c r="M117" s="642">
        <f t="shared" si="10"/>
        <v>3042.375</v>
      </c>
      <c r="N117" s="642">
        <v>48</v>
      </c>
      <c r="O117" s="642">
        <f t="shared" si="11"/>
        <v>2</v>
      </c>
      <c r="Q117" t="s">
        <v>1533</v>
      </c>
      <c r="R117" s="750">
        <f t="shared" si="14"/>
        <v>2.8644829247310168</v>
      </c>
      <c r="S117" s="750">
        <f t="shared" si="15"/>
        <v>56.767678050708859</v>
      </c>
      <c r="T117" s="750">
        <f t="shared" si="16"/>
        <v>1305.7321422207997</v>
      </c>
    </row>
    <row r="118" spans="1:20" ht="15">
      <c r="A118" s="751">
        <f t="shared" si="17"/>
        <v>44859</v>
      </c>
      <c r="B118" s="749">
        <f t="shared" si="12"/>
        <v>10</v>
      </c>
      <c r="C118" s="749">
        <f t="shared" si="13"/>
        <v>25</v>
      </c>
      <c r="D118" t="s">
        <v>1531</v>
      </c>
      <c r="E118" s="413">
        <v>388713.53936136671</v>
      </c>
      <c r="F118" s="413">
        <v>294350.3140460162</v>
      </c>
      <c r="G118" s="413">
        <v>2719.4642848311996</v>
      </c>
      <c r="I118" t="s">
        <v>1532</v>
      </c>
      <c r="J118" s="642">
        <v>3638707</v>
      </c>
      <c r="K118" s="642">
        <f t="shared" si="9"/>
        <v>151612.79166666666</v>
      </c>
      <c r="L118" s="642">
        <v>73071</v>
      </c>
      <c r="M118" s="642">
        <f t="shared" si="10"/>
        <v>3044.625</v>
      </c>
      <c r="N118" s="642">
        <v>48</v>
      </c>
      <c r="O118" s="642">
        <f t="shared" si="11"/>
        <v>2</v>
      </c>
      <c r="Q118" t="s">
        <v>1533</v>
      </c>
      <c r="R118" s="750">
        <f t="shared" si="14"/>
        <v>2.5638571461436168</v>
      </c>
      <c r="S118" s="750">
        <f t="shared" si="15"/>
        <v>96.678676042539294</v>
      </c>
      <c r="T118" s="750">
        <f t="shared" si="16"/>
        <v>1359.7321424155998</v>
      </c>
    </row>
    <row r="119" spans="1:20" ht="15">
      <c r="A119" s="751">
        <f t="shared" si="17"/>
        <v>44860</v>
      </c>
      <c r="B119" s="749">
        <f t="shared" si="12"/>
        <v>10</v>
      </c>
      <c r="C119" s="749">
        <f t="shared" si="13"/>
        <v>26</v>
      </c>
      <c r="D119" t="s">
        <v>1531</v>
      </c>
      <c r="E119" s="413">
        <v>382058.25123675732</v>
      </c>
      <c r="F119" s="413">
        <v>209251.42167074664</v>
      </c>
      <c r="G119" s="413">
        <v>2450.9411752865003</v>
      </c>
      <c r="I119" t="s">
        <v>1532</v>
      </c>
      <c r="J119" s="642">
        <v>3639358</v>
      </c>
      <c r="K119" s="642">
        <f t="shared" si="9"/>
        <v>151639.91666666666</v>
      </c>
      <c r="L119" s="642">
        <v>73335</v>
      </c>
      <c r="M119" s="642">
        <f t="shared" si="10"/>
        <v>3055.625</v>
      </c>
      <c r="N119" s="642">
        <v>48</v>
      </c>
      <c r="O119" s="642">
        <f t="shared" si="11"/>
        <v>2</v>
      </c>
      <c r="Q119" t="s">
        <v>1533</v>
      </c>
      <c r="R119" s="750">
        <f t="shared" si="14"/>
        <v>2.5195097678442671</v>
      </c>
      <c r="S119" s="750">
        <f t="shared" si="15"/>
        <v>68.480727075719912</v>
      </c>
      <c r="T119" s="750">
        <f t="shared" si="16"/>
        <v>1225.4705876432502</v>
      </c>
    </row>
    <row r="120" spans="1:20" ht="15">
      <c r="A120" s="751">
        <f t="shared" si="17"/>
        <v>44861</v>
      </c>
      <c r="B120" s="749">
        <f t="shared" si="12"/>
        <v>10</v>
      </c>
      <c r="C120" s="749">
        <f t="shared" si="13"/>
        <v>27</v>
      </c>
      <c r="D120" t="s">
        <v>1531</v>
      </c>
      <c r="E120" s="413">
        <v>358487.39413476543</v>
      </c>
      <c r="F120" s="413">
        <v>272564.48062581947</v>
      </c>
      <c r="G120" s="413">
        <v>2473.9411744715003</v>
      </c>
      <c r="I120" t="s">
        <v>1532</v>
      </c>
      <c r="J120" s="642">
        <v>3638681</v>
      </c>
      <c r="K120" s="642">
        <f t="shared" si="9"/>
        <v>151611.70833333334</v>
      </c>
      <c r="L120" s="642">
        <v>73384</v>
      </c>
      <c r="M120" s="642">
        <f t="shared" si="10"/>
        <v>3057.6666666666665</v>
      </c>
      <c r="N120" s="642">
        <v>48</v>
      </c>
      <c r="O120" s="642">
        <f t="shared" si="11"/>
        <v>2</v>
      </c>
      <c r="Q120" t="s">
        <v>1533</v>
      </c>
      <c r="R120" s="750">
        <f t="shared" si="14"/>
        <v>2.364509958205836</v>
      </c>
      <c r="S120" s="750">
        <f t="shared" si="15"/>
        <v>89.141332375172624</v>
      </c>
      <c r="T120" s="750">
        <f t="shared" si="16"/>
        <v>1236.9705872357501</v>
      </c>
    </row>
    <row r="121" spans="1:20" ht="15">
      <c r="A121" s="751">
        <f t="shared" si="17"/>
        <v>44862</v>
      </c>
      <c r="B121" s="749">
        <f t="shared" si="12"/>
        <v>10</v>
      </c>
      <c r="C121" s="749">
        <f t="shared" si="13"/>
        <v>28</v>
      </c>
      <c r="D121" t="s">
        <v>1531</v>
      </c>
      <c r="E121" s="413">
        <v>306567.18591458496</v>
      </c>
      <c r="F121" s="413">
        <v>148504.53329577419</v>
      </c>
      <c r="G121" s="413">
        <v>2357.9411746752994</v>
      </c>
      <c r="I121" t="s">
        <v>1532</v>
      </c>
      <c r="J121" s="642">
        <v>3639247</v>
      </c>
      <c r="K121" s="642">
        <f t="shared" si="9"/>
        <v>151635.29166666666</v>
      </c>
      <c r="L121" s="642">
        <v>73543</v>
      </c>
      <c r="M121" s="642">
        <f t="shared" si="10"/>
        <v>3064.2916666666665</v>
      </c>
      <c r="N121" s="642">
        <v>48</v>
      </c>
      <c r="O121" s="642">
        <f t="shared" si="11"/>
        <v>2</v>
      </c>
      <c r="Q121" t="s">
        <v>1533</v>
      </c>
      <c r="R121" s="750">
        <f t="shared" si="14"/>
        <v>2.0217403385782937</v>
      </c>
      <c r="S121" s="750">
        <f t="shared" si="15"/>
        <v>48.462923719437349</v>
      </c>
      <c r="T121" s="750">
        <f t="shared" si="16"/>
        <v>1178.9705873376497</v>
      </c>
    </row>
    <row r="122" spans="1:20" ht="15">
      <c r="A122" s="751">
        <f t="shared" si="17"/>
        <v>44863</v>
      </c>
      <c r="B122" s="749">
        <f t="shared" si="12"/>
        <v>10</v>
      </c>
      <c r="C122" s="749">
        <f t="shared" si="13"/>
        <v>29</v>
      </c>
      <c r="D122" t="s">
        <v>1531</v>
      </c>
      <c r="E122" s="413">
        <v>294458.40451754601</v>
      </c>
      <c r="F122" s="413">
        <v>410215.83116421924</v>
      </c>
      <c r="G122" s="413">
        <v>2245.9411744716999</v>
      </c>
      <c r="I122" t="s">
        <v>1532</v>
      </c>
      <c r="J122" s="642">
        <v>3639064</v>
      </c>
      <c r="K122" s="642">
        <f t="shared" si="9"/>
        <v>151627.66666666666</v>
      </c>
      <c r="L122" s="642">
        <v>73599</v>
      </c>
      <c r="M122" s="642">
        <f t="shared" si="10"/>
        <v>3066.625</v>
      </c>
      <c r="N122" s="642">
        <v>48</v>
      </c>
      <c r="O122" s="642">
        <f t="shared" si="11"/>
        <v>2</v>
      </c>
      <c r="Q122" t="s">
        <v>1533</v>
      </c>
      <c r="R122" s="750">
        <f t="shared" si="14"/>
        <v>1.9419833529778825</v>
      </c>
      <c r="S122" s="750">
        <f t="shared" si="15"/>
        <v>133.76784939932963</v>
      </c>
      <c r="T122" s="750">
        <f t="shared" si="16"/>
        <v>1122.97058723585</v>
      </c>
    </row>
    <row r="123" spans="1:20" ht="15">
      <c r="A123" s="751">
        <f t="shared" si="17"/>
        <v>44864</v>
      </c>
      <c r="B123" s="749">
        <f t="shared" si="12"/>
        <v>10</v>
      </c>
      <c r="C123" s="749">
        <f t="shared" si="13"/>
        <v>30</v>
      </c>
      <c r="D123" t="s">
        <v>1531</v>
      </c>
      <c r="E123" s="413">
        <v>284639.55288254248</v>
      </c>
      <c r="F123" s="413">
        <v>216813.99231726475</v>
      </c>
      <c r="G123" s="413">
        <v>2001.9411752864009</v>
      </c>
      <c r="I123" t="s">
        <v>1532</v>
      </c>
      <c r="J123" s="642">
        <v>3639434</v>
      </c>
      <c r="K123" s="642">
        <f t="shared" si="9"/>
        <v>151643.08333333334</v>
      </c>
      <c r="L123" s="642">
        <v>73592</v>
      </c>
      <c r="M123" s="642">
        <f t="shared" si="10"/>
        <v>3066.3333333333335</v>
      </c>
      <c r="N123" s="642">
        <v>48</v>
      </c>
      <c r="O123" s="642">
        <f t="shared" si="11"/>
        <v>2</v>
      </c>
      <c r="Q123" t="s">
        <v>1533</v>
      </c>
      <c r="R123" s="750">
        <f t="shared" si="14"/>
        <v>1.8770361735316587</v>
      </c>
      <c r="S123" s="750">
        <f t="shared" si="15"/>
        <v>70.707900527426261</v>
      </c>
      <c r="T123" s="750">
        <f t="shared" si="16"/>
        <v>1000.9705876432005</v>
      </c>
    </row>
    <row r="124" spans="1:20" ht="15">
      <c r="A124" s="751">
        <f t="shared" si="17"/>
        <v>44865</v>
      </c>
      <c r="B124" s="749">
        <f t="shared" si="12"/>
        <v>10</v>
      </c>
      <c r="C124" s="749">
        <f t="shared" si="13"/>
        <v>31</v>
      </c>
      <c r="D124" t="s">
        <v>1531</v>
      </c>
      <c r="E124" s="413">
        <v>244142.00390157555</v>
      </c>
      <c r="F124" s="413">
        <v>127540.59140674249</v>
      </c>
      <c r="G124" s="413">
        <v>3054.2411727210992</v>
      </c>
      <c r="I124" t="s">
        <v>1532</v>
      </c>
      <c r="J124" s="642">
        <v>3634881</v>
      </c>
      <c r="K124" s="642">
        <f t="shared" si="9"/>
        <v>151453.375</v>
      </c>
      <c r="L124" s="642">
        <v>73600</v>
      </c>
      <c r="M124" s="642">
        <f t="shared" si="10"/>
        <v>3066.6666666666665</v>
      </c>
      <c r="N124" s="642">
        <v>72</v>
      </c>
      <c r="O124" s="642">
        <f t="shared" si="11"/>
        <v>3</v>
      </c>
      <c r="Q124" t="s">
        <v>1533</v>
      </c>
      <c r="R124" s="750">
        <f t="shared" si="14"/>
        <v>1.6119944761982066</v>
      </c>
      <c r="S124" s="750">
        <f t="shared" si="15"/>
        <v>41.589323284807335</v>
      </c>
      <c r="T124" s="750">
        <f t="shared" si="16"/>
        <v>1018.0803909070331</v>
      </c>
    </row>
    <row r="125" spans="1:20" ht="15">
      <c r="A125" s="751">
        <f t="shared" si="17"/>
        <v>44866</v>
      </c>
      <c r="B125" s="749">
        <f t="shared" si="12"/>
        <v>11</v>
      </c>
      <c r="C125" s="749">
        <f t="shared" si="13"/>
        <v>1</v>
      </c>
      <c r="D125" t="s">
        <v>1531</v>
      </c>
      <c r="E125" s="413">
        <v>366483.54412855039</v>
      </c>
      <c r="F125" s="413">
        <v>189413.03228743974</v>
      </c>
      <c r="G125" s="413">
        <v>3360.2411733362005</v>
      </c>
      <c r="I125" t="s">
        <v>1532</v>
      </c>
      <c r="J125" s="642">
        <v>3638625</v>
      </c>
      <c r="K125" s="642">
        <f t="shared" si="9"/>
        <v>151609.375</v>
      </c>
      <c r="L125" s="642">
        <v>73680</v>
      </c>
      <c r="M125" s="642">
        <f t="shared" si="10"/>
        <v>3070</v>
      </c>
      <c r="N125" s="642">
        <v>72</v>
      </c>
      <c r="O125" s="642">
        <f t="shared" si="11"/>
        <v>3</v>
      </c>
      <c r="Q125" t="s">
        <v>1533</v>
      </c>
      <c r="R125" s="750">
        <f t="shared" si="14"/>
        <v>2.4172881401862543</v>
      </c>
      <c r="S125" s="750">
        <f t="shared" si="15"/>
        <v>61.698056119687209</v>
      </c>
      <c r="T125" s="750">
        <f t="shared" si="16"/>
        <v>1120.0803911120668</v>
      </c>
    </row>
    <row r="126" spans="1:20" ht="15">
      <c r="A126" s="751">
        <f t="shared" si="17"/>
        <v>44867</v>
      </c>
      <c r="B126" s="749">
        <f t="shared" si="12"/>
        <v>11</v>
      </c>
      <c r="C126" s="749">
        <f t="shared" si="13"/>
        <v>2</v>
      </c>
      <c r="D126" t="s">
        <v>1531</v>
      </c>
      <c r="E126" s="413">
        <v>469967.42484732752</v>
      </c>
      <c r="F126" s="413">
        <v>302102.84935040568</v>
      </c>
      <c r="G126" s="413">
        <v>3550.2411739509002</v>
      </c>
      <c r="I126" t="s">
        <v>1532</v>
      </c>
      <c r="J126" s="642">
        <v>3640013</v>
      </c>
      <c r="K126" s="642">
        <f t="shared" si="9"/>
        <v>151667.20833333334</v>
      </c>
      <c r="L126" s="642">
        <v>73808</v>
      </c>
      <c r="M126" s="642">
        <f t="shared" si="10"/>
        <v>3075.3333333333335</v>
      </c>
      <c r="N126" s="642">
        <v>72</v>
      </c>
      <c r="O126" s="642">
        <f t="shared" si="11"/>
        <v>3</v>
      </c>
      <c r="Q126" t="s">
        <v>1533</v>
      </c>
      <c r="R126" s="750">
        <f t="shared" si="14"/>
        <v>3.0986752509773616</v>
      </c>
      <c r="S126" s="750">
        <f t="shared" si="15"/>
        <v>98.234180365403972</v>
      </c>
      <c r="T126" s="750">
        <f t="shared" si="16"/>
        <v>1183.4137246503001</v>
      </c>
    </row>
    <row r="127" spans="1:20" ht="15">
      <c r="A127" s="751">
        <f t="shared" si="17"/>
        <v>44868</v>
      </c>
      <c r="B127" s="749">
        <f t="shared" si="12"/>
        <v>11</v>
      </c>
      <c r="C127" s="749">
        <f t="shared" si="13"/>
        <v>3</v>
      </c>
      <c r="D127" t="s">
        <v>1531</v>
      </c>
      <c r="E127" s="413">
        <v>502300.20218858024</v>
      </c>
      <c r="F127" s="413">
        <v>218425.05450851514</v>
      </c>
      <c r="G127" s="413">
        <v>3647.241173336</v>
      </c>
      <c r="I127" t="s">
        <v>1532</v>
      </c>
      <c r="J127" s="642">
        <v>3640427</v>
      </c>
      <c r="K127" s="642">
        <f t="shared" si="9"/>
        <v>151684.45833333334</v>
      </c>
      <c r="L127" s="642">
        <v>73909</v>
      </c>
      <c r="M127" s="642">
        <f t="shared" si="10"/>
        <v>3079.5416666666665</v>
      </c>
      <c r="N127" s="642">
        <v>72</v>
      </c>
      <c r="O127" s="642">
        <f t="shared" si="11"/>
        <v>3</v>
      </c>
      <c r="Q127" t="s">
        <v>1533</v>
      </c>
      <c r="R127" s="750">
        <f t="shared" si="14"/>
        <v>3.3114810027850923</v>
      </c>
      <c r="S127" s="750">
        <f t="shared" si="15"/>
        <v>70.927780218976892</v>
      </c>
      <c r="T127" s="750">
        <f t="shared" si="16"/>
        <v>1215.7470577786667</v>
      </c>
    </row>
    <row r="128" spans="1:20" ht="15">
      <c r="A128" s="751">
        <f t="shared" si="17"/>
        <v>44869</v>
      </c>
      <c r="B128" s="749">
        <f t="shared" si="12"/>
        <v>11</v>
      </c>
      <c r="C128" s="749">
        <f t="shared" si="13"/>
        <v>4</v>
      </c>
      <c r="D128" t="s">
        <v>1531</v>
      </c>
      <c r="E128" s="413">
        <v>520539.35600195505</v>
      </c>
      <c r="F128" s="413">
        <v>232895.40272245678</v>
      </c>
      <c r="G128" s="413">
        <v>3647.2411737457005</v>
      </c>
      <c r="I128" t="s">
        <v>1532</v>
      </c>
      <c r="J128" s="642">
        <v>3640132</v>
      </c>
      <c r="K128" s="642">
        <f t="shared" si="9"/>
        <v>151672.16666666666</v>
      </c>
      <c r="L128" s="642">
        <v>73959</v>
      </c>
      <c r="M128" s="642">
        <f t="shared" si="10"/>
        <v>3081.625</v>
      </c>
      <c r="N128" s="642">
        <v>72</v>
      </c>
      <c r="O128" s="642">
        <f t="shared" si="11"/>
        <v>3</v>
      </c>
      <c r="Q128" t="s">
        <v>1533</v>
      </c>
      <c r="R128" s="750">
        <f t="shared" si="14"/>
        <v>3.4320031647332905</v>
      </c>
      <c r="S128" s="750">
        <f t="shared" si="15"/>
        <v>75.575517047809768</v>
      </c>
      <c r="T128" s="750">
        <f t="shared" si="16"/>
        <v>1215.7470579152334</v>
      </c>
    </row>
    <row r="129" spans="1:22" ht="15">
      <c r="A129" s="751">
        <f t="shared" si="17"/>
        <v>44870</v>
      </c>
      <c r="B129" s="749">
        <f t="shared" si="12"/>
        <v>11</v>
      </c>
      <c r="C129" s="749">
        <f t="shared" si="13"/>
        <v>5</v>
      </c>
      <c r="D129" t="s">
        <v>1531</v>
      </c>
      <c r="E129" s="413">
        <v>444974.8094889549</v>
      </c>
      <c r="F129" s="413">
        <v>171014.90714990941</v>
      </c>
      <c r="G129" s="413">
        <v>3678.2411731308007</v>
      </c>
      <c r="I129" t="s">
        <v>1532</v>
      </c>
      <c r="J129" s="642">
        <v>3639701</v>
      </c>
      <c r="K129" s="642">
        <f t="shared" si="9"/>
        <v>151654.20833333334</v>
      </c>
      <c r="L129" s="642">
        <v>73751</v>
      </c>
      <c r="M129" s="642">
        <f t="shared" si="10"/>
        <v>3072.9583333333335</v>
      </c>
      <c r="N129" s="642">
        <v>72</v>
      </c>
      <c r="O129" s="642">
        <f t="shared" si="11"/>
        <v>3</v>
      </c>
      <c r="Q129" t="s">
        <v>1533</v>
      </c>
      <c r="R129" s="750">
        <f t="shared" si="14"/>
        <v>2.9341408614979407</v>
      </c>
      <c r="S129" s="750">
        <f t="shared" si="15"/>
        <v>55.651554170083465</v>
      </c>
      <c r="T129" s="750">
        <f t="shared" si="16"/>
        <v>1226.0803910436002</v>
      </c>
    </row>
    <row r="130" spans="1:22" ht="15">
      <c r="A130" s="751">
        <f t="shared" si="17"/>
        <v>44871</v>
      </c>
      <c r="B130" s="749">
        <f t="shared" si="12"/>
        <v>11</v>
      </c>
      <c r="C130" s="749">
        <f t="shared" si="13"/>
        <v>6</v>
      </c>
      <c r="D130" t="s">
        <v>1531</v>
      </c>
      <c r="E130" s="413">
        <v>626100.95783793775</v>
      </c>
      <c r="F130" s="413">
        <v>188026.86404962302</v>
      </c>
      <c r="G130" s="413">
        <v>3796.2411737454004</v>
      </c>
      <c r="I130" t="s">
        <v>1532</v>
      </c>
      <c r="J130" s="642">
        <v>3640842</v>
      </c>
      <c r="K130" s="642">
        <f t="shared" ref="K130:K193" si="18">J130/$U$1</f>
        <v>151701.75</v>
      </c>
      <c r="L130" s="642">
        <v>73966</v>
      </c>
      <c r="M130" s="642">
        <f t="shared" ref="M130:M193" si="19">L130/$U$1</f>
        <v>3081.9166666666665</v>
      </c>
      <c r="N130" s="642">
        <v>72</v>
      </c>
      <c r="O130" s="642">
        <f t="shared" ref="O130:O193" si="20">N130/$U$1</f>
        <v>3</v>
      </c>
      <c r="Q130" t="s">
        <v>1533</v>
      </c>
      <c r="R130" s="750">
        <f t="shared" si="14"/>
        <v>4.1271834889046284</v>
      </c>
      <c r="S130" s="750">
        <f t="shared" si="15"/>
        <v>61.009717129369612</v>
      </c>
      <c r="T130" s="750">
        <f t="shared" si="16"/>
        <v>1265.4137245818001</v>
      </c>
    </row>
    <row r="131" spans="1:22" ht="15">
      <c r="A131" s="751">
        <f t="shared" si="17"/>
        <v>44872</v>
      </c>
      <c r="B131" s="749">
        <f t="shared" ref="B131:B194" si="21">MONTH(A131)</f>
        <v>11</v>
      </c>
      <c r="C131" s="749">
        <f t="shared" ref="C131:C194" si="22">DAY(A131)</f>
        <v>7</v>
      </c>
      <c r="D131" t="s">
        <v>1531</v>
      </c>
      <c r="E131" s="413">
        <v>632677.63857817277</v>
      </c>
      <c r="F131" s="413">
        <v>570514.6253759152</v>
      </c>
      <c r="G131" s="413">
        <v>4050.2411723115001</v>
      </c>
      <c r="I131" t="s">
        <v>1532</v>
      </c>
      <c r="J131" s="642">
        <v>3640191</v>
      </c>
      <c r="K131" s="642">
        <f t="shared" si="18"/>
        <v>151674.625</v>
      </c>
      <c r="L131" s="642">
        <v>73984</v>
      </c>
      <c r="M131" s="642">
        <f t="shared" si="19"/>
        <v>3082.6666666666665</v>
      </c>
      <c r="N131" s="642">
        <v>72</v>
      </c>
      <c r="O131" s="642">
        <f t="shared" si="20"/>
        <v>3</v>
      </c>
      <c r="Q131" t="s">
        <v>1533</v>
      </c>
      <c r="R131" s="750">
        <f t="shared" ref="R131:R194" si="23">E131/K131</f>
        <v>4.171282035991009</v>
      </c>
      <c r="S131" s="750">
        <f t="shared" ref="S131:S194" si="24">F131/M131</f>
        <v>185.07178591346732</v>
      </c>
      <c r="T131" s="750">
        <f t="shared" ref="T131:T194" si="25">G131/O131</f>
        <v>1350.0803907705001</v>
      </c>
    </row>
    <row r="132" spans="1:22" ht="15">
      <c r="A132" s="751">
        <f t="shared" ref="A132:A195" si="26">A131+1</f>
        <v>44873</v>
      </c>
      <c r="B132" s="749">
        <f t="shared" si="21"/>
        <v>11</v>
      </c>
      <c r="C132" s="749">
        <f t="shared" si="22"/>
        <v>8</v>
      </c>
      <c r="D132" t="s">
        <v>1531</v>
      </c>
      <c r="E132" s="413">
        <v>715596.79489788855</v>
      </c>
      <c r="F132" s="413">
        <v>1393367.9719124988</v>
      </c>
      <c r="G132" s="413">
        <v>4101.2411739510999</v>
      </c>
      <c r="I132" t="s">
        <v>1532</v>
      </c>
      <c r="J132" s="642">
        <v>3641190</v>
      </c>
      <c r="K132" s="642">
        <f t="shared" si="18"/>
        <v>151716.25</v>
      </c>
      <c r="L132" s="642">
        <v>73932</v>
      </c>
      <c r="M132" s="642">
        <f t="shared" si="19"/>
        <v>3080.5</v>
      </c>
      <c r="N132" s="642">
        <v>72</v>
      </c>
      <c r="O132" s="642">
        <f t="shared" si="20"/>
        <v>3</v>
      </c>
      <c r="Q132" t="s">
        <v>1533</v>
      </c>
      <c r="R132" s="750">
        <f t="shared" si="23"/>
        <v>4.7166786346082805</v>
      </c>
      <c r="S132" s="750">
        <f t="shared" si="24"/>
        <v>452.31877030108711</v>
      </c>
      <c r="T132" s="750">
        <f t="shared" si="25"/>
        <v>1367.0803913170332</v>
      </c>
    </row>
    <row r="133" spans="1:22" ht="15">
      <c r="A133" s="751">
        <f t="shared" si="26"/>
        <v>44874</v>
      </c>
      <c r="B133" s="749">
        <f t="shared" si="21"/>
        <v>11</v>
      </c>
      <c r="C133" s="749">
        <f t="shared" si="22"/>
        <v>9</v>
      </c>
      <c r="D133" t="s">
        <v>1531</v>
      </c>
      <c r="E133" s="413">
        <v>663890.70436362468</v>
      </c>
      <c r="F133" s="413">
        <v>401670.55941713747</v>
      </c>
      <c r="G133" s="413">
        <v>4080.2411727210006</v>
      </c>
      <c r="I133" t="s">
        <v>1532</v>
      </c>
      <c r="J133" s="642">
        <v>3641476</v>
      </c>
      <c r="K133" s="642">
        <f t="shared" si="18"/>
        <v>151728.16666666666</v>
      </c>
      <c r="L133" s="642">
        <v>74070</v>
      </c>
      <c r="M133" s="642">
        <f t="shared" si="19"/>
        <v>3086.25</v>
      </c>
      <c r="N133" s="642">
        <v>72</v>
      </c>
      <c r="O133" s="642">
        <f t="shared" si="20"/>
        <v>3</v>
      </c>
      <c r="Q133" t="s">
        <v>1533</v>
      </c>
      <c r="R133" s="750">
        <f t="shared" si="23"/>
        <v>4.375527095256702</v>
      </c>
      <c r="S133" s="750">
        <f t="shared" si="24"/>
        <v>130.14841941422031</v>
      </c>
      <c r="T133" s="750">
        <f t="shared" si="25"/>
        <v>1360.0803909070003</v>
      </c>
    </row>
    <row r="134" spans="1:22" ht="15">
      <c r="A134" s="783">
        <f t="shared" si="26"/>
        <v>44875</v>
      </c>
      <c r="B134" s="784">
        <f t="shared" si="21"/>
        <v>11</v>
      </c>
      <c r="C134" s="784">
        <f t="shared" si="22"/>
        <v>10</v>
      </c>
      <c r="D134" s="49" t="s">
        <v>1531</v>
      </c>
      <c r="E134" s="785">
        <v>720780.34460963123</v>
      </c>
      <c r="F134" s="785">
        <v>317679.82611883612</v>
      </c>
      <c r="G134" s="785">
        <v>3107.9411747771001</v>
      </c>
      <c r="H134" s="49"/>
      <c r="I134" s="49" t="s">
        <v>1532</v>
      </c>
      <c r="J134" s="662">
        <v>3641597</v>
      </c>
      <c r="K134" s="662">
        <f t="shared" si="18"/>
        <v>151733.20833333334</v>
      </c>
      <c r="L134" s="662">
        <v>74096</v>
      </c>
      <c r="M134" s="662">
        <f t="shared" si="19"/>
        <v>3087.3333333333335</v>
      </c>
      <c r="N134" s="662">
        <v>48</v>
      </c>
      <c r="O134" s="662">
        <f t="shared" si="20"/>
        <v>2</v>
      </c>
      <c r="P134" s="49"/>
      <c r="Q134" s="49" t="s">
        <v>1533</v>
      </c>
      <c r="R134" s="80">
        <f t="shared" si="23"/>
        <v>4.750313741644435</v>
      </c>
      <c r="S134" s="80">
        <f t="shared" si="24"/>
        <v>102.89780591195296</v>
      </c>
      <c r="T134" s="80">
        <f t="shared" si="25"/>
        <v>1553.97058738855</v>
      </c>
      <c r="U134" s="49"/>
      <c r="V134" s="49"/>
    </row>
    <row r="135" spans="1:22" ht="15">
      <c r="A135" s="783">
        <f t="shared" si="26"/>
        <v>44876</v>
      </c>
      <c r="B135" s="784">
        <f t="shared" si="21"/>
        <v>11</v>
      </c>
      <c r="C135" s="784">
        <f t="shared" si="22"/>
        <v>11</v>
      </c>
      <c r="D135" s="49" t="s">
        <v>1531</v>
      </c>
      <c r="E135" s="785">
        <v>729545.5988916544</v>
      </c>
      <c r="F135" s="785">
        <v>395064.36157271289</v>
      </c>
      <c r="G135" s="785">
        <v>3086.9411749812998</v>
      </c>
      <c r="H135" s="49"/>
      <c r="I135" s="49" t="s">
        <v>1532</v>
      </c>
      <c r="J135" s="662">
        <v>3640417</v>
      </c>
      <c r="K135" s="662">
        <f t="shared" si="18"/>
        <v>151684.04166666666</v>
      </c>
      <c r="L135" s="662">
        <v>74127</v>
      </c>
      <c r="M135" s="662">
        <f t="shared" si="19"/>
        <v>3088.625</v>
      </c>
      <c r="N135" s="662">
        <v>48</v>
      </c>
      <c r="O135" s="662">
        <f t="shared" si="20"/>
        <v>2</v>
      </c>
      <c r="P135" s="49"/>
      <c r="Q135" s="49" t="s">
        <v>1533</v>
      </c>
      <c r="R135" s="80">
        <f t="shared" si="23"/>
        <v>4.8096397674771065</v>
      </c>
      <c r="S135" s="80">
        <f t="shared" si="24"/>
        <v>127.90946183907496</v>
      </c>
      <c r="T135" s="80">
        <f t="shared" si="25"/>
        <v>1543.4705874906499</v>
      </c>
      <c r="U135" s="49"/>
      <c r="V135" s="49"/>
    </row>
    <row r="136" spans="1:22" ht="15">
      <c r="A136" s="783">
        <f t="shared" si="26"/>
        <v>44877</v>
      </c>
      <c r="B136" s="784">
        <f t="shared" si="21"/>
        <v>11</v>
      </c>
      <c r="C136" s="784">
        <f t="shared" si="22"/>
        <v>12</v>
      </c>
      <c r="D136" s="49" t="s">
        <v>1531</v>
      </c>
      <c r="E136" s="785">
        <v>607346.08438863955</v>
      </c>
      <c r="F136" s="785">
        <v>445332.40300774912</v>
      </c>
      <c r="G136" s="785">
        <v>2916.9411746759001</v>
      </c>
      <c r="H136" s="49"/>
      <c r="I136" s="49" t="s">
        <v>1532</v>
      </c>
      <c r="J136" s="662">
        <v>3621119</v>
      </c>
      <c r="K136" s="662">
        <f t="shared" si="18"/>
        <v>150879.95833333334</v>
      </c>
      <c r="L136" s="662">
        <v>73636</v>
      </c>
      <c r="M136" s="662">
        <f t="shared" si="19"/>
        <v>3068.1666666666665</v>
      </c>
      <c r="N136" s="662">
        <v>48</v>
      </c>
      <c r="O136" s="662">
        <f t="shared" si="20"/>
        <v>2</v>
      </c>
      <c r="P136" s="49"/>
      <c r="Q136" s="49" t="s">
        <v>1533</v>
      </c>
      <c r="R136" s="80">
        <f t="shared" si="23"/>
        <v>4.0253595712616317</v>
      </c>
      <c r="S136" s="80">
        <f t="shared" si="24"/>
        <v>145.14609256594574</v>
      </c>
      <c r="T136" s="80">
        <f t="shared" si="25"/>
        <v>1458.4705873379501</v>
      </c>
      <c r="U136" s="49"/>
      <c r="V136" s="49"/>
    </row>
    <row r="137" spans="1:22" ht="15">
      <c r="A137" s="783">
        <f t="shared" si="26"/>
        <v>44878</v>
      </c>
      <c r="B137" s="784">
        <f t="shared" si="21"/>
        <v>11</v>
      </c>
      <c r="C137" s="784">
        <f t="shared" si="22"/>
        <v>13</v>
      </c>
      <c r="D137" s="49" t="s">
        <v>1531</v>
      </c>
      <c r="E137" s="785">
        <v>653637.48681765317</v>
      </c>
      <c r="F137" s="785">
        <v>430971.71732638805</v>
      </c>
      <c r="G137" s="785">
        <v>3006.9411747771001</v>
      </c>
      <c r="H137" s="49"/>
      <c r="I137" s="49" t="s">
        <v>1532</v>
      </c>
      <c r="J137" s="662">
        <v>3639856</v>
      </c>
      <c r="K137" s="662">
        <f t="shared" si="18"/>
        <v>151660.66666666666</v>
      </c>
      <c r="L137" s="662">
        <v>74074</v>
      </c>
      <c r="M137" s="662">
        <f t="shared" si="19"/>
        <v>3086.4166666666665</v>
      </c>
      <c r="N137" s="662">
        <v>48</v>
      </c>
      <c r="O137" s="662">
        <f t="shared" si="20"/>
        <v>2</v>
      </c>
      <c r="P137" s="49"/>
      <c r="Q137" s="49" t="s">
        <v>1533</v>
      </c>
      <c r="R137" s="80">
        <f t="shared" si="23"/>
        <v>4.3098682155622852</v>
      </c>
      <c r="S137" s="80">
        <f t="shared" si="24"/>
        <v>139.63497604872578</v>
      </c>
      <c r="T137" s="80">
        <f t="shared" si="25"/>
        <v>1503.47058738855</v>
      </c>
      <c r="U137" s="49"/>
      <c r="V137" s="49"/>
    </row>
    <row r="138" spans="1:22" ht="15">
      <c r="A138" s="783">
        <f t="shared" si="26"/>
        <v>44879</v>
      </c>
      <c r="B138" s="784">
        <f t="shared" si="21"/>
        <v>11</v>
      </c>
      <c r="C138" s="784">
        <f t="shared" si="22"/>
        <v>14</v>
      </c>
      <c r="D138" s="49" t="s">
        <v>1531</v>
      </c>
      <c r="E138" s="785">
        <v>633828.95656465401</v>
      </c>
      <c r="F138" s="785">
        <v>294709.38742609596</v>
      </c>
      <c r="G138" s="785">
        <v>3116.9411747774002</v>
      </c>
      <c r="H138" s="49"/>
      <c r="I138" s="49" t="s">
        <v>1532</v>
      </c>
      <c r="J138" s="662">
        <v>3642997</v>
      </c>
      <c r="K138" s="662">
        <f t="shared" si="18"/>
        <v>151791.54166666666</v>
      </c>
      <c r="L138" s="662">
        <v>74169</v>
      </c>
      <c r="M138" s="662">
        <f t="shared" si="19"/>
        <v>3090.375</v>
      </c>
      <c r="N138" s="662">
        <v>48</v>
      </c>
      <c r="O138" s="662">
        <f t="shared" si="20"/>
        <v>2</v>
      </c>
      <c r="P138" s="49"/>
      <c r="Q138" s="49" t="s">
        <v>1533</v>
      </c>
      <c r="R138" s="80">
        <f t="shared" si="23"/>
        <v>4.1756539897100371</v>
      </c>
      <c r="S138" s="80">
        <f t="shared" si="24"/>
        <v>95.363633030326724</v>
      </c>
      <c r="T138" s="80">
        <f t="shared" si="25"/>
        <v>1558.4705873887001</v>
      </c>
      <c r="U138" s="49"/>
      <c r="V138" s="49"/>
    </row>
    <row r="139" spans="1:22" ht="15">
      <c r="A139" s="751">
        <f t="shared" si="26"/>
        <v>44880</v>
      </c>
      <c r="B139" s="749">
        <f t="shared" si="21"/>
        <v>11</v>
      </c>
      <c r="C139" s="749">
        <f t="shared" si="22"/>
        <v>15</v>
      </c>
      <c r="D139" t="s">
        <v>1531</v>
      </c>
      <c r="E139" s="413">
        <v>752086.89653846575</v>
      </c>
      <c r="F139" s="413">
        <v>600891.58027830801</v>
      </c>
      <c r="G139" s="413">
        <v>3249.9411748791003</v>
      </c>
      <c r="I139" t="s">
        <v>1532</v>
      </c>
      <c r="J139" s="642">
        <v>3642675</v>
      </c>
      <c r="K139" s="642">
        <f t="shared" si="18"/>
        <v>151778.125</v>
      </c>
      <c r="L139" s="642">
        <v>74223</v>
      </c>
      <c r="M139" s="642">
        <f t="shared" si="19"/>
        <v>3092.625</v>
      </c>
      <c r="N139" s="642">
        <v>48</v>
      </c>
      <c r="O139" s="642">
        <f t="shared" si="20"/>
        <v>2</v>
      </c>
      <c r="Q139" t="s">
        <v>1533</v>
      </c>
      <c r="R139" s="750">
        <f t="shared" si="23"/>
        <v>4.9551731946778608</v>
      </c>
      <c r="S139" s="750">
        <f t="shared" si="24"/>
        <v>194.29823540788425</v>
      </c>
      <c r="T139" s="750">
        <f t="shared" si="25"/>
        <v>1624.9705874395502</v>
      </c>
    </row>
    <row r="140" spans="1:22" ht="15">
      <c r="A140" s="751">
        <f t="shared" si="26"/>
        <v>44881</v>
      </c>
      <c r="B140" s="749">
        <f t="shared" si="21"/>
        <v>11</v>
      </c>
      <c r="C140" s="749">
        <f t="shared" si="22"/>
        <v>16</v>
      </c>
      <c r="D140" t="s">
        <v>1531</v>
      </c>
      <c r="E140" s="413">
        <v>763878.86206855252</v>
      </c>
      <c r="F140" s="413">
        <v>307132.7422574464</v>
      </c>
      <c r="G140" s="413">
        <v>3132.9411748791995</v>
      </c>
      <c r="I140" t="s">
        <v>1532</v>
      </c>
      <c r="J140" s="642">
        <v>3643398</v>
      </c>
      <c r="K140" s="642">
        <f t="shared" si="18"/>
        <v>151808.25</v>
      </c>
      <c r="L140" s="642">
        <v>74371</v>
      </c>
      <c r="M140" s="642">
        <f t="shared" si="19"/>
        <v>3098.7916666666665</v>
      </c>
      <c r="N140" s="642">
        <v>48</v>
      </c>
      <c r="O140" s="642">
        <f t="shared" si="20"/>
        <v>2</v>
      </c>
      <c r="Q140" t="s">
        <v>1533</v>
      </c>
      <c r="R140" s="750">
        <f t="shared" si="23"/>
        <v>5.0318665953171351</v>
      </c>
      <c r="S140" s="750">
        <f t="shared" si="24"/>
        <v>99.113711180147021</v>
      </c>
      <c r="T140" s="750">
        <f t="shared" si="25"/>
        <v>1566.4705874395997</v>
      </c>
    </row>
    <row r="141" spans="1:22" ht="15">
      <c r="A141" s="751">
        <f t="shared" si="26"/>
        <v>44882</v>
      </c>
      <c r="B141" s="749">
        <f t="shared" si="21"/>
        <v>11</v>
      </c>
      <c r="C141" s="749">
        <f t="shared" si="22"/>
        <v>17</v>
      </c>
      <c r="D141" t="s">
        <v>1531</v>
      </c>
      <c r="E141" s="413">
        <v>662689.10292516008</v>
      </c>
      <c r="F141" s="413">
        <v>363130.54911520123</v>
      </c>
      <c r="G141" s="413">
        <v>3092.9411745734005</v>
      </c>
      <c r="I141" t="s">
        <v>1532</v>
      </c>
      <c r="J141" s="642">
        <v>3644152</v>
      </c>
      <c r="K141" s="642">
        <f t="shared" si="18"/>
        <v>151839.66666666666</v>
      </c>
      <c r="L141" s="642">
        <v>74407</v>
      </c>
      <c r="M141" s="642">
        <f t="shared" si="19"/>
        <v>3100.2916666666665</v>
      </c>
      <c r="N141" s="642">
        <v>48</v>
      </c>
      <c r="O141" s="642">
        <f t="shared" si="20"/>
        <v>2</v>
      </c>
      <c r="Q141" t="s">
        <v>1533</v>
      </c>
      <c r="R141" s="750">
        <f t="shared" si="23"/>
        <v>4.3644004065153821</v>
      </c>
      <c r="S141" s="750">
        <f t="shared" si="24"/>
        <v>117.12786671636849</v>
      </c>
      <c r="T141" s="750">
        <f t="shared" si="25"/>
        <v>1546.4705872867003</v>
      </c>
    </row>
    <row r="142" spans="1:22" ht="15">
      <c r="A142" s="751">
        <f t="shared" si="26"/>
        <v>44883</v>
      </c>
      <c r="B142" s="749">
        <f t="shared" si="21"/>
        <v>11</v>
      </c>
      <c r="C142" s="749">
        <f t="shared" si="22"/>
        <v>18</v>
      </c>
      <c r="D142" t="s">
        <v>1531</v>
      </c>
      <c r="E142" s="413">
        <v>779960.82907963963</v>
      </c>
      <c r="F142" s="413">
        <v>497285.10498757748</v>
      </c>
      <c r="G142" s="413">
        <v>3029.23</v>
      </c>
      <c r="I142" t="s">
        <v>1532</v>
      </c>
      <c r="J142" s="642">
        <v>3643256</v>
      </c>
      <c r="K142" s="642">
        <f t="shared" si="18"/>
        <v>151802.33333333334</v>
      </c>
      <c r="L142" s="642">
        <v>74490</v>
      </c>
      <c r="M142" s="642">
        <f t="shared" si="19"/>
        <v>3103.75</v>
      </c>
      <c r="N142" s="642">
        <v>71</v>
      </c>
      <c r="O142" s="642">
        <f t="shared" si="20"/>
        <v>2.9583333333333335</v>
      </c>
      <c r="Q142" t="s">
        <v>1533</v>
      </c>
      <c r="R142" s="750">
        <f t="shared" si="23"/>
        <v>5.1380029012266366</v>
      </c>
      <c r="S142" s="750">
        <f t="shared" si="24"/>
        <v>160.22073459124525</v>
      </c>
      <c r="T142" s="750">
        <f t="shared" si="25"/>
        <v>1023.9650704225352</v>
      </c>
    </row>
    <row r="143" spans="1:22" ht="15">
      <c r="A143" s="751">
        <f t="shared" si="26"/>
        <v>44884</v>
      </c>
      <c r="B143" s="749">
        <f t="shared" si="21"/>
        <v>11</v>
      </c>
      <c r="C143" s="749">
        <f t="shared" si="22"/>
        <v>19</v>
      </c>
      <c r="D143" t="s">
        <v>1531</v>
      </c>
      <c r="E143" s="413">
        <v>814587.11533134559</v>
      </c>
      <c r="F143" s="413">
        <v>417790.79547224054</v>
      </c>
      <c r="G143" s="413">
        <v>7539.6491747771997</v>
      </c>
      <c r="I143" t="s">
        <v>1532</v>
      </c>
      <c r="J143" s="642">
        <v>3642616</v>
      </c>
      <c r="K143" s="642">
        <f t="shared" si="18"/>
        <v>151775.66666666666</v>
      </c>
      <c r="L143" s="642">
        <v>74508</v>
      </c>
      <c r="M143" s="642">
        <f t="shared" si="19"/>
        <v>3104.5</v>
      </c>
      <c r="N143" s="642">
        <v>72</v>
      </c>
      <c r="O143" s="642">
        <f t="shared" si="20"/>
        <v>3</v>
      </c>
      <c r="Q143" t="s">
        <v>1533</v>
      </c>
      <c r="R143" s="750">
        <f t="shared" si="23"/>
        <v>5.3670468608143969</v>
      </c>
      <c r="S143" s="750">
        <f t="shared" si="24"/>
        <v>134.57587227322935</v>
      </c>
      <c r="T143" s="750">
        <f t="shared" si="25"/>
        <v>2513.2163915923998</v>
      </c>
    </row>
    <row r="144" spans="1:22" ht="15">
      <c r="A144" s="751">
        <f t="shared" si="26"/>
        <v>44885</v>
      </c>
      <c r="B144" s="749">
        <f t="shared" si="21"/>
        <v>11</v>
      </c>
      <c r="C144" s="749">
        <f t="shared" si="22"/>
        <v>20</v>
      </c>
      <c r="D144" t="s">
        <v>1531</v>
      </c>
      <c r="E144" s="413">
        <v>827425.6637539618</v>
      </c>
      <c r="F144" s="413">
        <v>400186.31068144448</v>
      </c>
      <c r="G144" s="413">
        <v>3174.9461747775003</v>
      </c>
      <c r="I144" t="s">
        <v>1532</v>
      </c>
      <c r="J144" s="642">
        <v>3643038</v>
      </c>
      <c r="K144" s="642">
        <f t="shared" si="18"/>
        <v>151793.25</v>
      </c>
      <c r="L144" s="642">
        <v>74546</v>
      </c>
      <c r="M144" s="642">
        <f t="shared" si="19"/>
        <v>3106.0833333333335</v>
      </c>
      <c r="N144" s="642">
        <v>72</v>
      </c>
      <c r="O144" s="642">
        <f t="shared" si="20"/>
        <v>3</v>
      </c>
      <c r="Q144" t="s">
        <v>1533</v>
      </c>
      <c r="R144" s="750">
        <f t="shared" si="23"/>
        <v>5.4510043348697108</v>
      </c>
      <c r="S144" s="750">
        <f t="shared" si="24"/>
        <v>128.83952802772339</v>
      </c>
      <c r="T144" s="750">
        <f t="shared" si="25"/>
        <v>1058.3153915925002</v>
      </c>
    </row>
    <row r="145" spans="1:20" ht="15">
      <c r="A145" s="751">
        <f t="shared" si="26"/>
        <v>44886</v>
      </c>
      <c r="B145" s="749">
        <f t="shared" si="21"/>
        <v>11</v>
      </c>
      <c r="C145" s="749">
        <f t="shared" si="22"/>
        <v>21</v>
      </c>
      <c r="D145" t="s">
        <v>1531</v>
      </c>
      <c r="E145" s="413">
        <v>733595.57637913944</v>
      </c>
      <c r="F145" s="413">
        <v>575794.77097127459</v>
      </c>
      <c r="G145" s="413">
        <v>5878.9421750831989</v>
      </c>
      <c r="I145" t="s">
        <v>1532</v>
      </c>
      <c r="J145" s="642">
        <v>3643655</v>
      </c>
      <c r="K145" s="642">
        <f t="shared" si="18"/>
        <v>151818.95833333334</v>
      </c>
      <c r="L145" s="642">
        <v>74522</v>
      </c>
      <c r="M145" s="642">
        <f t="shared" si="19"/>
        <v>3105.0833333333335</v>
      </c>
      <c r="N145" s="642">
        <v>64</v>
      </c>
      <c r="O145" s="642">
        <f t="shared" si="20"/>
        <v>2.6666666666666665</v>
      </c>
      <c r="Q145" t="s">
        <v>1533</v>
      </c>
      <c r="R145" s="750">
        <f t="shared" si="23"/>
        <v>4.8320419559753454</v>
      </c>
      <c r="S145" s="750">
        <f t="shared" si="24"/>
        <v>185.43617325501984</v>
      </c>
      <c r="T145" s="750">
        <f t="shared" si="25"/>
        <v>2204.6033156561998</v>
      </c>
    </row>
    <row r="146" spans="1:20" ht="15">
      <c r="A146" s="751">
        <f t="shared" si="26"/>
        <v>44887</v>
      </c>
      <c r="B146" s="749">
        <f t="shared" si="21"/>
        <v>11</v>
      </c>
      <c r="C146" s="749">
        <f t="shared" si="22"/>
        <v>22</v>
      </c>
      <c r="D146" t="s">
        <v>1531</v>
      </c>
      <c r="E146" s="413">
        <v>631902.38632108714</v>
      </c>
      <c r="F146" s="413">
        <v>377925.95503792755</v>
      </c>
      <c r="G146" s="413">
        <v>8770.8591746753991</v>
      </c>
      <c r="I146" t="s">
        <v>1532</v>
      </c>
      <c r="J146" s="642">
        <v>3645004</v>
      </c>
      <c r="K146" s="642">
        <f t="shared" si="18"/>
        <v>151875.16666666666</v>
      </c>
      <c r="L146" s="642">
        <v>74603</v>
      </c>
      <c r="M146" s="642">
        <f t="shared" si="19"/>
        <v>3108.4583333333335</v>
      </c>
      <c r="N146" s="642">
        <v>72</v>
      </c>
      <c r="O146" s="642">
        <f t="shared" si="20"/>
        <v>3</v>
      </c>
      <c r="Q146" t="s">
        <v>1533</v>
      </c>
      <c r="R146" s="750">
        <f t="shared" si="23"/>
        <v>4.1606695827236653</v>
      </c>
      <c r="S146" s="750">
        <f t="shared" si="24"/>
        <v>121.57986838210608</v>
      </c>
      <c r="T146" s="750">
        <f t="shared" si="25"/>
        <v>2923.6197248917997</v>
      </c>
    </row>
    <row r="147" spans="1:20" ht="15">
      <c r="A147" s="751">
        <f t="shared" si="26"/>
        <v>44888</v>
      </c>
      <c r="B147" s="749">
        <f t="shared" si="21"/>
        <v>11</v>
      </c>
      <c r="C147" s="749">
        <f t="shared" si="22"/>
        <v>23</v>
      </c>
      <c r="D147" t="s">
        <v>1531</v>
      </c>
      <c r="E147" s="413">
        <v>656208.77776239195</v>
      </c>
      <c r="F147" s="413">
        <v>466218.22530856513</v>
      </c>
      <c r="G147" s="413">
        <v>6201.0231748789993</v>
      </c>
      <c r="I147" t="s">
        <v>1532</v>
      </c>
      <c r="J147" s="642">
        <v>3645368</v>
      </c>
      <c r="K147" s="642">
        <f t="shared" si="18"/>
        <v>151890.33333333334</v>
      </c>
      <c r="L147" s="642">
        <v>74654</v>
      </c>
      <c r="M147" s="642">
        <f t="shared" si="19"/>
        <v>3110.5833333333335</v>
      </c>
      <c r="N147" s="642">
        <v>72</v>
      </c>
      <c r="O147" s="642">
        <f t="shared" si="20"/>
        <v>3</v>
      </c>
      <c r="Q147" t="s">
        <v>1533</v>
      </c>
      <c r="R147" s="750">
        <f t="shared" si="23"/>
        <v>4.3202800557577197</v>
      </c>
      <c r="S147" s="750">
        <f t="shared" si="24"/>
        <v>149.88128442421788</v>
      </c>
      <c r="T147" s="750">
        <f t="shared" si="25"/>
        <v>2067.0077249596666</v>
      </c>
    </row>
    <row r="148" spans="1:20" ht="15">
      <c r="A148" s="751">
        <f t="shared" si="26"/>
        <v>44889</v>
      </c>
      <c r="B148" s="749">
        <f t="shared" si="21"/>
        <v>11</v>
      </c>
      <c r="C148" s="749">
        <f t="shared" si="22"/>
        <v>24</v>
      </c>
      <c r="D148" t="s">
        <v>1531</v>
      </c>
      <c r="E148" s="413">
        <v>706585.700883438</v>
      </c>
      <c r="F148" s="413">
        <v>432325.71023416641</v>
      </c>
      <c r="G148" s="413">
        <v>7402.941174777402</v>
      </c>
      <c r="I148" t="s">
        <v>1532</v>
      </c>
      <c r="J148" s="642">
        <v>3645311</v>
      </c>
      <c r="K148" s="642">
        <f t="shared" si="18"/>
        <v>151887.95833333334</v>
      </c>
      <c r="L148" s="642">
        <v>74579</v>
      </c>
      <c r="M148" s="642">
        <f t="shared" si="19"/>
        <v>3107.4583333333335</v>
      </c>
      <c r="N148" s="642">
        <v>72</v>
      </c>
      <c r="O148" s="642">
        <f t="shared" si="20"/>
        <v>3</v>
      </c>
      <c r="Q148" t="s">
        <v>1533</v>
      </c>
      <c r="R148" s="750">
        <f t="shared" si="23"/>
        <v>4.6520192162486307</v>
      </c>
      <c r="S148" s="750">
        <f t="shared" si="24"/>
        <v>139.12518330387903</v>
      </c>
      <c r="T148" s="750">
        <f t="shared" si="25"/>
        <v>2467.6470582591342</v>
      </c>
    </row>
    <row r="149" spans="1:20" ht="15">
      <c r="A149" s="751">
        <f t="shared" si="26"/>
        <v>44890</v>
      </c>
      <c r="B149" s="749">
        <f t="shared" si="21"/>
        <v>11</v>
      </c>
      <c r="C149" s="749">
        <f t="shared" si="22"/>
        <v>25</v>
      </c>
      <c r="D149" t="s">
        <v>1531</v>
      </c>
      <c r="E149" s="413">
        <v>611477.69864243665</v>
      </c>
      <c r="F149" s="413">
        <v>336767.83761547349</v>
      </c>
      <c r="G149" s="413">
        <v>7306.9411749810997</v>
      </c>
      <c r="I149" t="s">
        <v>1532</v>
      </c>
      <c r="J149" s="642">
        <v>3644426</v>
      </c>
      <c r="K149" s="642">
        <f t="shared" si="18"/>
        <v>151851.08333333334</v>
      </c>
      <c r="L149" s="642">
        <v>74573</v>
      </c>
      <c r="M149" s="642">
        <f t="shared" si="19"/>
        <v>3107.2083333333335</v>
      </c>
      <c r="N149" s="642">
        <v>72</v>
      </c>
      <c r="O149" s="642">
        <f t="shared" si="20"/>
        <v>3</v>
      </c>
      <c r="Q149" t="s">
        <v>1533</v>
      </c>
      <c r="R149" s="750">
        <f t="shared" si="23"/>
        <v>4.0268247365753833</v>
      </c>
      <c r="S149" s="750">
        <f t="shared" si="24"/>
        <v>108.38276725854348</v>
      </c>
      <c r="T149" s="750">
        <f t="shared" si="25"/>
        <v>2435.6470583270334</v>
      </c>
    </row>
    <row r="150" spans="1:20" ht="15">
      <c r="A150" s="751">
        <f t="shared" si="26"/>
        <v>44891</v>
      </c>
      <c r="B150" s="749">
        <f t="shared" si="21"/>
        <v>11</v>
      </c>
      <c r="C150" s="749">
        <f t="shared" si="22"/>
        <v>26</v>
      </c>
      <c r="D150" t="s">
        <v>1531</v>
      </c>
      <c r="E150" s="413">
        <v>633907.80466920685</v>
      </c>
      <c r="F150" s="413">
        <v>674273.58314436988</v>
      </c>
      <c r="G150" s="413">
        <v>7343.9411748792008</v>
      </c>
      <c r="I150" t="s">
        <v>1532</v>
      </c>
      <c r="J150" s="642">
        <v>3644703</v>
      </c>
      <c r="K150" s="642">
        <f t="shared" si="18"/>
        <v>151862.625</v>
      </c>
      <c r="L150" s="642">
        <v>74553</v>
      </c>
      <c r="M150" s="642">
        <f t="shared" si="19"/>
        <v>3106.375</v>
      </c>
      <c r="N150" s="642">
        <v>72</v>
      </c>
      <c r="O150" s="642">
        <f t="shared" si="20"/>
        <v>3</v>
      </c>
      <c r="Q150" t="s">
        <v>1533</v>
      </c>
      <c r="R150" s="750">
        <f t="shared" si="23"/>
        <v>4.1742186707835902</v>
      </c>
      <c r="S150" s="750">
        <f t="shared" si="24"/>
        <v>217.0612315462138</v>
      </c>
      <c r="T150" s="750">
        <f t="shared" si="25"/>
        <v>2447.9803916264004</v>
      </c>
    </row>
    <row r="151" spans="1:20" ht="15">
      <c r="A151" s="751">
        <f t="shared" si="26"/>
        <v>44892</v>
      </c>
      <c r="B151" s="749">
        <f t="shared" si="21"/>
        <v>11</v>
      </c>
      <c r="C151" s="749">
        <f t="shared" si="22"/>
        <v>27</v>
      </c>
      <c r="D151" t="s">
        <v>1531</v>
      </c>
      <c r="E151" s="413">
        <v>593718.93951620511</v>
      </c>
      <c r="F151" s="413">
        <v>221336.5037008487</v>
      </c>
      <c r="G151" s="413">
        <v>6915.9401746753992</v>
      </c>
      <c r="I151" t="s">
        <v>1532</v>
      </c>
      <c r="J151" s="642">
        <v>3610142</v>
      </c>
      <c r="K151" s="642">
        <f t="shared" si="18"/>
        <v>150422.58333333334</v>
      </c>
      <c r="L151" s="642">
        <v>73742</v>
      </c>
      <c r="M151" s="642">
        <f t="shared" si="19"/>
        <v>3072.5833333333335</v>
      </c>
      <c r="N151" s="642">
        <v>72</v>
      </c>
      <c r="O151" s="642">
        <f t="shared" si="20"/>
        <v>3</v>
      </c>
      <c r="Q151" t="s">
        <v>1533</v>
      </c>
      <c r="R151" s="750">
        <f t="shared" si="23"/>
        <v>3.9470066685434873</v>
      </c>
      <c r="S151" s="750">
        <f t="shared" si="24"/>
        <v>72.035964427603929</v>
      </c>
      <c r="T151" s="750">
        <f t="shared" si="25"/>
        <v>2305.3133915584663</v>
      </c>
    </row>
    <row r="152" spans="1:20" ht="15">
      <c r="A152" s="751">
        <f t="shared" si="26"/>
        <v>44893</v>
      </c>
      <c r="B152" s="749">
        <f t="shared" si="21"/>
        <v>11</v>
      </c>
      <c r="C152" s="749">
        <f t="shared" si="22"/>
        <v>28</v>
      </c>
      <c r="D152" t="s">
        <v>1531</v>
      </c>
      <c r="E152" s="413">
        <v>899960.72735757416</v>
      </c>
      <c r="F152" s="413">
        <v>730458.58252222056</v>
      </c>
      <c r="G152" s="413">
        <v>8461.9411748792008</v>
      </c>
      <c r="I152" t="s">
        <v>1532</v>
      </c>
      <c r="J152" s="642">
        <v>3643674</v>
      </c>
      <c r="K152" s="642">
        <f t="shared" si="18"/>
        <v>151819.75</v>
      </c>
      <c r="L152" s="642">
        <v>74728</v>
      </c>
      <c r="M152" s="642">
        <f t="shared" si="19"/>
        <v>3113.6666666666665</v>
      </c>
      <c r="N152" s="642">
        <v>72</v>
      </c>
      <c r="O152" s="642">
        <f t="shared" si="20"/>
        <v>3</v>
      </c>
      <c r="Q152" t="s">
        <v>1533</v>
      </c>
      <c r="R152" s="750">
        <f t="shared" si="23"/>
        <v>5.9278237999836918</v>
      </c>
      <c r="S152" s="750">
        <f t="shared" si="24"/>
        <v>234.59755353459605</v>
      </c>
      <c r="T152" s="750">
        <f t="shared" si="25"/>
        <v>2820.6470582930669</v>
      </c>
    </row>
    <row r="153" spans="1:20" ht="15">
      <c r="A153" s="751">
        <f t="shared" si="26"/>
        <v>44894</v>
      </c>
      <c r="B153" s="749">
        <f t="shared" si="21"/>
        <v>11</v>
      </c>
      <c r="C153" s="749">
        <f t="shared" si="22"/>
        <v>29</v>
      </c>
      <c r="D153" t="s">
        <v>1531</v>
      </c>
      <c r="E153" s="413">
        <v>970653.27462290146</v>
      </c>
      <c r="F153" s="413">
        <v>640362.03608127485</v>
      </c>
      <c r="G153" s="413">
        <v>12322.874995949102</v>
      </c>
      <c r="I153" t="s">
        <v>1532</v>
      </c>
      <c r="J153" s="642">
        <v>3644278</v>
      </c>
      <c r="K153" s="642">
        <f t="shared" si="18"/>
        <v>151844.91666666666</v>
      </c>
      <c r="L153" s="642">
        <v>74870</v>
      </c>
      <c r="M153" s="642">
        <f t="shared" si="19"/>
        <v>3119.5833333333335</v>
      </c>
      <c r="N153" s="642">
        <v>72</v>
      </c>
      <c r="O153" s="642">
        <f t="shared" si="20"/>
        <v>3</v>
      </c>
      <c r="Q153" t="s">
        <v>1533</v>
      </c>
      <c r="R153" s="750">
        <f t="shared" si="23"/>
        <v>6.3923988759775288</v>
      </c>
      <c r="S153" s="750">
        <f t="shared" si="24"/>
        <v>205.27165574930675</v>
      </c>
      <c r="T153" s="750">
        <f t="shared" si="25"/>
        <v>4107.6249986497005</v>
      </c>
    </row>
    <row r="154" spans="1:20" ht="15">
      <c r="A154" s="751">
        <f t="shared" si="26"/>
        <v>44895</v>
      </c>
      <c r="B154" s="749">
        <f t="shared" si="21"/>
        <v>11</v>
      </c>
      <c r="C154" s="749">
        <f t="shared" si="22"/>
        <v>30</v>
      </c>
      <c r="D154" t="s">
        <v>1531</v>
      </c>
      <c r="E154" s="413">
        <v>767989.09980521118</v>
      </c>
      <c r="F154" s="413">
        <v>302649.91348038841</v>
      </c>
      <c r="G154" s="413">
        <v>10247.874995948903</v>
      </c>
      <c r="I154" t="s">
        <v>1532</v>
      </c>
      <c r="J154" s="642">
        <v>3644501</v>
      </c>
      <c r="K154" s="642">
        <f t="shared" si="18"/>
        <v>151854.20833333334</v>
      </c>
      <c r="L154" s="642">
        <v>75086</v>
      </c>
      <c r="M154" s="642">
        <f t="shared" si="19"/>
        <v>3128.5833333333335</v>
      </c>
      <c r="N154" s="642">
        <v>72</v>
      </c>
      <c r="O154" s="642">
        <f t="shared" si="20"/>
        <v>3</v>
      </c>
      <c r="Q154" t="s">
        <v>1533</v>
      </c>
      <c r="R154" s="750">
        <f t="shared" si="23"/>
        <v>5.057410711459557</v>
      </c>
      <c r="S154" s="750">
        <f t="shared" si="24"/>
        <v>96.737047166306922</v>
      </c>
      <c r="T154" s="750">
        <f t="shared" si="25"/>
        <v>3415.9583319829676</v>
      </c>
    </row>
    <row r="155" spans="1:20" ht="15">
      <c r="A155" s="751">
        <f t="shared" si="26"/>
        <v>44896</v>
      </c>
      <c r="B155" s="749">
        <f t="shared" si="21"/>
        <v>12</v>
      </c>
      <c r="C155" s="749">
        <f t="shared" si="22"/>
        <v>1</v>
      </c>
      <c r="D155" t="s">
        <v>1531</v>
      </c>
      <c r="E155" s="413">
        <v>655705.22048998589</v>
      </c>
      <c r="F155" s="413">
        <v>612352.14821976237</v>
      </c>
      <c r="G155" s="413">
        <v>10042.874995949102</v>
      </c>
      <c r="I155" t="s">
        <v>1532</v>
      </c>
      <c r="J155" s="642">
        <v>3644760</v>
      </c>
      <c r="K155" s="642">
        <f t="shared" si="18"/>
        <v>151865</v>
      </c>
      <c r="L155" s="642">
        <v>75201</v>
      </c>
      <c r="M155" s="642">
        <f t="shared" si="19"/>
        <v>3133.375</v>
      </c>
      <c r="N155" s="642">
        <v>72</v>
      </c>
      <c r="O155" s="642">
        <f t="shared" si="20"/>
        <v>3</v>
      </c>
      <c r="Q155" t="s">
        <v>1533</v>
      </c>
      <c r="R155" s="750">
        <f t="shared" si="23"/>
        <v>4.3176849207518906</v>
      </c>
      <c r="S155" s="750">
        <f t="shared" si="24"/>
        <v>195.4289378768141</v>
      </c>
      <c r="T155" s="750">
        <f t="shared" si="25"/>
        <v>3347.6249986497005</v>
      </c>
    </row>
    <row r="156" spans="1:20" ht="15">
      <c r="A156" s="751">
        <f t="shared" si="26"/>
        <v>44897</v>
      </c>
      <c r="B156" s="749">
        <f t="shared" si="21"/>
        <v>12</v>
      </c>
      <c r="C156" s="749">
        <f t="shared" si="22"/>
        <v>2</v>
      </c>
      <c r="D156" t="s">
        <v>1531</v>
      </c>
      <c r="E156" s="413">
        <v>852070.15623386938</v>
      </c>
      <c r="F156" s="413">
        <v>855906.5823086598</v>
      </c>
      <c r="G156" s="413">
        <v>11709.8749948443</v>
      </c>
      <c r="I156" t="s">
        <v>1532</v>
      </c>
      <c r="J156" s="642">
        <v>3642676</v>
      </c>
      <c r="K156" s="642">
        <f t="shared" si="18"/>
        <v>151778.16666666666</v>
      </c>
      <c r="L156" s="642">
        <v>75178</v>
      </c>
      <c r="M156" s="642">
        <f t="shared" si="19"/>
        <v>3132.4166666666665</v>
      </c>
      <c r="N156" s="642">
        <v>72</v>
      </c>
      <c r="O156" s="642">
        <f t="shared" si="20"/>
        <v>3</v>
      </c>
      <c r="Q156" t="s">
        <v>1533</v>
      </c>
      <c r="R156" s="750">
        <f t="shared" si="23"/>
        <v>5.6139178311803919</v>
      </c>
      <c r="S156" s="750">
        <f t="shared" si="24"/>
        <v>273.24161291079616</v>
      </c>
      <c r="T156" s="750">
        <f t="shared" si="25"/>
        <v>3903.2916649480999</v>
      </c>
    </row>
    <row r="157" spans="1:20" ht="15">
      <c r="A157" s="751">
        <f t="shared" si="26"/>
        <v>44898</v>
      </c>
      <c r="B157" s="749">
        <f t="shared" si="21"/>
        <v>12</v>
      </c>
      <c r="C157" s="749">
        <f t="shared" si="22"/>
        <v>3</v>
      </c>
      <c r="D157" t="s">
        <v>1531</v>
      </c>
      <c r="E157" s="413">
        <v>860016.81471665052</v>
      </c>
      <c r="F157" s="413">
        <v>401614.56947792263</v>
      </c>
      <c r="G157" s="413">
        <v>11543.874995212298</v>
      </c>
      <c r="I157" t="s">
        <v>1532</v>
      </c>
      <c r="J157" s="642">
        <v>3642756</v>
      </c>
      <c r="K157" s="642">
        <f t="shared" si="18"/>
        <v>151781.5</v>
      </c>
      <c r="L157" s="642">
        <v>75210</v>
      </c>
      <c r="M157" s="642">
        <f t="shared" si="19"/>
        <v>3133.75</v>
      </c>
      <c r="N157" s="642">
        <v>72</v>
      </c>
      <c r="O157" s="642">
        <f t="shared" si="20"/>
        <v>3</v>
      </c>
      <c r="Q157" t="s">
        <v>1533</v>
      </c>
      <c r="R157" s="750">
        <f t="shared" si="23"/>
        <v>5.6661504512516379</v>
      </c>
      <c r="S157" s="750">
        <f t="shared" si="24"/>
        <v>128.15782033599444</v>
      </c>
      <c r="T157" s="750">
        <f t="shared" si="25"/>
        <v>3847.9583317374327</v>
      </c>
    </row>
    <row r="158" spans="1:20" ht="15">
      <c r="A158" s="751">
        <f t="shared" si="26"/>
        <v>44899</v>
      </c>
      <c r="B158" s="749">
        <f t="shared" si="21"/>
        <v>12</v>
      </c>
      <c r="C158" s="749">
        <f t="shared" si="22"/>
        <v>4</v>
      </c>
      <c r="D158" t="s">
        <v>1531</v>
      </c>
      <c r="E158" s="413">
        <v>910329.32730178023</v>
      </c>
      <c r="F158" s="413">
        <v>340977.80808377243</v>
      </c>
      <c r="G158" s="413">
        <v>10609.379995580699</v>
      </c>
      <c r="I158" t="s">
        <v>1532</v>
      </c>
      <c r="J158" s="642">
        <v>3641521</v>
      </c>
      <c r="K158" s="642">
        <f t="shared" si="18"/>
        <v>151730.04166666666</v>
      </c>
      <c r="L158" s="642">
        <v>75156</v>
      </c>
      <c r="M158" s="642">
        <f t="shared" si="19"/>
        <v>3131.5</v>
      </c>
      <c r="N158" s="642">
        <v>72</v>
      </c>
      <c r="O158" s="642">
        <f t="shared" si="20"/>
        <v>3</v>
      </c>
      <c r="Q158" t="s">
        <v>1533</v>
      </c>
      <c r="R158" s="750">
        <f t="shared" si="23"/>
        <v>5.9996643861844339</v>
      </c>
      <c r="S158" s="750">
        <f t="shared" si="24"/>
        <v>108.8864148439318</v>
      </c>
      <c r="T158" s="750">
        <f t="shared" si="25"/>
        <v>3536.4599985268997</v>
      </c>
    </row>
    <row r="159" spans="1:20" ht="15">
      <c r="A159" s="751">
        <f t="shared" si="26"/>
        <v>44900</v>
      </c>
      <c r="B159" s="749">
        <f t="shared" si="21"/>
        <v>12</v>
      </c>
      <c r="C159" s="749">
        <f t="shared" si="22"/>
        <v>5</v>
      </c>
      <c r="D159" t="s">
        <v>1531</v>
      </c>
      <c r="E159" s="413">
        <v>809703.17264679412</v>
      </c>
      <c r="F159" s="413">
        <v>454366.19280065579</v>
      </c>
      <c r="G159" s="413">
        <v>12131.368995948902</v>
      </c>
      <c r="I159" t="s">
        <v>1532</v>
      </c>
      <c r="J159" s="642">
        <v>3641373</v>
      </c>
      <c r="K159" s="642">
        <f t="shared" si="18"/>
        <v>151723.875</v>
      </c>
      <c r="L159" s="642">
        <v>75098</v>
      </c>
      <c r="M159" s="642">
        <f t="shared" si="19"/>
        <v>3129.0833333333335</v>
      </c>
      <c r="N159" s="642">
        <v>72</v>
      </c>
      <c r="O159" s="642">
        <f t="shared" si="20"/>
        <v>3</v>
      </c>
      <c r="Q159" t="s">
        <v>1533</v>
      </c>
      <c r="R159" s="750">
        <f t="shared" si="23"/>
        <v>5.3366892497755813</v>
      </c>
      <c r="S159" s="750">
        <f t="shared" si="24"/>
        <v>145.20744396942314</v>
      </c>
      <c r="T159" s="750">
        <f t="shared" si="25"/>
        <v>4043.7896653163007</v>
      </c>
    </row>
    <row r="160" spans="1:20" ht="15">
      <c r="A160" s="751">
        <f t="shared" si="26"/>
        <v>44901</v>
      </c>
      <c r="B160" s="749">
        <f t="shared" si="21"/>
        <v>12</v>
      </c>
      <c r="C160" s="749">
        <f t="shared" si="22"/>
        <v>6</v>
      </c>
      <c r="D160" t="s">
        <v>1531</v>
      </c>
      <c r="E160" s="413">
        <v>805587.45129061362</v>
      </c>
      <c r="F160" s="413">
        <v>615900.6796394441</v>
      </c>
      <c r="G160" s="413">
        <v>11139.874995948601</v>
      </c>
      <c r="I160" t="s">
        <v>1532</v>
      </c>
      <c r="J160" s="642">
        <v>3644826</v>
      </c>
      <c r="K160" s="642">
        <f t="shared" si="18"/>
        <v>151867.75</v>
      </c>
      <c r="L160" s="642">
        <v>75345</v>
      </c>
      <c r="M160" s="642">
        <f t="shared" si="19"/>
        <v>3139.375</v>
      </c>
      <c r="N160" s="642">
        <v>72</v>
      </c>
      <c r="O160" s="642">
        <f t="shared" si="20"/>
        <v>3</v>
      </c>
      <c r="Q160" t="s">
        <v>1533</v>
      </c>
      <c r="R160" s="750">
        <f t="shared" si="23"/>
        <v>5.3045327351634146</v>
      </c>
      <c r="S160" s="750">
        <f t="shared" si="24"/>
        <v>196.1857629749374</v>
      </c>
      <c r="T160" s="750">
        <f t="shared" si="25"/>
        <v>3713.2916653162006</v>
      </c>
    </row>
    <row r="161" spans="1:22" ht="15">
      <c r="A161" s="751">
        <f t="shared" si="26"/>
        <v>44902</v>
      </c>
      <c r="B161" s="749">
        <f t="shared" si="21"/>
        <v>12</v>
      </c>
      <c r="C161" s="749">
        <f t="shared" si="22"/>
        <v>7</v>
      </c>
      <c r="D161" t="s">
        <v>1531</v>
      </c>
      <c r="E161" s="413">
        <v>736546.18740279169</v>
      </c>
      <c r="F161" s="413">
        <v>415613.20604174049</v>
      </c>
      <c r="G161" s="413">
        <v>10741.874996317199</v>
      </c>
      <c r="I161" t="s">
        <v>1532</v>
      </c>
      <c r="J161" s="642">
        <v>3645076</v>
      </c>
      <c r="K161" s="642">
        <f t="shared" si="18"/>
        <v>151878.16666666666</v>
      </c>
      <c r="L161" s="642">
        <v>75344</v>
      </c>
      <c r="M161" s="642">
        <f t="shared" si="19"/>
        <v>3139.3333333333335</v>
      </c>
      <c r="N161" s="642">
        <v>72</v>
      </c>
      <c r="O161" s="642">
        <f t="shared" si="20"/>
        <v>3</v>
      </c>
      <c r="Q161" t="s">
        <v>1533</v>
      </c>
      <c r="R161" s="750">
        <f t="shared" si="23"/>
        <v>4.8495857144451859</v>
      </c>
      <c r="S161" s="750">
        <f t="shared" si="24"/>
        <v>132.38900171217045</v>
      </c>
      <c r="T161" s="750">
        <f t="shared" si="25"/>
        <v>3580.6249987724</v>
      </c>
    </row>
    <row r="162" spans="1:22" ht="15">
      <c r="A162" s="751">
        <f t="shared" si="26"/>
        <v>44903</v>
      </c>
      <c r="B162" s="749">
        <f t="shared" si="21"/>
        <v>12</v>
      </c>
      <c r="C162" s="749">
        <f t="shared" si="22"/>
        <v>8</v>
      </c>
      <c r="D162" t="s">
        <v>1531</v>
      </c>
      <c r="E162" s="413">
        <v>744280.40636551939</v>
      </c>
      <c r="F162" s="413">
        <v>318439.12139818823</v>
      </c>
      <c r="G162" s="413">
        <v>10698.8749963173</v>
      </c>
      <c r="I162" t="s">
        <v>1532</v>
      </c>
      <c r="J162" s="642">
        <v>3645503</v>
      </c>
      <c r="K162" s="642">
        <f t="shared" si="18"/>
        <v>151895.95833333334</v>
      </c>
      <c r="L162" s="642">
        <v>75404</v>
      </c>
      <c r="M162" s="642">
        <f t="shared" si="19"/>
        <v>3141.8333333333335</v>
      </c>
      <c r="N162" s="642">
        <v>72</v>
      </c>
      <c r="O162" s="642">
        <f t="shared" si="20"/>
        <v>3</v>
      </c>
      <c r="Q162" t="s">
        <v>1533</v>
      </c>
      <c r="R162" s="750">
        <f t="shared" si="23"/>
        <v>4.8999355514924732</v>
      </c>
      <c r="S162" s="750">
        <f t="shared" si="24"/>
        <v>101.35455564103385</v>
      </c>
      <c r="T162" s="750">
        <f t="shared" si="25"/>
        <v>3566.2916654390997</v>
      </c>
    </row>
    <row r="163" spans="1:22" ht="15">
      <c r="A163" s="751">
        <f t="shared" si="26"/>
        <v>44904</v>
      </c>
      <c r="B163" s="749">
        <f t="shared" si="21"/>
        <v>12</v>
      </c>
      <c r="C163" s="749">
        <f t="shared" si="22"/>
        <v>9</v>
      </c>
      <c r="D163" t="s">
        <v>1531</v>
      </c>
      <c r="E163" s="413">
        <v>1138996.3936134502</v>
      </c>
      <c r="F163" s="413">
        <v>437533.81504796678</v>
      </c>
      <c r="G163" s="413">
        <v>15957.893995212404</v>
      </c>
      <c r="I163" t="s">
        <v>1532</v>
      </c>
      <c r="J163" s="642">
        <v>3628549</v>
      </c>
      <c r="K163" s="642">
        <f t="shared" si="18"/>
        <v>151189.54166666666</v>
      </c>
      <c r="L163" s="642">
        <v>74999</v>
      </c>
      <c r="M163" s="642">
        <f t="shared" si="19"/>
        <v>3124.9583333333335</v>
      </c>
      <c r="N163" s="642">
        <v>72</v>
      </c>
      <c r="O163" s="642">
        <f t="shared" si="20"/>
        <v>3</v>
      </c>
      <c r="Q163" t="s">
        <v>1533</v>
      </c>
      <c r="R163" s="750">
        <f t="shared" si="23"/>
        <v>7.5335660195639651</v>
      </c>
      <c r="S163" s="750">
        <f t="shared" si="24"/>
        <v>140.01268765118471</v>
      </c>
      <c r="T163" s="750">
        <f t="shared" si="25"/>
        <v>5319.2979984041349</v>
      </c>
    </row>
    <row r="164" spans="1:22" ht="15">
      <c r="A164" s="751">
        <f t="shared" si="26"/>
        <v>44905</v>
      </c>
      <c r="B164" s="749">
        <f t="shared" si="21"/>
        <v>12</v>
      </c>
      <c r="C164" s="749">
        <f t="shared" si="22"/>
        <v>10</v>
      </c>
      <c r="D164" t="s">
        <v>1531</v>
      </c>
      <c r="E164" s="413">
        <v>842037.49528325512</v>
      </c>
      <c r="F164" s="413">
        <v>415691.87238991651</v>
      </c>
      <c r="G164" s="413">
        <v>6666.8559966857001</v>
      </c>
      <c r="I164" t="s">
        <v>1532</v>
      </c>
      <c r="J164" s="642">
        <v>3592194</v>
      </c>
      <c r="K164" s="642">
        <f t="shared" si="18"/>
        <v>149674.75</v>
      </c>
      <c r="L164" s="642">
        <v>73986</v>
      </c>
      <c r="M164" s="642">
        <f t="shared" si="19"/>
        <v>3082.75</v>
      </c>
      <c r="N164" s="642">
        <v>72</v>
      </c>
      <c r="O164" s="642">
        <f t="shared" si="20"/>
        <v>3</v>
      </c>
      <c r="Q164" t="s">
        <v>1533</v>
      </c>
      <c r="R164" s="750">
        <f t="shared" si="23"/>
        <v>5.6257818722480248</v>
      </c>
      <c r="S164" s="750">
        <f t="shared" si="24"/>
        <v>134.84449676098174</v>
      </c>
      <c r="T164" s="750">
        <f t="shared" si="25"/>
        <v>2222.2853322285669</v>
      </c>
    </row>
    <row r="165" spans="1:22" ht="15">
      <c r="A165" s="751">
        <f t="shared" si="26"/>
        <v>44906</v>
      </c>
      <c r="B165" s="749">
        <f t="shared" si="21"/>
        <v>12</v>
      </c>
      <c r="C165" s="749">
        <f t="shared" si="22"/>
        <v>11</v>
      </c>
      <c r="D165" t="s">
        <v>1531</v>
      </c>
      <c r="E165" s="413">
        <v>578201.38732879132</v>
      </c>
      <c r="F165" s="413">
        <v>220984.89114130335</v>
      </c>
      <c r="G165" s="413">
        <v>6648.8749959490005</v>
      </c>
      <c r="I165" t="s">
        <v>1532</v>
      </c>
      <c r="J165" s="642">
        <v>3608214</v>
      </c>
      <c r="K165" s="642">
        <f t="shared" si="18"/>
        <v>150342.25</v>
      </c>
      <c r="L165" s="642">
        <v>74549</v>
      </c>
      <c r="M165" s="642">
        <f t="shared" si="19"/>
        <v>3106.2083333333335</v>
      </c>
      <c r="N165" s="642">
        <v>72</v>
      </c>
      <c r="O165" s="642">
        <f t="shared" si="20"/>
        <v>3</v>
      </c>
      <c r="Q165" t="s">
        <v>1533</v>
      </c>
      <c r="R165" s="750">
        <f t="shared" si="23"/>
        <v>3.845900851748536</v>
      </c>
      <c r="S165" s="750">
        <f t="shared" si="24"/>
        <v>71.142971567576765</v>
      </c>
      <c r="T165" s="750">
        <f t="shared" si="25"/>
        <v>2216.2916653163334</v>
      </c>
    </row>
    <row r="166" spans="1:22" ht="15">
      <c r="A166" s="751">
        <f t="shared" si="26"/>
        <v>44907</v>
      </c>
      <c r="B166" s="749">
        <f t="shared" si="21"/>
        <v>12</v>
      </c>
      <c r="C166" s="749">
        <f t="shared" si="22"/>
        <v>12</v>
      </c>
      <c r="D166" t="s">
        <v>1531</v>
      </c>
      <c r="E166" s="413">
        <v>601791.80338480405</v>
      </c>
      <c r="F166" s="413">
        <v>261928.78792209658</v>
      </c>
      <c r="G166" s="413">
        <v>10045.8749959487</v>
      </c>
      <c r="I166" t="s">
        <v>1532</v>
      </c>
      <c r="J166" s="642">
        <v>3612509</v>
      </c>
      <c r="K166" s="642">
        <f t="shared" si="18"/>
        <v>150521.20833333334</v>
      </c>
      <c r="L166" s="642">
        <v>74835</v>
      </c>
      <c r="M166" s="642">
        <f t="shared" si="19"/>
        <v>3118.125</v>
      </c>
      <c r="N166" s="642">
        <v>72</v>
      </c>
      <c r="O166" s="642">
        <f t="shared" si="20"/>
        <v>3</v>
      </c>
      <c r="Q166" t="s">
        <v>1533</v>
      </c>
      <c r="R166" s="750">
        <f t="shared" si="23"/>
        <v>3.9980532314896089</v>
      </c>
      <c r="S166" s="750">
        <f t="shared" si="24"/>
        <v>84.002016571528273</v>
      </c>
      <c r="T166" s="750">
        <f t="shared" si="25"/>
        <v>3348.6249986495664</v>
      </c>
    </row>
    <row r="167" spans="1:22" ht="15">
      <c r="A167" s="751">
        <f t="shared" si="26"/>
        <v>44908</v>
      </c>
      <c r="B167" s="749">
        <f t="shared" si="21"/>
        <v>12</v>
      </c>
      <c r="C167" s="749">
        <f t="shared" si="22"/>
        <v>13</v>
      </c>
      <c r="D167" t="s">
        <v>1531</v>
      </c>
      <c r="E167" s="413">
        <v>719780.83905751619</v>
      </c>
      <c r="F167" s="413">
        <v>498593.66329111694</v>
      </c>
      <c r="G167" s="413">
        <v>10718.8749955807</v>
      </c>
      <c r="I167" t="s">
        <v>1532</v>
      </c>
      <c r="J167" s="642">
        <v>3644469</v>
      </c>
      <c r="K167" s="642">
        <f t="shared" si="18"/>
        <v>151852.875</v>
      </c>
      <c r="L167" s="642">
        <v>75658</v>
      </c>
      <c r="M167" s="642">
        <f t="shared" si="19"/>
        <v>3152.4166666666665</v>
      </c>
      <c r="N167" s="642">
        <v>72</v>
      </c>
      <c r="O167" s="642">
        <f t="shared" si="20"/>
        <v>3</v>
      </c>
      <c r="Q167" t="s">
        <v>1533</v>
      </c>
      <c r="R167" s="750">
        <f t="shared" si="23"/>
        <v>4.7399882225312906</v>
      </c>
      <c r="S167" s="750">
        <f t="shared" si="24"/>
        <v>158.16236113810578</v>
      </c>
      <c r="T167" s="750">
        <f t="shared" si="25"/>
        <v>3572.9583318602331</v>
      </c>
    </row>
    <row r="168" spans="1:22" ht="15">
      <c r="A168" s="751">
        <f t="shared" si="26"/>
        <v>44909</v>
      </c>
      <c r="B168" s="749">
        <f t="shared" si="21"/>
        <v>12</v>
      </c>
      <c r="C168" s="749">
        <f t="shared" si="22"/>
        <v>14</v>
      </c>
      <c r="D168" t="s">
        <v>1531</v>
      </c>
      <c r="E168" s="413">
        <v>669595.79774619662</v>
      </c>
      <c r="F168" s="413">
        <v>274877.26053864043</v>
      </c>
      <c r="G168" s="413">
        <v>10425.8749955806</v>
      </c>
      <c r="I168" t="s">
        <v>1532</v>
      </c>
      <c r="J168" s="642">
        <v>3644256</v>
      </c>
      <c r="K168" s="642">
        <f t="shared" si="18"/>
        <v>151844</v>
      </c>
      <c r="L168" s="642">
        <v>75726</v>
      </c>
      <c r="M168" s="642">
        <f t="shared" si="19"/>
        <v>3155.25</v>
      </c>
      <c r="N168" s="642">
        <v>72</v>
      </c>
      <c r="O168" s="642">
        <f t="shared" si="20"/>
        <v>3</v>
      </c>
      <c r="Q168" t="s">
        <v>1533</v>
      </c>
      <c r="R168" s="750">
        <f t="shared" si="23"/>
        <v>4.4097613191577976</v>
      </c>
      <c r="S168" s="750">
        <f t="shared" si="24"/>
        <v>87.117426682082382</v>
      </c>
      <c r="T168" s="750">
        <f t="shared" si="25"/>
        <v>3475.2916651935334</v>
      </c>
    </row>
    <row r="169" spans="1:22" ht="15">
      <c r="A169" s="751">
        <f t="shared" si="26"/>
        <v>44910</v>
      </c>
      <c r="B169" s="749">
        <f t="shared" si="21"/>
        <v>12</v>
      </c>
      <c r="C169" s="749">
        <f t="shared" si="22"/>
        <v>15</v>
      </c>
      <c r="D169" t="s">
        <v>1531</v>
      </c>
      <c r="E169" s="413">
        <v>770237.99718520569</v>
      </c>
      <c r="F169" s="413">
        <v>518609.87790469691</v>
      </c>
      <c r="G169" s="413">
        <v>11356.874995211998</v>
      </c>
      <c r="I169" t="s">
        <v>1532</v>
      </c>
      <c r="J169" s="642">
        <v>3644852</v>
      </c>
      <c r="K169" s="642">
        <f t="shared" si="18"/>
        <v>151868.83333333334</v>
      </c>
      <c r="L169" s="642">
        <v>75704</v>
      </c>
      <c r="M169" s="642">
        <f t="shared" si="19"/>
        <v>3154.3333333333335</v>
      </c>
      <c r="N169" s="642">
        <v>72</v>
      </c>
      <c r="O169" s="642">
        <f t="shared" si="20"/>
        <v>3</v>
      </c>
      <c r="Q169" t="s">
        <v>1533</v>
      </c>
      <c r="R169" s="750">
        <f t="shared" si="23"/>
        <v>5.0717318377933962</v>
      </c>
      <c r="S169" s="750">
        <f t="shared" si="24"/>
        <v>164.41188140273599</v>
      </c>
      <c r="T169" s="750">
        <f t="shared" si="25"/>
        <v>3785.6249984039991</v>
      </c>
    </row>
    <row r="170" spans="1:22" ht="15">
      <c r="A170" s="751">
        <f t="shared" si="26"/>
        <v>44911</v>
      </c>
      <c r="B170" s="749">
        <f t="shared" si="21"/>
        <v>12</v>
      </c>
      <c r="C170" s="749">
        <f t="shared" si="22"/>
        <v>16</v>
      </c>
      <c r="D170" t="s">
        <v>1531</v>
      </c>
      <c r="E170" s="413">
        <v>930248.07372019126</v>
      </c>
      <c r="F170" s="413">
        <v>642659.02833159256</v>
      </c>
      <c r="G170" s="413">
        <v>11421.874996317201</v>
      </c>
      <c r="I170" t="s">
        <v>1532</v>
      </c>
      <c r="J170" s="642">
        <v>3638487</v>
      </c>
      <c r="K170" s="642">
        <f t="shared" si="18"/>
        <v>151603.625</v>
      </c>
      <c r="L170" s="642">
        <v>75540</v>
      </c>
      <c r="M170" s="642">
        <f t="shared" si="19"/>
        <v>3147.5</v>
      </c>
      <c r="N170" s="642">
        <v>72</v>
      </c>
      <c r="O170" s="642">
        <f t="shared" si="20"/>
        <v>3</v>
      </c>
      <c r="Q170" t="s">
        <v>1533</v>
      </c>
      <c r="R170" s="750">
        <f t="shared" si="23"/>
        <v>6.1360542910513605</v>
      </c>
      <c r="S170" s="750">
        <f t="shared" si="24"/>
        <v>204.18078739685228</v>
      </c>
      <c r="T170" s="750">
        <f t="shared" si="25"/>
        <v>3807.2916654390669</v>
      </c>
    </row>
    <row r="171" spans="1:22" ht="15">
      <c r="A171" s="751">
        <f t="shared" si="26"/>
        <v>44912</v>
      </c>
      <c r="B171" s="749">
        <f t="shared" si="21"/>
        <v>12</v>
      </c>
      <c r="C171" s="749">
        <f t="shared" si="22"/>
        <v>17</v>
      </c>
      <c r="D171" t="s">
        <v>1531</v>
      </c>
      <c r="E171" s="413">
        <v>809989.53137808596</v>
      </c>
      <c r="F171" s="413">
        <v>502590.80989025638</v>
      </c>
      <c r="G171" s="413">
        <v>11274.8749952121</v>
      </c>
      <c r="I171" t="s">
        <v>1532</v>
      </c>
      <c r="J171" s="642">
        <v>3645207</v>
      </c>
      <c r="K171" s="642">
        <f t="shared" si="18"/>
        <v>151883.625</v>
      </c>
      <c r="L171" s="642">
        <v>75751</v>
      </c>
      <c r="M171" s="642">
        <f t="shared" si="19"/>
        <v>3156.2916666666665</v>
      </c>
      <c r="N171" s="642">
        <v>72</v>
      </c>
      <c r="O171" s="642">
        <f t="shared" si="20"/>
        <v>3</v>
      </c>
      <c r="Q171" t="s">
        <v>1533</v>
      </c>
      <c r="R171" s="750">
        <f t="shared" si="23"/>
        <v>5.3329615445910381</v>
      </c>
      <c r="S171" s="750">
        <f t="shared" si="24"/>
        <v>159.23459013565702</v>
      </c>
      <c r="T171" s="750">
        <f t="shared" si="25"/>
        <v>3758.2916650706998</v>
      </c>
    </row>
    <row r="172" spans="1:22" ht="15">
      <c r="A172" s="751">
        <f t="shared" si="26"/>
        <v>44913</v>
      </c>
      <c r="B172" s="749">
        <f t="shared" si="21"/>
        <v>12</v>
      </c>
      <c r="C172" s="749">
        <f t="shared" si="22"/>
        <v>18</v>
      </c>
      <c r="D172" t="s">
        <v>1531</v>
      </c>
      <c r="E172" s="413">
        <v>899007.08409801021</v>
      </c>
      <c r="F172" s="413">
        <v>583610.77479570406</v>
      </c>
      <c r="G172" s="413">
        <v>11073.8749948441</v>
      </c>
      <c r="I172" t="s">
        <v>1532</v>
      </c>
      <c r="J172" s="642">
        <v>3644630</v>
      </c>
      <c r="K172" s="642">
        <f t="shared" si="18"/>
        <v>151859.58333333334</v>
      </c>
      <c r="L172" s="642">
        <v>75744</v>
      </c>
      <c r="M172" s="642">
        <f t="shared" si="19"/>
        <v>3156</v>
      </c>
      <c r="N172" s="642">
        <v>72</v>
      </c>
      <c r="O172" s="642">
        <f t="shared" si="20"/>
        <v>3</v>
      </c>
      <c r="Q172" t="s">
        <v>1533</v>
      </c>
      <c r="R172" s="750">
        <f t="shared" si="23"/>
        <v>5.9199891397349642</v>
      </c>
      <c r="S172" s="750">
        <f t="shared" si="24"/>
        <v>184.92103130408873</v>
      </c>
      <c r="T172" s="750">
        <f t="shared" si="25"/>
        <v>3691.2916649480335</v>
      </c>
    </row>
    <row r="173" spans="1:22" ht="15">
      <c r="A173" s="777">
        <f t="shared" si="26"/>
        <v>44914</v>
      </c>
      <c r="B173" s="778">
        <f t="shared" si="21"/>
        <v>12</v>
      </c>
      <c r="C173" s="778">
        <f t="shared" si="22"/>
        <v>19</v>
      </c>
      <c r="D173" s="779" t="s">
        <v>1531</v>
      </c>
      <c r="E173" s="780">
        <v>932426.49072915316</v>
      </c>
      <c r="F173" s="780">
        <v>530905.38895740663</v>
      </c>
      <c r="G173" s="780">
        <v>12097.8749952121</v>
      </c>
      <c r="H173" s="779"/>
      <c r="I173" s="779" t="s">
        <v>1532</v>
      </c>
      <c r="J173" s="781">
        <v>3644746</v>
      </c>
      <c r="K173" s="781">
        <f t="shared" si="18"/>
        <v>151864.41666666666</v>
      </c>
      <c r="L173" s="781">
        <v>75773</v>
      </c>
      <c r="M173" s="781">
        <f t="shared" si="19"/>
        <v>3157.2083333333335</v>
      </c>
      <c r="N173" s="781">
        <v>72</v>
      </c>
      <c r="O173" s="781">
        <f t="shared" si="20"/>
        <v>3</v>
      </c>
      <c r="P173" s="779"/>
      <c r="Q173" s="779" t="s">
        <v>1533</v>
      </c>
      <c r="R173" s="782">
        <f t="shared" si="23"/>
        <v>6.1398615369904181</v>
      </c>
      <c r="S173" s="782">
        <f t="shared" si="24"/>
        <v>168.1565905398725</v>
      </c>
      <c r="T173" s="782">
        <f t="shared" si="25"/>
        <v>4032.6249984040332</v>
      </c>
      <c r="U173" s="779" t="s">
        <v>1534</v>
      </c>
      <c r="V173" s="779"/>
    </row>
    <row r="174" spans="1:22" ht="15">
      <c r="A174" s="777">
        <f t="shared" si="26"/>
        <v>44915</v>
      </c>
      <c r="B174" s="778">
        <f t="shared" si="21"/>
        <v>12</v>
      </c>
      <c r="C174" s="778">
        <f t="shared" si="22"/>
        <v>20</v>
      </c>
      <c r="D174" s="779" t="s">
        <v>1531</v>
      </c>
      <c r="E174" s="780">
        <v>953643.14703492844</v>
      </c>
      <c r="F174" s="780">
        <v>663738.5786442036</v>
      </c>
      <c r="G174" s="780">
        <v>12518.874995580702</v>
      </c>
      <c r="H174" s="779"/>
      <c r="I174" s="779" t="s">
        <v>1532</v>
      </c>
      <c r="J174" s="781">
        <v>3644566</v>
      </c>
      <c r="K174" s="781">
        <f t="shared" si="18"/>
        <v>151856.91666666666</v>
      </c>
      <c r="L174" s="781">
        <v>75764</v>
      </c>
      <c r="M174" s="781">
        <f t="shared" si="19"/>
        <v>3156.8333333333335</v>
      </c>
      <c r="N174" s="781">
        <v>72</v>
      </c>
      <c r="O174" s="781">
        <f t="shared" si="20"/>
        <v>3</v>
      </c>
      <c r="P174" s="779"/>
      <c r="Q174" s="779" t="s">
        <v>1533</v>
      </c>
      <c r="R174" s="782">
        <f t="shared" si="23"/>
        <v>6.2798795601007864</v>
      </c>
      <c r="S174" s="782">
        <f t="shared" si="24"/>
        <v>210.25455212846319</v>
      </c>
      <c r="T174" s="782">
        <f t="shared" si="25"/>
        <v>4172.9583318602336</v>
      </c>
      <c r="U174" s="779"/>
      <c r="V174" s="779"/>
    </row>
    <row r="175" spans="1:22" ht="15">
      <c r="A175" s="777">
        <f t="shared" si="26"/>
        <v>44916</v>
      </c>
      <c r="B175" s="778">
        <f t="shared" si="21"/>
        <v>12</v>
      </c>
      <c r="C175" s="778">
        <f t="shared" si="22"/>
        <v>21</v>
      </c>
      <c r="D175" s="779" t="s">
        <v>1531</v>
      </c>
      <c r="E175" s="780">
        <v>1053954.8581462677</v>
      </c>
      <c r="F175" s="780">
        <v>801464.66307529656</v>
      </c>
      <c r="G175" s="780">
        <v>13577.874995212298</v>
      </c>
      <c r="H175" s="779"/>
      <c r="I175" s="779" t="s">
        <v>1532</v>
      </c>
      <c r="J175" s="781">
        <v>3644726</v>
      </c>
      <c r="K175" s="781">
        <f t="shared" si="18"/>
        <v>151863.58333333334</v>
      </c>
      <c r="L175" s="781">
        <v>75907</v>
      </c>
      <c r="M175" s="781">
        <f t="shared" si="19"/>
        <v>3162.7916666666665</v>
      </c>
      <c r="N175" s="781">
        <v>72</v>
      </c>
      <c r="O175" s="781">
        <f t="shared" si="20"/>
        <v>3</v>
      </c>
      <c r="P175" s="779"/>
      <c r="Q175" s="779" t="s">
        <v>1533</v>
      </c>
      <c r="R175" s="782">
        <f t="shared" si="23"/>
        <v>6.9401421658337066</v>
      </c>
      <c r="S175" s="782">
        <f t="shared" si="24"/>
        <v>253.40419083624855</v>
      </c>
      <c r="T175" s="782">
        <f t="shared" si="25"/>
        <v>4525.9583317374327</v>
      </c>
      <c r="U175" s="779"/>
      <c r="V175" s="779"/>
    </row>
    <row r="176" spans="1:22" ht="15">
      <c r="A176" s="777">
        <f t="shared" si="26"/>
        <v>44917</v>
      </c>
      <c r="B176" s="778">
        <f t="shared" si="21"/>
        <v>12</v>
      </c>
      <c r="C176" s="778">
        <f t="shared" si="22"/>
        <v>22</v>
      </c>
      <c r="D176" s="779" t="s">
        <v>1531</v>
      </c>
      <c r="E176" s="780">
        <v>1284334.722882844</v>
      </c>
      <c r="F176" s="780">
        <v>745985.003915429</v>
      </c>
      <c r="G176" s="780">
        <v>14665.874996685601</v>
      </c>
      <c r="H176" s="779"/>
      <c r="I176" s="779" t="s">
        <v>1532</v>
      </c>
      <c r="J176" s="781">
        <v>3645135</v>
      </c>
      <c r="K176" s="781">
        <f t="shared" si="18"/>
        <v>151880.625</v>
      </c>
      <c r="L176" s="781">
        <v>75989</v>
      </c>
      <c r="M176" s="781">
        <f t="shared" si="19"/>
        <v>3166.2083333333335</v>
      </c>
      <c r="N176" s="781">
        <v>72</v>
      </c>
      <c r="O176" s="781">
        <f t="shared" si="20"/>
        <v>3</v>
      </c>
      <c r="P176" s="779"/>
      <c r="Q176" s="779" t="s">
        <v>1533</v>
      </c>
      <c r="R176" s="782">
        <f t="shared" si="23"/>
        <v>8.4562117313043981</v>
      </c>
      <c r="S176" s="782">
        <f t="shared" si="24"/>
        <v>235.60831296595947</v>
      </c>
      <c r="T176" s="782">
        <f t="shared" si="25"/>
        <v>4888.6249988952004</v>
      </c>
      <c r="U176" s="779"/>
      <c r="V176" s="779"/>
    </row>
    <row r="177" spans="1:22" ht="15">
      <c r="A177" s="777">
        <f t="shared" si="26"/>
        <v>44918</v>
      </c>
      <c r="B177" s="778">
        <f t="shared" si="21"/>
        <v>12</v>
      </c>
      <c r="C177" s="778">
        <f t="shared" si="22"/>
        <v>23</v>
      </c>
      <c r="D177" s="779" t="s">
        <v>1531</v>
      </c>
      <c r="E177" s="780">
        <v>1205917.3095270789</v>
      </c>
      <c r="F177" s="780">
        <v>602952.07955983898</v>
      </c>
      <c r="G177" s="780">
        <v>14009.874995580501</v>
      </c>
      <c r="H177" s="779"/>
      <c r="I177" s="779" t="s">
        <v>1532</v>
      </c>
      <c r="J177" s="781">
        <v>3644928</v>
      </c>
      <c r="K177" s="781">
        <f t="shared" si="18"/>
        <v>151872</v>
      </c>
      <c r="L177" s="781">
        <v>76001</v>
      </c>
      <c r="M177" s="781">
        <f t="shared" si="19"/>
        <v>3166.7083333333335</v>
      </c>
      <c r="N177" s="781">
        <v>72</v>
      </c>
      <c r="O177" s="781">
        <f t="shared" si="20"/>
        <v>3</v>
      </c>
      <c r="P177" s="779"/>
      <c r="Q177" s="779" t="s">
        <v>1533</v>
      </c>
      <c r="R177" s="782">
        <f t="shared" si="23"/>
        <v>7.9403531232029527</v>
      </c>
      <c r="S177" s="782">
        <f t="shared" si="24"/>
        <v>190.40341455291556</v>
      </c>
      <c r="T177" s="782">
        <f t="shared" si="25"/>
        <v>4669.9583318601672</v>
      </c>
      <c r="U177" s="779"/>
      <c r="V177" s="779"/>
    </row>
    <row r="178" spans="1:22" ht="15">
      <c r="A178" s="751">
        <f t="shared" si="26"/>
        <v>44919</v>
      </c>
      <c r="B178" s="749">
        <f t="shared" si="21"/>
        <v>12</v>
      </c>
      <c r="C178" s="749">
        <f t="shared" si="22"/>
        <v>24</v>
      </c>
      <c r="D178" t="s">
        <v>1531</v>
      </c>
      <c r="E178" s="413">
        <v>922413.96175412799</v>
      </c>
      <c r="F178" s="413">
        <v>512493.31168006314</v>
      </c>
      <c r="G178" s="413">
        <v>12225.874996685301</v>
      </c>
      <c r="I178" t="s">
        <v>1532</v>
      </c>
      <c r="J178" s="642">
        <v>3645791</v>
      </c>
      <c r="K178" s="642">
        <f t="shared" si="18"/>
        <v>151907.95833333334</v>
      </c>
      <c r="L178" s="642">
        <v>76025</v>
      </c>
      <c r="M178" s="642">
        <f t="shared" si="19"/>
        <v>3167.7083333333335</v>
      </c>
      <c r="N178" s="642">
        <v>72</v>
      </c>
      <c r="O178" s="642">
        <f t="shared" si="20"/>
        <v>3</v>
      </c>
      <c r="Q178" t="s">
        <v>1533</v>
      </c>
      <c r="R178" s="750">
        <f t="shared" si="23"/>
        <v>6.072189843602958</v>
      </c>
      <c r="S178" s="750">
        <f t="shared" si="24"/>
        <v>161.78677382862892</v>
      </c>
      <c r="T178" s="750">
        <f t="shared" si="25"/>
        <v>4075.2916655617669</v>
      </c>
    </row>
    <row r="179" spans="1:22" ht="15">
      <c r="A179" s="751">
        <f t="shared" si="26"/>
        <v>44920</v>
      </c>
      <c r="B179" s="749">
        <f t="shared" si="21"/>
        <v>12</v>
      </c>
      <c r="C179" s="749">
        <f t="shared" si="22"/>
        <v>25</v>
      </c>
      <c r="D179" t="s">
        <v>1531</v>
      </c>
      <c r="E179" s="413">
        <v>722884.01721300487</v>
      </c>
      <c r="F179" s="413">
        <v>469428.49497245025</v>
      </c>
      <c r="G179" s="413">
        <v>10634.874995949198</v>
      </c>
      <c r="I179" t="s">
        <v>1532</v>
      </c>
      <c r="J179" s="642">
        <v>3646066</v>
      </c>
      <c r="K179" s="642">
        <f t="shared" si="18"/>
        <v>151919.41666666666</v>
      </c>
      <c r="L179" s="642">
        <v>76038</v>
      </c>
      <c r="M179" s="642">
        <f t="shared" si="19"/>
        <v>3168.25</v>
      </c>
      <c r="N179" s="642">
        <v>72</v>
      </c>
      <c r="O179" s="642">
        <f t="shared" si="20"/>
        <v>3</v>
      </c>
      <c r="Q179" t="s">
        <v>1533</v>
      </c>
      <c r="R179" s="750">
        <f t="shared" si="23"/>
        <v>4.7583385525967214</v>
      </c>
      <c r="S179" s="750">
        <f t="shared" si="24"/>
        <v>148.16649411266479</v>
      </c>
      <c r="T179" s="750">
        <f t="shared" si="25"/>
        <v>3544.9583319830658</v>
      </c>
    </row>
    <row r="180" spans="1:22" ht="15">
      <c r="A180" s="751">
        <f t="shared" si="26"/>
        <v>44921</v>
      </c>
      <c r="B180" s="749">
        <f t="shared" si="21"/>
        <v>12</v>
      </c>
      <c r="C180" s="749">
        <f t="shared" si="22"/>
        <v>26</v>
      </c>
      <c r="D180" t="s">
        <v>1531</v>
      </c>
      <c r="E180" s="413">
        <v>614683.66617109266</v>
      </c>
      <c r="F180" s="413">
        <v>254233.91241391259</v>
      </c>
      <c r="G180" s="413">
        <v>9519.8749948441</v>
      </c>
      <c r="I180" t="s">
        <v>1532</v>
      </c>
      <c r="J180" s="642">
        <v>3646633</v>
      </c>
      <c r="K180" s="642">
        <f t="shared" si="18"/>
        <v>151943.04166666666</v>
      </c>
      <c r="L180" s="642">
        <v>76036</v>
      </c>
      <c r="M180" s="642">
        <f t="shared" si="19"/>
        <v>3168.1666666666665</v>
      </c>
      <c r="N180" s="642">
        <v>72</v>
      </c>
      <c r="O180" s="642">
        <f t="shared" si="20"/>
        <v>3</v>
      </c>
      <c r="Q180" t="s">
        <v>1533</v>
      </c>
      <c r="R180" s="750">
        <f t="shared" si="23"/>
        <v>4.045487436796142</v>
      </c>
      <c r="S180" s="750">
        <f t="shared" si="24"/>
        <v>80.246381949785658</v>
      </c>
      <c r="T180" s="750">
        <f t="shared" si="25"/>
        <v>3173.2916649480335</v>
      </c>
    </row>
    <row r="181" spans="1:22" ht="15">
      <c r="A181" s="751">
        <f t="shared" si="26"/>
        <v>44922</v>
      </c>
      <c r="B181" s="749">
        <f t="shared" si="21"/>
        <v>12</v>
      </c>
      <c r="C181" s="749">
        <f t="shared" si="22"/>
        <v>27</v>
      </c>
      <c r="D181" t="s">
        <v>1531</v>
      </c>
      <c r="E181" s="413">
        <v>568907.76261416741</v>
      </c>
      <c r="F181" s="413">
        <v>332528.74048105319</v>
      </c>
      <c r="G181" s="413">
        <v>8647.874995212198</v>
      </c>
      <c r="I181" t="s">
        <v>1532</v>
      </c>
      <c r="J181" s="642">
        <v>3646188</v>
      </c>
      <c r="K181" s="642">
        <f t="shared" si="18"/>
        <v>151924.5</v>
      </c>
      <c r="L181" s="642">
        <v>76089</v>
      </c>
      <c r="M181" s="642">
        <f t="shared" si="19"/>
        <v>3170.375</v>
      </c>
      <c r="N181" s="642">
        <v>72</v>
      </c>
      <c r="O181" s="642">
        <f t="shared" si="20"/>
        <v>3</v>
      </c>
      <c r="Q181" t="s">
        <v>1533</v>
      </c>
      <c r="R181" s="750">
        <f t="shared" si="23"/>
        <v>3.7446742468408152</v>
      </c>
      <c r="S181" s="750">
        <f t="shared" si="24"/>
        <v>104.88624862391774</v>
      </c>
      <c r="T181" s="750">
        <f t="shared" si="25"/>
        <v>2882.624998404066</v>
      </c>
    </row>
    <row r="182" spans="1:22" ht="15">
      <c r="A182" s="751">
        <f t="shared" si="26"/>
        <v>44923</v>
      </c>
      <c r="B182" s="749">
        <f t="shared" si="21"/>
        <v>12</v>
      </c>
      <c r="C182" s="749">
        <f t="shared" si="22"/>
        <v>28</v>
      </c>
      <c r="D182" t="s">
        <v>1531</v>
      </c>
      <c r="E182" s="413">
        <v>617435.38864638412</v>
      </c>
      <c r="F182" s="413">
        <v>291224.63782493363</v>
      </c>
      <c r="G182" s="413">
        <v>9618.8749963169994</v>
      </c>
      <c r="I182" t="s">
        <v>1532</v>
      </c>
      <c r="J182" s="642">
        <v>3646271</v>
      </c>
      <c r="K182" s="642">
        <f t="shared" si="18"/>
        <v>151927.95833333334</v>
      </c>
      <c r="L182" s="642">
        <v>76216</v>
      </c>
      <c r="M182" s="642">
        <f t="shared" si="19"/>
        <v>3175.6666666666665</v>
      </c>
      <c r="N182" s="642">
        <v>72</v>
      </c>
      <c r="O182" s="642">
        <f t="shared" si="20"/>
        <v>3</v>
      </c>
      <c r="Q182" t="s">
        <v>1533</v>
      </c>
      <c r="R182" s="750">
        <f t="shared" si="23"/>
        <v>4.0640010924896197</v>
      </c>
      <c r="S182" s="750">
        <f t="shared" si="24"/>
        <v>91.705039726545706</v>
      </c>
      <c r="T182" s="750">
        <f t="shared" si="25"/>
        <v>3206.2916654389996</v>
      </c>
    </row>
    <row r="183" spans="1:22" ht="15">
      <c r="A183" s="751">
        <f t="shared" si="26"/>
        <v>44924</v>
      </c>
      <c r="B183" s="749">
        <f t="shared" si="21"/>
        <v>12</v>
      </c>
      <c r="C183" s="749">
        <f t="shared" si="22"/>
        <v>29</v>
      </c>
      <c r="D183" t="s">
        <v>1531</v>
      </c>
      <c r="E183" s="413">
        <v>619085.47765839635</v>
      </c>
      <c r="F183" s="413">
        <v>252287.51489592961</v>
      </c>
      <c r="G183" s="413">
        <v>9734.8749944755982</v>
      </c>
      <c r="I183" t="s">
        <v>1532</v>
      </c>
      <c r="J183" s="642">
        <v>3646397</v>
      </c>
      <c r="K183" s="642">
        <f t="shared" si="18"/>
        <v>151933.20833333334</v>
      </c>
      <c r="L183" s="642">
        <v>76151</v>
      </c>
      <c r="M183" s="642">
        <f t="shared" si="19"/>
        <v>3172.9583333333335</v>
      </c>
      <c r="N183" s="642">
        <v>72</v>
      </c>
      <c r="O183" s="642">
        <f t="shared" si="20"/>
        <v>3</v>
      </c>
      <c r="Q183" t="s">
        <v>1533</v>
      </c>
      <c r="R183" s="750">
        <f t="shared" si="23"/>
        <v>4.0747212834481576</v>
      </c>
      <c r="S183" s="750">
        <f t="shared" si="24"/>
        <v>79.511764225056936</v>
      </c>
      <c r="T183" s="750">
        <f t="shared" si="25"/>
        <v>3244.9583314918659</v>
      </c>
    </row>
    <row r="184" spans="1:22" ht="15">
      <c r="A184" s="751">
        <f t="shared" si="26"/>
        <v>44925</v>
      </c>
      <c r="B184" s="749">
        <f t="shared" si="21"/>
        <v>12</v>
      </c>
      <c r="C184" s="749">
        <f t="shared" si="22"/>
        <v>30</v>
      </c>
      <c r="D184" t="s">
        <v>1531</v>
      </c>
      <c r="E184" s="413">
        <v>643931.38351250009</v>
      </c>
      <c r="F184" s="413">
        <v>433712.17535977019</v>
      </c>
      <c r="G184" s="413">
        <v>9498.8749948440018</v>
      </c>
      <c r="I184" t="s">
        <v>1532</v>
      </c>
      <c r="J184" s="642">
        <v>3646598</v>
      </c>
      <c r="K184" s="642">
        <f t="shared" si="18"/>
        <v>151941.58333333334</v>
      </c>
      <c r="L184" s="642">
        <v>76149</v>
      </c>
      <c r="M184" s="642">
        <f t="shared" si="19"/>
        <v>3172.875</v>
      </c>
      <c r="N184" s="642">
        <v>72</v>
      </c>
      <c r="O184" s="642">
        <f t="shared" si="20"/>
        <v>3</v>
      </c>
      <c r="Q184" t="s">
        <v>1533</v>
      </c>
      <c r="R184" s="750">
        <f t="shared" si="23"/>
        <v>4.2380194373769751</v>
      </c>
      <c r="S184" s="750">
        <f t="shared" si="24"/>
        <v>136.69374789733922</v>
      </c>
      <c r="T184" s="750">
        <f t="shared" si="25"/>
        <v>3166.2916649480007</v>
      </c>
    </row>
    <row r="185" spans="1:22" ht="15">
      <c r="A185" s="751">
        <f t="shared" si="26"/>
        <v>44926</v>
      </c>
      <c r="B185" s="749">
        <f t="shared" si="21"/>
        <v>12</v>
      </c>
      <c r="C185" s="749">
        <f t="shared" si="22"/>
        <v>31</v>
      </c>
      <c r="D185" t="s">
        <v>1531</v>
      </c>
      <c r="E185" s="413">
        <v>587623.07523532375</v>
      </c>
      <c r="F185" s="413">
        <v>329068.57812088274</v>
      </c>
      <c r="G185" s="413">
        <v>7789.6562468523007</v>
      </c>
      <c r="I185" t="s">
        <v>1532</v>
      </c>
      <c r="J185" s="642">
        <v>3645896</v>
      </c>
      <c r="K185" s="642">
        <f t="shared" si="18"/>
        <v>151912.33333333334</v>
      </c>
      <c r="L185" s="642">
        <v>76200</v>
      </c>
      <c r="M185" s="642">
        <f t="shared" si="19"/>
        <v>3175</v>
      </c>
      <c r="N185" s="642">
        <v>72</v>
      </c>
      <c r="O185" s="642">
        <f t="shared" si="20"/>
        <v>3</v>
      </c>
      <c r="Q185" t="s">
        <v>1533</v>
      </c>
      <c r="R185" s="750">
        <f t="shared" si="23"/>
        <v>3.8681722697651741</v>
      </c>
      <c r="S185" s="750">
        <f t="shared" si="24"/>
        <v>103.64364665224653</v>
      </c>
      <c r="T185" s="750">
        <f t="shared" si="25"/>
        <v>2596.5520822841004</v>
      </c>
    </row>
    <row r="186" spans="1:22" ht="15">
      <c r="A186" s="751">
        <f t="shared" si="26"/>
        <v>44927</v>
      </c>
      <c r="B186" s="749">
        <f t="shared" si="21"/>
        <v>1</v>
      </c>
      <c r="C186" s="749">
        <f t="shared" si="22"/>
        <v>1</v>
      </c>
      <c r="D186" t="s">
        <v>1531</v>
      </c>
      <c r="E186" s="413">
        <v>613196.40621647192</v>
      </c>
      <c r="F186" s="413">
        <v>323765.68244854105</v>
      </c>
      <c r="G186" s="413">
        <v>7895.6562473017029</v>
      </c>
      <c r="I186" t="s">
        <v>1532</v>
      </c>
      <c r="J186" s="642">
        <v>3646294</v>
      </c>
      <c r="K186" s="642">
        <f t="shared" si="18"/>
        <v>151928.91666666666</v>
      </c>
      <c r="L186" s="642">
        <v>76223</v>
      </c>
      <c r="M186" s="642">
        <f t="shared" si="19"/>
        <v>3175.9583333333335</v>
      </c>
      <c r="N186" s="642">
        <v>72</v>
      </c>
      <c r="O186" s="642">
        <f t="shared" si="20"/>
        <v>3</v>
      </c>
      <c r="Q186" t="s">
        <v>1533</v>
      </c>
      <c r="R186" s="750">
        <f t="shared" si="23"/>
        <v>4.0360743673426569</v>
      </c>
      <c r="S186" s="750">
        <f t="shared" si="24"/>
        <v>101.94267319267131</v>
      </c>
      <c r="T186" s="750">
        <f t="shared" si="25"/>
        <v>2631.8854157672345</v>
      </c>
    </row>
    <row r="187" spans="1:22" ht="15">
      <c r="A187" s="751">
        <f t="shared" si="26"/>
        <v>44928</v>
      </c>
      <c r="B187" s="749">
        <f t="shared" si="21"/>
        <v>1</v>
      </c>
      <c r="C187" s="749">
        <f t="shared" si="22"/>
        <v>2</v>
      </c>
      <c r="D187" t="s">
        <v>1531</v>
      </c>
      <c r="E187" s="413">
        <v>664744.82423730858</v>
      </c>
      <c r="F187" s="413">
        <v>352462.98147431057</v>
      </c>
      <c r="G187" s="413">
        <v>8612.6562470768004</v>
      </c>
      <c r="I187" t="s">
        <v>1532</v>
      </c>
      <c r="J187" s="642">
        <v>3646316</v>
      </c>
      <c r="K187" s="642">
        <f t="shared" si="18"/>
        <v>151929.83333333334</v>
      </c>
      <c r="L187" s="642">
        <v>76277</v>
      </c>
      <c r="M187" s="642">
        <f t="shared" si="19"/>
        <v>3178.2083333333335</v>
      </c>
      <c r="N187" s="642">
        <v>72</v>
      </c>
      <c r="O187" s="642">
        <f t="shared" si="20"/>
        <v>3</v>
      </c>
      <c r="Q187" t="s">
        <v>1533</v>
      </c>
      <c r="R187" s="750">
        <f t="shared" si="23"/>
        <v>4.3753409692674481</v>
      </c>
      <c r="S187" s="750">
        <f t="shared" si="24"/>
        <v>110.899898467211</v>
      </c>
      <c r="T187" s="750">
        <f t="shared" si="25"/>
        <v>2870.8854156922666</v>
      </c>
    </row>
    <row r="188" spans="1:22" ht="15">
      <c r="A188" s="751">
        <f t="shared" si="26"/>
        <v>44929</v>
      </c>
      <c r="B188" s="749">
        <f t="shared" si="21"/>
        <v>1</v>
      </c>
      <c r="C188" s="749">
        <f t="shared" si="22"/>
        <v>3</v>
      </c>
      <c r="D188" t="s">
        <v>1531</v>
      </c>
      <c r="E188" s="413">
        <v>744549.19612741133</v>
      </c>
      <c r="F188" s="413">
        <v>274112.7694393706</v>
      </c>
      <c r="G188" s="413">
        <v>8802.6562473015001</v>
      </c>
      <c r="I188" t="s">
        <v>1532</v>
      </c>
      <c r="J188" s="642">
        <v>3644882</v>
      </c>
      <c r="K188" s="642">
        <f t="shared" si="18"/>
        <v>151870.08333333334</v>
      </c>
      <c r="L188" s="642">
        <v>76285</v>
      </c>
      <c r="M188" s="642">
        <f t="shared" si="19"/>
        <v>3178.5416666666665</v>
      </c>
      <c r="N188" s="642">
        <v>72</v>
      </c>
      <c r="O188" s="642">
        <f t="shared" si="20"/>
        <v>3</v>
      </c>
      <c r="Q188" t="s">
        <v>1533</v>
      </c>
      <c r="R188" s="750">
        <f t="shared" si="23"/>
        <v>4.9025402487811318</v>
      </c>
      <c r="S188" s="750">
        <f t="shared" si="24"/>
        <v>86.238532693778524</v>
      </c>
      <c r="T188" s="750">
        <f t="shared" si="25"/>
        <v>2934.2187491005002</v>
      </c>
    </row>
    <row r="189" spans="1:22" ht="15">
      <c r="A189" s="751">
        <f t="shared" si="26"/>
        <v>44930</v>
      </c>
      <c r="B189" s="749">
        <f t="shared" si="21"/>
        <v>1</v>
      </c>
      <c r="C189" s="749">
        <f t="shared" si="22"/>
        <v>4</v>
      </c>
      <c r="D189" t="s">
        <v>1531</v>
      </c>
      <c r="E189" s="413">
        <v>713324.75786061282</v>
      </c>
      <c r="F189" s="413">
        <v>373497.26680067828</v>
      </c>
      <c r="G189" s="413">
        <v>8766.6562475265</v>
      </c>
      <c r="I189" t="s">
        <v>1532</v>
      </c>
      <c r="J189" s="642">
        <v>3645995</v>
      </c>
      <c r="K189" s="642">
        <f t="shared" si="18"/>
        <v>151916.45833333334</v>
      </c>
      <c r="L189" s="642">
        <v>76295</v>
      </c>
      <c r="M189" s="642">
        <f t="shared" si="19"/>
        <v>3178.9583333333335</v>
      </c>
      <c r="N189" s="642">
        <v>72</v>
      </c>
      <c r="O189" s="642">
        <f t="shared" si="20"/>
        <v>3</v>
      </c>
      <c r="Q189" t="s">
        <v>1533</v>
      </c>
      <c r="R189" s="750">
        <f t="shared" si="23"/>
        <v>4.6955067652738709</v>
      </c>
      <c r="S189" s="750">
        <f t="shared" si="24"/>
        <v>117.4904568217613</v>
      </c>
      <c r="T189" s="750">
        <f t="shared" si="25"/>
        <v>2922.2187491754999</v>
      </c>
    </row>
    <row r="190" spans="1:22" ht="15">
      <c r="A190" s="751">
        <f t="shared" si="26"/>
        <v>44931</v>
      </c>
      <c r="B190" s="749">
        <f t="shared" si="21"/>
        <v>1</v>
      </c>
      <c r="C190" s="749">
        <f t="shared" si="22"/>
        <v>5</v>
      </c>
      <c r="D190" t="s">
        <v>1531</v>
      </c>
      <c r="E190" s="413">
        <v>644548.30224657548</v>
      </c>
      <c r="F190" s="413">
        <v>667649.12949588604</v>
      </c>
      <c r="G190" s="413">
        <v>8271.6562473015001</v>
      </c>
      <c r="I190" t="s">
        <v>1532</v>
      </c>
      <c r="J190" s="642">
        <v>3646379</v>
      </c>
      <c r="K190" s="642">
        <f t="shared" si="18"/>
        <v>151932.45833333334</v>
      </c>
      <c r="L190" s="642">
        <v>76327</v>
      </c>
      <c r="M190" s="642">
        <f t="shared" si="19"/>
        <v>3180.2916666666665</v>
      </c>
      <c r="N190" s="642">
        <v>72</v>
      </c>
      <c r="O190" s="642">
        <f t="shared" si="20"/>
        <v>3</v>
      </c>
      <c r="Q190" t="s">
        <v>1533</v>
      </c>
      <c r="R190" s="750">
        <f t="shared" si="23"/>
        <v>4.2423344512234769</v>
      </c>
      <c r="S190" s="750">
        <f t="shared" si="24"/>
        <v>209.9333015564776</v>
      </c>
      <c r="T190" s="750">
        <f t="shared" si="25"/>
        <v>2757.2187491005002</v>
      </c>
    </row>
    <row r="191" spans="1:22" ht="15">
      <c r="A191" s="751">
        <f t="shared" si="26"/>
        <v>44932</v>
      </c>
      <c r="B191" s="749">
        <f t="shared" si="21"/>
        <v>1</v>
      </c>
      <c r="C191" s="749">
        <f t="shared" si="22"/>
        <v>6</v>
      </c>
      <c r="D191" t="s">
        <v>1531</v>
      </c>
      <c r="E191" s="413">
        <v>607352.54483953374</v>
      </c>
      <c r="F191" s="413">
        <v>375990.65443201712</v>
      </c>
      <c r="G191" s="413">
        <v>8006.6562475266001</v>
      </c>
      <c r="I191" t="s">
        <v>1532</v>
      </c>
      <c r="J191" s="642">
        <v>3646375</v>
      </c>
      <c r="K191" s="642">
        <f t="shared" si="18"/>
        <v>151932.29166666666</v>
      </c>
      <c r="L191" s="642">
        <v>76387</v>
      </c>
      <c r="M191" s="642">
        <f t="shared" si="19"/>
        <v>3182.7916666666665</v>
      </c>
      <c r="N191" s="642">
        <v>72</v>
      </c>
      <c r="O191" s="642">
        <f t="shared" si="20"/>
        <v>3</v>
      </c>
      <c r="Q191" t="s">
        <v>1533</v>
      </c>
      <c r="R191" s="750">
        <f t="shared" si="23"/>
        <v>3.997521120605755</v>
      </c>
      <c r="S191" s="750">
        <f t="shared" si="24"/>
        <v>118.1323485196226</v>
      </c>
      <c r="T191" s="750">
        <f t="shared" si="25"/>
        <v>2668.8854158422</v>
      </c>
    </row>
    <row r="192" spans="1:22" ht="15">
      <c r="A192" s="751">
        <f t="shared" si="26"/>
        <v>44933</v>
      </c>
      <c r="B192" s="749">
        <f t="shared" si="21"/>
        <v>1</v>
      </c>
      <c r="C192" s="749">
        <f t="shared" si="22"/>
        <v>7</v>
      </c>
      <c r="D192" t="s">
        <v>1531</v>
      </c>
      <c r="E192" s="413">
        <v>706149.17364957859</v>
      </c>
      <c r="F192" s="413">
        <v>333832.08298110822</v>
      </c>
      <c r="G192" s="413">
        <v>7661.6562475266001</v>
      </c>
      <c r="I192" t="s">
        <v>1532</v>
      </c>
      <c r="J192" s="642">
        <v>3646474</v>
      </c>
      <c r="K192" s="642">
        <f t="shared" si="18"/>
        <v>151936.41666666666</v>
      </c>
      <c r="L192" s="642">
        <v>76385</v>
      </c>
      <c r="M192" s="642">
        <f t="shared" si="19"/>
        <v>3182.7083333333335</v>
      </c>
      <c r="N192" s="642">
        <v>72</v>
      </c>
      <c r="O192" s="642">
        <f t="shared" si="20"/>
        <v>3</v>
      </c>
      <c r="Q192" t="s">
        <v>1533</v>
      </c>
      <c r="R192" s="750">
        <f t="shared" si="23"/>
        <v>4.6476624178836561</v>
      </c>
      <c r="S192" s="750">
        <f t="shared" si="24"/>
        <v>104.88931061787781</v>
      </c>
      <c r="T192" s="750">
        <f t="shared" si="25"/>
        <v>2553.8854158422</v>
      </c>
    </row>
    <row r="193" spans="1:20" ht="15">
      <c r="A193" s="751">
        <f t="shared" si="26"/>
        <v>44934</v>
      </c>
      <c r="B193" s="749">
        <f t="shared" si="21"/>
        <v>1</v>
      </c>
      <c r="C193" s="749">
        <f t="shared" si="22"/>
        <v>8</v>
      </c>
      <c r="D193" t="s">
        <v>1531</v>
      </c>
      <c r="E193" s="413">
        <v>597015.31632654427</v>
      </c>
      <c r="F193" s="413">
        <v>193116.2326240376</v>
      </c>
      <c r="G193" s="413">
        <v>7481.6562473015983</v>
      </c>
      <c r="I193" t="s">
        <v>1532</v>
      </c>
      <c r="J193" s="642">
        <v>3645675</v>
      </c>
      <c r="K193" s="642">
        <f t="shared" si="18"/>
        <v>151903.125</v>
      </c>
      <c r="L193" s="642">
        <v>76397</v>
      </c>
      <c r="M193" s="642">
        <f t="shared" si="19"/>
        <v>3183.2083333333335</v>
      </c>
      <c r="N193" s="642">
        <v>72</v>
      </c>
      <c r="O193" s="642">
        <f t="shared" si="20"/>
        <v>3</v>
      </c>
      <c r="Q193" t="s">
        <v>1533</v>
      </c>
      <c r="R193" s="750">
        <f t="shared" si="23"/>
        <v>3.9302372240633252</v>
      </c>
      <c r="S193" s="750">
        <f t="shared" si="24"/>
        <v>60.66716733611139</v>
      </c>
      <c r="T193" s="750">
        <f t="shared" si="25"/>
        <v>2493.8854157671994</v>
      </c>
    </row>
    <row r="194" spans="1:20" ht="15">
      <c r="A194" s="751">
        <f t="shared" si="26"/>
        <v>44935</v>
      </c>
      <c r="B194" s="749">
        <f t="shared" si="21"/>
        <v>1</v>
      </c>
      <c r="C194" s="749">
        <f t="shared" si="22"/>
        <v>9</v>
      </c>
      <c r="D194" t="s">
        <v>1531</v>
      </c>
      <c r="E194" s="413">
        <v>629272.27773449558</v>
      </c>
      <c r="F194" s="413">
        <v>445098.50714169675</v>
      </c>
      <c r="G194" s="413">
        <v>8325.6562470770004</v>
      </c>
      <c r="I194" t="s">
        <v>1532</v>
      </c>
      <c r="J194" s="642">
        <v>3645222</v>
      </c>
      <c r="K194" s="642">
        <f t="shared" ref="K194:K257" si="27">J194/$U$1</f>
        <v>151884.25</v>
      </c>
      <c r="L194" s="642">
        <v>76385</v>
      </c>
      <c r="M194" s="642">
        <f t="shared" ref="M194:M257" si="28">L194/$U$1</f>
        <v>3182.7083333333335</v>
      </c>
      <c r="N194" s="642">
        <v>72</v>
      </c>
      <c r="O194" s="642">
        <f t="shared" ref="O194:O257" si="29">N194/$U$1</f>
        <v>3</v>
      </c>
      <c r="Q194" t="s">
        <v>1533</v>
      </c>
      <c r="R194" s="750">
        <f t="shared" si="23"/>
        <v>4.1431042240027889</v>
      </c>
      <c r="S194" s="750">
        <f t="shared" si="24"/>
        <v>139.84897782811706</v>
      </c>
      <c r="T194" s="750">
        <f t="shared" si="25"/>
        <v>2775.218749025667</v>
      </c>
    </row>
    <row r="195" spans="1:20" ht="15">
      <c r="A195" s="751">
        <f t="shared" si="26"/>
        <v>44936</v>
      </c>
      <c r="B195" s="749">
        <f t="shared" ref="B195:B258" si="30">MONTH(A195)</f>
        <v>1</v>
      </c>
      <c r="C195" s="749">
        <f t="shared" ref="C195:C258" si="31">DAY(A195)</f>
        <v>10</v>
      </c>
      <c r="D195" t="s">
        <v>1531</v>
      </c>
      <c r="E195" s="413">
        <v>618296.68226461485</v>
      </c>
      <c r="F195" s="413">
        <v>450628.26977866399</v>
      </c>
      <c r="G195" s="413">
        <v>8034.6562470766994</v>
      </c>
      <c r="I195" t="s">
        <v>1532</v>
      </c>
      <c r="J195" s="642">
        <v>3646460</v>
      </c>
      <c r="K195" s="642">
        <f t="shared" si="27"/>
        <v>151935.83333333334</v>
      </c>
      <c r="L195" s="642">
        <v>76378</v>
      </c>
      <c r="M195" s="642">
        <f t="shared" si="28"/>
        <v>3182.4166666666665</v>
      </c>
      <c r="N195" s="642">
        <v>72</v>
      </c>
      <c r="O195" s="642">
        <f t="shared" si="29"/>
        <v>3</v>
      </c>
      <c r="Q195" t="s">
        <v>1533</v>
      </c>
      <c r="R195" s="750">
        <f t="shared" ref="R195:R258" si="32">E195/K195</f>
        <v>4.0694592493406638</v>
      </c>
      <c r="S195" s="750">
        <f t="shared" ref="S195:S258" si="33">F195/M195</f>
        <v>141.5993934730935</v>
      </c>
      <c r="T195" s="750">
        <f t="shared" ref="T195:T258" si="34">G195/O195</f>
        <v>2678.2187490255665</v>
      </c>
    </row>
    <row r="196" spans="1:20" ht="15">
      <c r="A196" s="751">
        <f t="shared" ref="A196:A259" si="35">A195+1</f>
        <v>44937</v>
      </c>
      <c r="B196" s="749">
        <f t="shared" si="30"/>
        <v>1</v>
      </c>
      <c r="C196" s="749">
        <f t="shared" si="31"/>
        <v>11</v>
      </c>
      <c r="D196" t="s">
        <v>1531</v>
      </c>
      <c r="E196" s="413">
        <v>642990.34076080529</v>
      </c>
      <c r="F196" s="413">
        <v>577234.74327080278</v>
      </c>
      <c r="G196" s="413">
        <v>8390.6562473015001</v>
      </c>
      <c r="I196" t="s">
        <v>1532</v>
      </c>
      <c r="J196" s="642">
        <v>3646719</v>
      </c>
      <c r="K196" s="642">
        <f t="shared" si="27"/>
        <v>151946.625</v>
      </c>
      <c r="L196" s="642">
        <v>76309</v>
      </c>
      <c r="M196" s="642">
        <f t="shared" si="28"/>
        <v>3179.5416666666665</v>
      </c>
      <c r="N196" s="642">
        <v>72</v>
      </c>
      <c r="O196" s="642">
        <f t="shared" si="29"/>
        <v>3</v>
      </c>
      <c r="Q196" t="s">
        <v>1533</v>
      </c>
      <c r="R196" s="750">
        <f t="shared" si="32"/>
        <v>4.2316855722251505</v>
      </c>
      <c r="S196" s="750">
        <f t="shared" si="33"/>
        <v>181.54652581608025</v>
      </c>
      <c r="T196" s="750">
        <f t="shared" si="34"/>
        <v>2796.8854157671667</v>
      </c>
    </row>
    <row r="197" spans="1:20" ht="15">
      <c r="A197" s="751">
        <f t="shared" si="35"/>
        <v>44938</v>
      </c>
      <c r="B197" s="749">
        <f t="shared" si="30"/>
        <v>1</v>
      </c>
      <c r="C197" s="749">
        <f t="shared" si="31"/>
        <v>12</v>
      </c>
      <c r="D197" t="s">
        <v>1531</v>
      </c>
      <c r="E197" s="413">
        <v>588753.69025136868</v>
      </c>
      <c r="F197" s="413">
        <v>260096.26894139565</v>
      </c>
      <c r="G197" s="413">
        <v>7873.6572475267003</v>
      </c>
      <c r="I197" t="s">
        <v>1532</v>
      </c>
      <c r="J197" s="642">
        <v>3644956</v>
      </c>
      <c r="K197" s="642">
        <f t="shared" si="27"/>
        <v>151873.16666666666</v>
      </c>
      <c r="L197" s="642">
        <v>76189</v>
      </c>
      <c r="M197" s="642">
        <f t="shared" si="28"/>
        <v>3174.5416666666665</v>
      </c>
      <c r="N197" s="642">
        <v>72</v>
      </c>
      <c r="O197" s="642">
        <f t="shared" si="29"/>
        <v>3</v>
      </c>
      <c r="Q197" t="s">
        <v>1533</v>
      </c>
      <c r="R197" s="750">
        <f t="shared" si="32"/>
        <v>3.8766143037207716</v>
      </c>
      <c r="S197" s="750">
        <f t="shared" si="33"/>
        <v>81.931912147337485</v>
      </c>
      <c r="T197" s="750">
        <f t="shared" si="34"/>
        <v>2624.5524158422336</v>
      </c>
    </row>
    <row r="198" spans="1:20" ht="15">
      <c r="A198" s="751">
        <f t="shared" si="35"/>
        <v>44939</v>
      </c>
      <c r="B198" s="749">
        <f t="shared" si="30"/>
        <v>1</v>
      </c>
      <c r="C198" s="749">
        <f t="shared" si="31"/>
        <v>13</v>
      </c>
      <c r="D198" t="s">
        <v>1531</v>
      </c>
      <c r="E198" s="413">
        <v>545795.43393041426</v>
      </c>
      <c r="F198" s="413">
        <v>537873.34607788245</v>
      </c>
      <c r="G198" s="413">
        <v>7471.6542466269002</v>
      </c>
      <c r="I198" t="s">
        <v>1532</v>
      </c>
      <c r="J198" s="642">
        <v>3644270</v>
      </c>
      <c r="K198" s="642">
        <f t="shared" si="27"/>
        <v>151844.58333333334</v>
      </c>
      <c r="L198" s="642">
        <v>76283</v>
      </c>
      <c r="M198" s="642">
        <f t="shared" si="28"/>
        <v>3178.4583333333335</v>
      </c>
      <c r="N198" s="642">
        <v>72</v>
      </c>
      <c r="O198" s="642">
        <f t="shared" si="29"/>
        <v>3</v>
      </c>
      <c r="Q198" t="s">
        <v>1533</v>
      </c>
      <c r="R198" s="750">
        <f t="shared" si="32"/>
        <v>3.5944346643717235</v>
      </c>
      <c r="S198" s="750">
        <f t="shared" si="33"/>
        <v>169.22460188861447</v>
      </c>
      <c r="T198" s="750">
        <f t="shared" si="34"/>
        <v>2490.5514155423002</v>
      </c>
    </row>
    <row r="199" spans="1:20" ht="15">
      <c r="A199" s="751">
        <f t="shared" si="35"/>
        <v>44940</v>
      </c>
      <c r="B199" s="749">
        <f t="shared" si="30"/>
        <v>1</v>
      </c>
      <c r="C199" s="749">
        <f t="shared" si="31"/>
        <v>14</v>
      </c>
      <c r="D199" t="s">
        <v>1531</v>
      </c>
      <c r="E199" s="413">
        <v>501814.47879152757</v>
      </c>
      <c r="F199" s="413">
        <v>302655.7812895127</v>
      </c>
      <c r="G199" s="413">
        <v>7072.6562473016002</v>
      </c>
      <c r="I199" t="s">
        <v>1532</v>
      </c>
      <c r="J199" s="642">
        <v>3644956</v>
      </c>
      <c r="K199" s="642">
        <f t="shared" si="27"/>
        <v>151873.16666666666</v>
      </c>
      <c r="L199" s="642">
        <v>76320</v>
      </c>
      <c r="M199" s="642">
        <f t="shared" si="28"/>
        <v>3180</v>
      </c>
      <c r="N199" s="642">
        <v>72</v>
      </c>
      <c r="O199" s="642">
        <f t="shared" si="29"/>
        <v>3</v>
      </c>
      <c r="Q199" t="s">
        <v>1533</v>
      </c>
      <c r="R199" s="750">
        <f t="shared" si="32"/>
        <v>3.3041681411234216</v>
      </c>
      <c r="S199" s="750">
        <f t="shared" si="33"/>
        <v>95.174773990412803</v>
      </c>
      <c r="T199" s="750">
        <f t="shared" si="34"/>
        <v>2357.5520824338669</v>
      </c>
    </row>
    <row r="200" spans="1:20" ht="15">
      <c r="A200" s="751">
        <f t="shared" si="35"/>
        <v>44941</v>
      </c>
      <c r="B200" s="749">
        <f t="shared" si="30"/>
        <v>1</v>
      </c>
      <c r="C200" s="749">
        <f t="shared" si="31"/>
        <v>15</v>
      </c>
      <c r="D200" t="s">
        <v>1531</v>
      </c>
      <c r="E200" s="413">
        <v>558722.2172441734</v>
      </c>
      <c r="F200" s="413">
        <v>285331.23804161232</v>
      </c>
      <c r="G200" s="413">
        <v>7149.6562470766003</v>
      </c>
      <c r="I200" t="s">
        <v>1532</v>
      </c>
      <c r="J200" s="642">
        <v>3645255</v>
      </c>
      <c r="K200" s="642">
        <f t="shared" si="27"/>
        <v>151885.625</v>
      </c>
      <c r="L200" s="642">
        <v>76353</v>
      </c>
      <c r="M200" s="642">
        <f t="shared" si="28"/>
        <v>3181.375</v>
      </c>
      <c r="N200" s="642">
        <v>72</v>
      </c>
      <c r="O200" s="642">
        <f t="shared" si="29"/>
        <v>3</v>
      </c>
      <c r="Q200" t="s">
        <v>1533</v>
      </c>
      <c r="R200" s="750">
        <f t="shared" si="32"/>
        <v>3.678572065290401</v>
      </c>
      <c r="S200" s="750">
        <f t="shared" si="33"/>
        <v>89.688024216451169</v>
      </c>
      <c r="T200" s="750">
        <f t="shared" si="34"/>
        <v>2383.2187490255333</v>
      </c>
    </row>
    <row r="201" spans="1:20" ht="15">
      <c r="A201" s="751">
        <f t="shared" si="35"/>
        <v>44942</v>
      </c>
      <c r="B201" s="749">
        <f t="shared" si="30"/>
        <v>1</v>
      </c>
      <c r="C201" s="749">
        <f t="shared" si="31"/>
        <v>16</v>
      </c>
      <c r="D201" t="s">
        <v>1531</v>
      </c>
      <c r="E201" s="413">
        <v>511638.01840941265</v>
      </c>
      <c r="F201" s="413">
        <v>222308.18399453873</v>
      </c>
      <c r="G201" s="413">
        <v>7402.6562479765989</v>
      </c>
      <c r="I201" t="s">
        <v>1532</v>
      </c>
      <c r="J201" s="642">
        <v>3645270</v>
      </c>
      <c r="K201" s="642">
        <f t="shared" si="27"/>
        <v>151886.25</v>
      </c>
      <c r="L201" s="642">
        <v>76329</v>
      </c>
      <c r="M201" s="642">
        <f t="shared" si="28"/>
        <v>3180.375</v>
      </c>
      <c r="N201" s="642">
        <v>72</v>
      </c>
      <c r="O201" s="642">
        <f t="shared" si="29"/>
        <v>3</v>
      </c>
      <c r="Q201" t="s">
        <v>1533</v>
      </c>
      <c r="R201" s="750">
        <f t="shared" si="32"/>
        <v>3.3685604747593194</v>
      </c>
      <c r="S201" s="750">
        <f t="shared" si="33"/>
        <v>69.899991037075424</v>
      </c>
      <c r="T201" s="750">
        <f t="shared" si="34"/>
        <v>2467.5520826588663</v>
      </c>
    </row>
    <row r="202" spans="1:20" ht="15">
      <c r="A202" s="751">
        <f t="shared" si="35"/>
        <v>44943</v>
      </c>
      <c r="B202" s="749">
        <f t="shared" si="30"/>
        <v>1</v>
      </c>
      <c r="C202" s="749">
        <f t="shared" si="31"/>
        <v>17</v>
      </c>
      <c r="D202" t="s">
        <v>1531</v>
      </c>
      <c r="E202" s="413">
        <v>599864.44266154349</v>
      </c>
      <c r="F202" s="413">
        <v>358220.30788480584</v>
      </c>
      <c r="G202" s="413">
        <v>7900.6562470768004</v>
      </c>
      <c r="I202" t="s">
        <v>1532</v>
      </c>
      <c r="J202" s="642">
        <v>3646109</v>
      </c>
      <c r="K202" s="642">
        <f t="shared" si="27"/>
        <v>151921.20833333334</v>
      </c>
      <c r="L202" s="642">
        <v>76211</v>
      </c>
      <c r="M202" s="642">
        <f t="shared" si="28"/>
        <v>3175.4583333333335</v>
      </c>
      <c r="N202" s="642">
        <v>72</v>
      </c>
      <c r="O202" s="642">
        <f t="shared" si="29"/>
        <v>3</v>
      </c>
      <c r="Q202" t="s">
        <v>1533</v>
      </c>
      <c r="R202" s="750">
        <f t="shared" si="32"/>
        <v>3.9485233776272302</v>
      </c>
      <c r="S202" s="750">
        <f t="shared" si="33"/>
        <v>112.80900905689913</v>
      </c>
      <c r="T202" s="750">
        <f t="shared" si="34"/>
        <v>2633.5520823589336</v>
      </c>
    </row>
    <row r="203" spans="1:20" ht="15">
      <c r="A203" s="751">
        <f t="shared" si="35"/>
        <v>44944</v>
      </c>
      <c r="B203" s="749">
        <f t="shared" si="30"/>
        <v>1</v>
      </c>
      <c r="C203" s="749">
        <f t="shared" si="31"/>
        <v>18</v>
      </c>
      <c r="D203" t="s">
        <v>1531</v>
      </c>
      <c r="E203" s="413">
        <v>573169.6756691949</v>
      </c>
      <c r="F203" s="413">
        <v>526383.48639677092</v>
      </c>
      <c r="G203" s="413">
        <v>7733.6562470767985</v>
      </c>
      <c r="I203" t="s">
        <v>1532</v>
      </c>
      <c r="J203" s="642">
        <v>3646640</v>
      </c>
      <c r="K203" s="642">
        <f t="shared" si="27"/>
        <v>151943.33333333334</v>
      </c>
      <c r="L203" s="642">
        <v>76259</v>
      </c>
      <c r="M203" s="642">
        <f t="shared" si="28"/>
        <v>3177.4583333333335</v>
      </c>
      <c r="N203" s="642">
        <v>72</v>
      </c>
      <c r="O203" s="642">
        <f t="shared" si="29"/>
        <v>3</v>
      </c>
      <c r="Q203" t="s">
        <v>1533</v>
      </c>
      <c r="R203" s="750">
        <f t="shared" si="32"/>
        <v>3.7722594541991192</v>
      </c>
      <c r="S203" s="750">
        <f t="shared" si="33"/>
        <v>165.66180612809637</v>
      </c>
      <c r="T203" s="750">
        <f t="shared" si="34"/>
        <v>2577.8854156922662</v>
      </c>
    </row>
    <row r="204" spans="1:20" ht="15">
      <c r="A204" s="751">
        <f t="shared" si="35"/>
        <v>44945</v>
      </c>
      <c r="B204" s="749">
        <f t="shared" si="30"/>
        <v>1</v>
      </c>
      <c r="C204" s="749">
        <f t="shared" si="31"/>
        <v>19</v>
      </c>
      <c r="D204" t="s">
        <v>1531</v>
      </c>
      <c r="E204" s="413">
        <v>618463.52054460451</v>
      </c>
      <c r="F204" s="413">
        <v>273428.04468140221</v>
      </c>
      <c r="G204" s="413">
        <v>8525.6562473019003</v>
      </c>
      <c r="I204" t="s">
        <v>1532</v>
      </c>
      <c r="J204" s="642">
        <v>3646946</v>
      </c>
      <c r="K204" s="642">
        <f t="shared" si="27"/>
        <v>151956.08333333334</v>
      </c>
      <c r="L204" s="642">
        <v>76294</v>
      </c>
      <c r="M204" s="642">
        <f t="shared" si="28"/>
        <v>3178.9166666666665</v>
      </c>
      <c r="N204" s="642">
        <v>72</v>
      </c>
      <c r="O204" s="642">
        <f t="shared" si="29"/>
        <v>3</v>
      </c>
      <c r="Q204" t="s">
        <v>1533</v>
      </c>
      <c r="R204" s="750">
        <f t="shared" si="32"/>
        <v>4.0700148817861592</v>
      </c>
      <c r="S204" s="750">
        <f t="shared" si="33"/>
        <v>86.012963959861239</v>
      </c>
      <c r="T204" s="750">
        <f t="shared" si="34"/>
        <v>2841.8854157672999</v>
      </c>
    </row>
    <row r="205" spans="1:20" ht="15">
      <c r="A205" s="751">
        <f t="shared" si="35"/>
        <v>44946</v>
      </c>
      <c r="B205" s="749">
        <f t="shared" si="30"/>
        <v>1</v>
      </c>
      <c r="C205" s="749">
        <f t="shared" si="31"/>
        <v>20</v>
      </c>
      <c r="D205" t="s">
        <v>1531</v>
      </c>
      <c r="E205" s="413">
        <v>764315.89502441348</v>
      </c>
      <c r="F205" s="413">
        <v>599328.59523893427</v>
      </c>
      <c r="G205" s="413">
        <v>9261.6562479763015</v>
      </c>
      <c r="I205" t="s">
        <v>1532</v>
      </c>
      <c r="J205" s="642">
        <v>3645564</v>
      </c>
      <c r="K205" s="642">
        <f t="shared" si="27"/>
        <v>151898.5</v>
      </c>
      <c r="L205" s="642">
        <v>76374</v>
      </c>
      <c r="M205" s="642">
        <f t="shared" si="28"/>
        <v>3182.25</v>
      </c>
      <c r="N205" s="642">
        <v>72</v>
      </c>
      <c r="O205" s="642">
        <f t="shared" si="29"/>
        <v>3</v>
      </c>
      <c r="Q205" t="s">
        <v>1533</v>
      </c>
      <c r="R205" s="750">
        <f t="shared" si="32"/>
        <v>5.0317540661982409</v>
      </c>
      <c r="S205" s="750">
        <f t="shared" si="33"/>
        <v>188.33485591607644</v>
      </c>
      <c r="T205" s="750">
        <f t="shared" si="34"/>
        <v>3087.2187493254337</v>
      </c>
    </row>
    <row r="206" spans="1:20" ht="15">
      <c r="A206" s="751">
        <f t="shared" si="35"/>
        <v>44947</v>
      </c>
      <c r="B206" s="749">
        <f t="shared" si="30"/>
        <v>1</v>
      </c>
      <c r="C206" s="749">
        <f t="shared" si="31"/>
        <v>21</v>
      </c>
      <c r="D206" t="s">
        <v>1531</v>
      </c>
      <c r="E206" s="413">
        <v>737292.21379357402</v>
      </c>
      <c r="F206" s="413">
        <v>656693.54996107763</v>
      </c>
      <c r="G206" s="413">
        <v>8441.656247301702</v>
      </c>
      <c r="I206" t="s">
        <v>1532</v>
      </c>
      <c r="J206" s="642">
        <v>3645749</v>
      </c>
      <c r="K206" s="642">
        <f t="shared" si="27"/>
        <v>151906.20833333334</v>
      </c>
      <c r="L206" s="642">
        <v>76312</v>
      </c>
      <c r="M206" s="642">
        <f t="shared" si="28"/>
        <v>3179.6666666666665</v>
      </c>
      <c r="N206" s="642">
        <v>72</v>
      </c>
      <c r="O206" s="642">
        <f t="shared" si="29"/>
        <v>3</v>
      </c>
      <c r="Q206" t="s">
        <v>1533</v>
      </c>
      <c r="R206" s="750">
        <f t="shared" si="32"/>
        <v>4.8536015866824007</v>
      </c>
      <c r="S206" s="750">
        <f t="shared" si="33"/>
        <v>206.52905439597788</v>
      </c>
      <c r="T206" s="750">
        <f t="shared" si="34"/>
        <v>2813.885415767234</v>
      </c>
    </row>
    <row r="207" spans="1:20" ht="15">
      <c r="A207" s="751">
        <f t="shared" si="35"/>
        <v>44948</v>
      </c>
      <c r="B207" s="749">
        <f t="shared" si="30"/>
        <v>1</v>
      </c>
      <c r="C207" s="749">
        <f t="shared" si="31"/>
        <v>22</v>
      </c>
      <c r="D207" t="s">
        <v>1531</v>
      </c>
      <c r="E207" s="413">
        <v>730018.89500571438</v>
      </c>
      <c r="F207" s="413">
        <v>665483.80835263082</v>
      </c>
      <c r="G207" s="413">
        <v>8964.6562468517986</v>
      </c>
      <c r="I207" t="s">
        <v>1532</v>
      </c>
      <c r="J207" s="642">
        <v>3646067</v>
      </c>
      <c r="K207" s="642">
        <f t="shared" si="27"/>
        <v>151919.45833333334</v>
      </c>
      <c r="L207" s="642">
        <v>76350</v>
      </c>
      <c r="M207" s="642">
        <f t="shared" si="28"/>
        <v>3181.25</v>
      </c>
      <c r="N207" s="642">
        <v>72</v>
      </c>
      <c r="O207" s="642">
        <f t="shared" si="29"/>
        <v>3</v>
      </c>
      <c r="Q207" t="s">
        <v>1533</v>
      </c>
      <c r="R207" s="750">
        <f t="shared" si="32"/>
        <v>4.8053021187315386</v>
      </c>
      <c r="S207" s="750">
        <f t="shared" si="33"/>
        <v>209.18940930534563</v>
      </c>
      <c r="T207" s="750">
        <f t="shared" si="34"/>
        <v>2988.2187489505995</v>
      </c>
    </row>
    <row r="208" spans="1:20" ht="15">
      <c r="A208" s="751">
        <f t="shared" si="35"/>
        <v>44949</v>
      </c>
      <c r="B208" s="749">
        <f t="shared" si="30"/>
        <v>1</v>
      </c>
      <c r="C208" s="749">
        <f t="shared" si="31"/>
        <v>23</v>
      </c>
      <c r="D208" t="s">
        <v>1531</v>
      </c>
      <c r="E208" s="413">
        <v>710359.68684543157</v>
      </c>
      <c r="F208" s="413">
        <v>679951.07231185085</v>
      </c>
      <c r="G208" s="413">
        <v>8976.6562475265</v>
      </c>
      <c r="I208" t="s">
        <v>1532</v>
      </c>
      <c r="J208" s="642">
        <v>3646087</v>
      </c>
      <c r="K208" s="642">
        <f t="shared" si="27"/>
        <v>151920.29166666666</v>
      </c>
      <c r="L208" s="642">
        <v>76322</v>
      </c>
      <c r="M208" s="642">
        <f t="shared" si="28"/>
        <v>3180.0833333333335</v>
      </c>
      <c r="N208" s="642">
        <v>72</v>
      </c>
      <c r="O208" s="642">
        <f t="shared" si="29"/>
        <v>3</v>
      </c>
      <c r="Q208" t="s">
        <v>1533</v>
      </c>
      <c r="R208" s="750">
        <f t="shared" si="32"/>
        <v>4.6758710048033301</v>
      </c>
      <c r="S208" s="750">
        <f t="shared" si="33"/>
        <v>213.81548879070806</v>
      </c>
      <c r="T208" s="750">
        <f t="shared" si="34"/>
        <v>2992.2187491754999</v>
      </c>
    </row>
    <row r="209" spans="1:20" ht="15">
      <c r="A209" s="751">
        <f t="shared" si="35"/>
        <v>44950</v>
      </c>
      <c r="B209" s="749">
        <f t="shared" si="30"/>
        <v>1</v>
      </c>
      <c r="C209" s="749">
        <f t="shared" si="31"/>
        <v>24</v>
      </c>
      <c r="D209" t="s">
        <v>1531</v>
      </c>
      <c r="E209" s="413">
        <v>694632.22663575388</v>
      </c>
      <c r="F209" s="413">
        <v>360016.02993552457</v>
      </c>
      <c r="G209" s="413">
        <v>8790.6562475265</v>
      </c>
      <c r="I209" t="s">
        <v>1532</v>
      </c>
      <c r="J209" s="642">
        <v>3646620</v>
      </c>
      <c r="K209" s="642">
        <f t="shared" si="27"/>
        <v>151942.5</v>
      </c>
      <c r="L209" s="642">
        <v>76385</v>
      </c>
      <c r="M209" s="642">
        <f t="shared" si="28"/>
        <v>3182.7083333333335</v>
      </c>
      <c r="N209" s="642">
        <v>72</v>
      </c>
      <c r="O209" s="642">
        <f t="shared" si="29"/>
        <v>3</v>
      </c>
      <c r="Q209" t="s">
        <v>1533</v>
      </c>
      <c r="R209" s="750">
        <f t="shared" si="32"/>
        <v>4.5716782772150903</v>
      </c>
      <c r="S209" s="750">
        <f t="shared" si="33"/>
        <v>113.11624950517233</v>
      </c>
      <c r="T209" s="750">
        <f t="shared" si="34"/>
        <v>2930.2187491754999</v>
      </c>
    </row>
    <row r="210" spans="1:20" ht="15">
      <c r="A210" s="751">
        <f t="shared" si="35"/>
        <v>44951</v>
      </c>
      <c r="B210" s="749">
        <f t="shared" si="30"/>
        <v>1</v>
      </c>
      <c r="C210" s="749">
        <f t="shared" si="31"/>
        <v>25</v>
      </c>
      <c r="D210" t="s">
        <v>1531</v>
      </c>
      <c r="E210" s="413">
        <v>676177.75103156641</v>
      </c>
      <c r="F210" s="413">
        <v>377065.37150860834</v>
      </c>
      <c r="G210" s="413">
        <v>8536.6562468523025</v>
      </c>
      <c r="I210" t="s">
        <v>1532</v>
      </c>
      <c r="J210" s="642">
        <v>3646796</v>
      </c>
      <c r="K210" s="642">
        <f t="shared" si="27"/>
        <v>151949.83333333334</v>
      </c>
      <c r="L210" s="642">
        <v>76329</v>
      </c>
      <c r="M210" s="642">
        <f t="shared" si="28"/>
        <v>3180.375</v>
      </c>
      <c r="N210" s="642">
        <v>72</v>
      </c>
      <c r="O210" s="642">
        <f t="shared" si="29"/>
        <v>3</v>
      </c>
      <c r="Q210" t="s">
        <v>1533</v>
      </c>
      <c r="R210" s="750">
        <f t="shared" si="32"/>
        <v>4.4500065330656264</v>
      </c>
      <c r="S210" s="750">
        <f t="shared" si="33"/>
        <v>118.5600350614655</v>
      </c>
      <c r="T210" s="750">
        <f t="shared" si="34"/>
        <v>2845.5520822841008</v>
      </c>
    </row>
    <row r="211" spans="1:20" ht="15">
      <c r="A211" s="751">
        <f t="shared" si="35"/>
        <v>44952</v>
      </c>
      <c r="B211" s="749">
        <f t="shared" si="30"/>
        <v>1</v>
      </c>
      <c r="C211" s="749">
        <f t="shared" si="31"/>
        <v>26</v>
      </c>
      <c r="D211" t="s">
        <v>1531</v>
      </c>
      <c r="E211" s="413">
        <v>588225.07882326632</v>
      </c>
      <c r="F211" s="413">
        <v>243140.63758290329</v>
      </c>
      <c r="G211" s="413">
        <v>7982.6562470770996</v>
      </c>
      <c r="I211" t="s">
        <v>1532</v>
      </c>
      <c r="J211" s="642">
        <v>3646959</v>
      </c>
      <c r="K211" s="642">
        <f t="shared" si="27"/>
        <v>151956.625</v>
      </c>
      <c r="L211" s="642">
        <v>76302</v>
      </c>
      <c r="M211" s="642">
        <f t="shared" si="28"/>
        <v>3179.25</v>
      </c>
      <c r="N211" s="642">
        <v>72</v>
      </c>
      <c r="O211" s="642">
        <f t="shared" si="29"/>
        <v>3</v>
      </c>
      <c r="Q211" t="s">
        <v>1533</v>
      </c>
      <c r="R211" s="750">
        <f t="shared" si="32"/>
        <v>3.8710064719012172</v>
      </c>
      <c r="S211" s="750">
        <f t="shared" si="33"/>
        <v>76.477357107148947</v>
      </c>
      <c r="T211" s="750">
        <f t="shared" si="34"/>
        <v>2660.8854156923667</v>
      </c>
    </row>
    <row r="212" spans="1:20" ht="15">
      <c r="A212" s="751">
        <f t="shared" si="35"/>
        <v>44953</v>
      </c>
      <c r="B212" s="749">
        <f t="shared" si="30"/>
        <v>1</v>
      </c>
      <c r="C212" s="749">
        <f t="shared" si="31"/>
        <v>27</v>
      </c>
      <c r="D212" t="s">
        <v>1531</v>
      </c>
      <c r="E212" s="413">
        <v>589686.63382671052</v>
      </c>
      <c r="F212" s="413">
        <v>443432.51434023329</v>
      </c>
      <c r="G212" s="413">
        <v>7875.6562473015993</v>
      </c>
      <c r="I212" t="s">
        <v>1532</v>
      </c>
      <c r="J212" s="642">
        <v>3647801</v>
      </c>
      <c r="K212" s="642">
        <f t="shared" si="27"/>
        <v>151991.70833333334</v>
      </c>
      <c r="L212" s="642">
        <v>76265</v>
      </c>
      <c r="M212" s="642">
        <f t="shared" si="28"/>
        <v>3177.7083333333335</v>
      </c>
      <c r="N212" s="642">
        <v>72</v>
      </c>
      <c r="O212" s="642">
        <f t="shared" si="29"/>
        <v>3</v>
      </c>
      <c r="Q212" t="s">
        <v>1533</v>
      </c>
      <c r="R212" s="750">
        <f t="shared" si="32"/>
        <v>3.8797289687241854</v>
      </c>
      <c r="S212" s="750">
        <f t="shared" si="33"/>
        <v>139.54474980876677</v>
      </c>
      <c r="T212" s="750">
        <f t="shared" si="34"/>
        <v>2625.2187491005329</v>
      </c>
    </row>
    <row r="213" spans="1:20" ht="15">
      <c r="A213" s="751">
        <f t="shared" si="35"/>
        <v>44954</v>
      </c>
      <c r="B213" s="749">
        <f t="shared" si="30"/>
        <v>1</v>
      </c>
      <c r="C213" s="749">
        <f t="shared" si="31"/>
        <v>28</v>
      </c>
      <c r="D213" t="s">
        <v>1531</v>
      </c>
      <c r="E213" s="413">
        <v>738428.43167837721</v>
      </c>
      <c r="F213" s="413">
        <v>414400.63567522349</v>
      </c>
      <c r="G213" s="413">
        <v>9148.6562470768986</v>
      </c>
      <c r="I213" t="s">
        <v>1532</v>
      </c>
      <c r="J213" s="642">
        <v>3647888</v>
      </c>
      <c r="K213" s="642">
        <f t="shared" si="27"/>
        <v>151995.33333333334</v>
      </c>
      <c r="L213" s="642">
        <v>76239</v>
      </c>
      <c r="M213" s="642">
        <f t="shared" si="28"/>
        <v>3176.625</v>
      </c>
      <c r="N213" s="642">
        <v>72</v>
      </c>
      <c r="O213" s="642">
        <f t="shared" si="29"/>
        <v>3</v>
      </c>
      <c r="Q213" t="s">
        <v>1533</v>
      </c>
      <c r="R213" s="750">
        <f t="shared" si="32"/>
        <v>4.8582309435709243</v>
      </c>
      <c r="S213" s="750">
        <f t="shared" si="33"/>
        <v>130.4531179082276</v>
      </c>
      <c r="T213" s="750">
        <f t="shared" si="34"/>
        <v>3049.5520823589663</v>
      </c>
    </row>
    <row r="214" spans="1:20" ht="15">
      <c r="A214" s="751">
        <f t="shared" si="35"/>
        <v>44955</v>
      </c>
      <c r="B214" s="749">
        <f t="shared" si="30"/>
        <v>1</v>
      </c>
      <c r="C214" s="749">
        <f t="shared" si="31"/>
        <v>29</v>
      </c>
      <c r="D214" t="s">
        <v>1531</v>
      </c>
      <c r="E214" s="413">
        <v>958987.21660725458</v>
      </c>
      <c r="F214" s="413">
        <v>340864.94085672026</v>
      </c>
      <c r="G214" s="413">
        <v>11066.656248201301</v>
      </c>
      <c r="I214" t="s">
        <v>1532</v>
      </c>
      <c r="J214" s="642">
        <v>3647286</v>
      </c>
      <c r="K214" s="642">
        <f t="shared" si="27"/>
        <v>151970.25</v>
      </c>
      <c r="L214" s="642">
        <v>76217</v>
      </c>
      <c r="M214" s="642">
        <f t="shared" si="28"/>
        <v>3175.7083333333335</v>
      </c>
      <c r="N214" s="642">
        <v>72</v>
      </c>
      <c r="O214" s="642">
        <f t="shared" si="29"/>
        <v>3</v>
      </c>
      <c r="Q214" t="s">
        <v>1533</v>
      </c>
      <c r="R214" s="750">
        <f t="shared" si="32"/>
        <v>6.3103615122516059</v>
      </c>
      <c r="S214" s="750">
        <f t="shared" si="33"/>
        <v>107.33509034154173</v>
      </c>
      <c r="T214" s="750">
        <f t="shared" si="34"/>
        <v>3688.8854160671003</v>
      </c>
    </row>
    <row r="215" spans="1:20" ht="15">
      <c r="A215" s="751">
        <f t="shared" si="35"/>
        <v>44956</v>
      </c>
      <c r="B215" s="749">
        <f t="shared" si="30"/>
        <v>1</v>
      </c>
      <c r="C215" s="749">
        <f t="shared" si="31"/>
        <v>30</v>
      </c>
      <c r="D215" t="s">
        <v>1531</v>
      </c>
      <c r="E215" s="413">
        <v>1029343.0775084294</v>
      </c>
      <c r="F215" s="413">
        <v>469147.72608528071</v>
      </c>
      <c r="G215" s="413">
        <v>11570.656247301298</v>
      </c>
      <c r="I215" t="s">
        <v>1532</v>
      </c>
      <c r="J215" s="642">
        <v>3646801</v>
      </c>
      <c r="K215" s="642">
        <f t="shared" si="27"/>
        <v>151950.04166666666</v>
      </c>
      <c r="L215" s="642">
        <v>76305</v>
      </c>
      <c r="M215" s="642">
        <f t="shared" si="28"/>
        <v>3179.375</v>
      </c>
      <c r="N215" s="642">
        <v>72</v>
      </c>
      <c r="O215" s="642">
        <f t="shared" si="29"/>
        <v>3</v>
      </c>
      <c r="Q215" t="s">
        <v>1533</v>
      </c>
      <c r="R215" s="750">
        <f t="shared" si="32"/>
        <v>6.7742204359937128</v>
      </c>
      <c r="S215" s="750">
        <f t="shared" si="33"/>
        <v>147.559732993208</v>
      </c>
      <c r="T215" s="750">
        <f t="shared" si="34"/>
        <v>3856.8854157670994</v>
      </c>
    </row>
    <row r="216" spans="1:20" ht="15">
      <c r="A216" s="751">
        <f t="shared" si="35"/>
        <v>44957</v>
      </c>
      <c r="B216" s="749">
        <f t="shared" si="30"/>
        <v>1</v>
      </c>
      <c r="C216" s="749">
        <f t="shared" si="31"/>
        <v>31</v>
      </c>
      <c r="D216" t="s">
        <v>1531</v>
      </c>
      <c r="E216" s="413">
        <v>861068.35770479136</v>
      </c>
      <c r="F216" s="413">
        <v>749524.61997524649</v>
      </c>
      <c r="G216" s="413">
        <v>10337.656247301604</v>
      </c>
      <c r="I216" t="s">
        <v>1532</v>
      </c>
      <c r="J216" s="642">
        <v>3646672</v>
      </c>
      <c r="K216" s="642">
        <f t="shared" si="27"/>
        <v>151944.66666666666</v>
      </c>
      <c r="L216" s="642">
        <v>76155</v>
      </c>
      <c r="M216" s="642">
        <f t="shared" si="28"/>
        <v>3173.125</v>
      </c>
      <c r="N216" s="642">
        <v>72</v>
      </c>
      <c r="O216" s="642">
        <f t="shared" si="29"/>
        <v>3</v>
      </c>
      <c r="Q216" t="s">
        <v>1533</v>
      </c>
      <c r="R216" s="750">
        <f t="shared" si="32"/>
        <v>5.6669863878393762</v>
      </c>
      <c r="S216" s="750">
        <f t="shared" si="33"/>
        <v>236.21024068552185</v>
      </c>
      <c r="T216" s="750">
        <f t="shared" si="34"/>
        <v>3445.8854157672013</v>
      </c>
    </row>
    <row r="217" spans="1:20" ht="15">
      <c r="A217" s="751">
        <f t="shared" si="35"/>
        <v>44958</v>
      </c>
      <c r="B217" s="749">
        <f t="shared" si="30"/>
        <v>2</v>
      </c>
      <c r="C217" s="749">
        <f t="shared" si="31"/>
        <v>1</v>
      </c>
      <c r="D217" t="s">
        <v>1531</v>
      </c>
      <c r="E217" s="413">
        <v>788696.06943965517</v>
      </c>
      <c r="F217" s="413">
        <v>385381.32837175549</v>
      </c>
      <c r="G217" s="413">
        <v>9590.3793067122006</v>
      </c>
      <c r="I217" t="s">
        <v>1532</v>
      </c>
      <c r="J217" s="642">
        <v>3647044</v>
      </c>
      <c r="K217" s="642">
        <f t="shared" si="27"/>
        <v>151960.16666666666</v>
      </c>
      <c r="L217" s="642">
        <v>76285</v>
      </c>
      <c r="M217" s="642">
        <f t="shared" si="28"/>
        <v>3178.5416666666665</v>
      </c>
      <c r="N217" s="642">
        <v>72</v>
      </c>
      <c r="O217" s="642">
        <f t="shared" si="29"/>
        <v>3</v>
      </c>
      <c r="Q217" t="s">
        <v>1533</v>
      </c>
      <c r="R217" s="750">
        <f t="shared" si="32"/>
        <v>5.1901500685354289</v>
      </c>
      <c r="S217" s="750">
        <f t="shared" si="33"/>
        <v>121.24469923211814</v>
      </c>
      <c r="T217" s="750">
        <f t="shared" si="34"/>
        <v>3196.7931022374</v>
      </c>
    </row>
    <row r="218" spans="1:20" ht="15">
      <c r="A218" s="751">
        <f t="shared" si="35"/>
        <v>44959</v>
      </c>
      <c r="B218" s="749">
        <f t="shared" si="30"/>
        <v>2</v>
      </c>
      <c r="C218" s="749">
        <f t="shared" si="31"/>
        <v>2</v>
      </c>
      <c r="D218" t="s">
        <v>1531</v>
      </c>
      <c r="E218" s="413">
        <v>759938.7572984139</v>
      </c>
      <c r="F218" s="413">
        <v>399934.25722411758</v>
      </c>
      <c r="G218" s="413">
        <v>9382.379307416697</v>
      </c>
      <c r="I218" t="s">
        <v>1532</v>
      </c>
      <c r="J218" s="642">
        <v>3648279</v>
      </c>
      <c r="K218" s="642">
        <f t="shared" si="27"/>
        <v>152011.625</v>
      </c>
      <c r="L218" s="642">
        <v>76263</v>
      </c>
      <c r="M218" s="642">
        <f t="shared" si="28"/>
        <v>3177.625</v>
      </c>
      <c r="N218" s="642">
        <v>72</v>
      </c>
      <c r="O218" s="642">
        <f t="shared" si="29"/>
        <v>3</v>
      </c>
      <c r="Q218" t="s">
        <v>1533</v>
      </c>
      <c r="R218" s="750">
        <f t="shared" si="32"/>
        <v>4.9992147462301908</v>
      </c>
      <c r="S218" s="750">
        <f t="shared" si="33"/>
        <v>125.85948852495734</v>
      </c>
      <c r="T218" s="750">
        <f t="shared" si="34"/>
        <v>3127.459769138899</v>
      </c>
    </row>
    <row r="219" spans="1:20" ht="15">
      <c r="A219" s="751">
        <f t="shared" si="35"/>
        <v>44960</v>
      </c>
      <c r="B219" s="749">
        <f t="shared" si="30"/>
        <v>2</v>
      </c>
      <c r="C219" s="749">
        <f t="shared" si="31"/>
        <v>3</v>
      </c>
      <c r="D219" t="s">
        <v>1531</v>
      </c>
      <c r="E219" s="413">
        <v>672790.13566267444</v>
      </c>
      <c r="F219" s="413">
        <v>595872.9218129043</v>
      </c>
      <c r="G219" s="413">
        <v>8858.3793074169007</v>
      </c>
      <c r="I219" t="s">
        <v>1532</v>
      </c>
      <c r="J219" s="642">
        <v>3648523</v>
      </c>
      <c r="K219" s="642">
        <f t="shared" si="27"/>
        <v>152021.79166666666</v>
      </c>
      <c r="L219" s="642">
        <v>76286</v>
      </c>
      <c r="M219" s="642">
        <f t="shared" si="28"/>
        <v>3178.5833333333335</v>
      </c>
      <c r="N219" s="642">
        <v>72</v>
      </c>
      <c r="O219" s="642">
        <f t="shared" si="29"/>
        <v>3</v>
      </c>
      <c r="Q219" t="s">
        <v>1533</v>
      </c>
      <c r="R219" s="750">
        <f t="shared" si="32"/>
        <v>4.4256164085862109</v>
      </c>
      <c r="S219" s="750">
        <f t="shared" si="33"/>
        <v>187.46493620729495</v>
      </c>
      <c r="T219" s="750">
        <f t="shared" si="34"/>
        <v>2952.7931024723002</v>
      </c>
    </row>
    <row r="220" spans="1:20" ht="15">
      <c r="A220" s="751">
        <f t="shared" si="35"/>
        <v>44961</v>
      </c>
      <c r="B220" s="749">
        <f t="shared" si="30"/>
        <v>2</v>
      </c>
      <c r="C220" s="749">
        <f t="shared" si="31"/>
        <v>4</v>
      </c>
      <c r="D220" t="s">
        <v>1531</v>
      </c>
      <c r="E220" s="413">
        <v>518878.38100415247</v>
      </c>
      <c r="F220" s="413">
        <v>299518.70703887386</v>
      </c>
      <c r="G220" s="413">
        <v>7533.3793071818009</v>
      </c>
      <c r="I220" t="s">
        <v>1532</v>
      </c>
      <c r="J220" s="642">
        <v>3649026</v>
      </c>
      <c r="K220" s="642">
        <f t="shared" si="27"/>
        <v>152042.75</v>
      </c>
      <c r="L220" s="642">
        <v>76330</v>
      </c>
      <c r="M220" s="642">
        <f t="shared" si="28"/>
        <v>3180.4166666666665</v>
      </c>
      <c r="N220" s="642">
        <v>72</v>
      </c>
      <c r="O220" s="642">
        <f t="shared" si="29"/>
        <v>3</v>
      </c>
      <c r="Q220" t="s">
        <v>1533</v>
      </c>
      <c r="R220" s="750">
        <f t="shared" si="32"/>
        <v>3.4127137335002984</v>
      </c>
      <c r="S220" s="750">
        <f t="shared" si="33"/>
        <v>94.175933039866024</v>
      </c>
      <c r="T220" s="750">
        <f t="shared" si="34"/>
        <v>2511.1264357272671</v>
      </c>
    </row>
    <row r="221" spans="1:20" ht="15">
      <c r="A221" s="751">
        <f t="shared" si="35"/>
        <v>44962</v>
      </c>
      <c r="B221" s="749">
        <f t="shared" si="30"/>
        <v>2</v>
      </c>
      <c r="C221" s="749">
        <f t="shared" si="31"/>
        <v>5</v>
      </c>
      <c r="D221" t="s">
        <v>1531</v>
      </c>
      <c r="E221" s="413">
        <v>630781.49921929708</v>
      </c>
      <c r="F221" s="413">
        <v>337113.55841910944</v>
      </c>
      <c r="G221" s="413">
        <v>7822.3793067121997</v>
      </c>
      <c r="I221" t="s">
        <v>1532</v>
      </c>
      <c r="J221" s="642">
        <v>3649114</v>
      </c>
      <c r="K221" s="642">
        <f t="shared" si="27"/>
        <v>152046.41666666666</v>
      </c>
      <c r="L221" s="642">
        <v>76371</v>
      </c>
      <c r="M221" s="642">
        <f t="shared" si="28"/>
        <v>3182.125</v>
      </c>
      <c r="N221" s="642">
        <v>72</v>
      </c>
      <c r="O221" s="642">
        <f t="shared" si="29"/>
        <v>3</v>
      </c>
      <c r="Q221" t="s">
        <v>1533</v>
      </c>
      <c r="R221" s="750">
        <f t="shared" si="32"/>
        <v>4.1486114112256098</v>
      </c>
      <c r="S221" s="750">
        <f t="shared" si="33"/>
        <v>105.93975988344563</v>
      </c>
      <c r="T221" s="750">
        <f t="shared" si="34"/>
        <v>2607.4597689040666</v>
      </c>
    </row>
    <row r="222" spans="1:20" ht="15">
      <c r="A222" s="751">
        <f t="shared" si="35"/>
        <v>44963</v>
      </c>
      <c r="B222" s="749">
        <f t="shared" si="30"/>
        <v>2</v>
      </c>
      <c r="C222" s="749">
        <f t="shared" si="31"/>
        <v>6</v>
      </c>
      <c r="D222" t="s">
        <v>1531</v>
      </c>
      <c r="E222" s="413">
        <v>543196.6923995543</v>
      </c>
      <c r="F222" s="413">
        <v>339551.17508777697</v>
      </c>
      <c r="G222" s="413">
        <v>8061.3793071821019</v>
      </c>
      <c r="I222" t="s">
        <v>1532</v>
      </c>
      <c r="J222" s="642">
        <v>3649335</v>
      </c>
      <c r="K222" s="642">
        <f t="shared" si="27"/>
        <v>152055.625</v>
      </c>
      <c r="L222" s="642">
        <v>76446</v>
      </c>
      <c r="M222" s="642">
        <f t="shared" si="28"/>
        <v>3185.25</v>
      </c>
      <c r="N222" s="642">
        <v>72</v>
      </c>
      <c r="O222" s="642">
        <f t="shared" si="29"/>
        <v>3</v>
      </c>
      <c r="Q222" t="s">
        <v>1533</v>
      </c>
      <c r="R222" s="750">
        <f t="shared" si="32"/>
        <v>3.572355132534915</v>
      </c>
      <c r="S222" s="750">
        <f t="shared" si="33"/>
        <v>106.60110669108452</v>
      </c>
      <c r="T222" s="750">
        <f t="shared" si="34"/>
        <v>2687.1264357273672</v>
      </c>
    </row>
    <row r="223" spans="1:20" ht="15">
      <c r="A223" s="751">
        <f t="shared" si="35"/>
        <v>44964</v>
      </c>
      <c r="B223" s="749">
        <f t="shared" si="30"/>
        <v>2</v>
      </c>
      <c r="C223" s="749">
        <f t="shared" si="31"/>
        <v>7</v>
      </c>
      <c r="D223" t="s">
        <v>1531</v>
      </c>
      <c r="E223" s="413">
        <v>592059.1711594949</v>
      </c>
      <c r="F223" s="413">
        <v>334187.14685758343</v>
      </c>
      <c r="G223" s="413">
        <v>8049.3793069469984</v>
      </c>
      <c r="I223" t="s">
        <v>1532</v>
      </c>
      <c r="J223" s="642">
        <v>3649248</v>
      </c>
      <c r="K223" s="642">
        <f t="shared" si="27"/>
        <v>152052</v>
      </c>
      <c r="L223" s="642">
        <v>76438</v>
      </c>
      <c r="M223" s="642">
        <f t="shared" si="28"/>
        <v>3184.9166666666665</v>
      </c>
      <c r="N223" s="642">
        <v>72</v>
      </c>
      <c r="O223" s="642">
        <f t="shared" si="29"/>
        <v>3</v>
      </c>
      <c r="Q223" t="s">
        <v>1533</v>
      </c>
      <c r="R223" s="750">
        <f t="shared" si="32"/>
        <v>3.8937940386150456</v>
      </c>
      <c r="S223" s="750">
        <f t="shared" si="33"/>
        <v>104.92806620505512</v>
      </c>
      <c r="T223" s="750">
        <f t="shared" si="34"/>
        <v>2683.1264356489996</v>
      </c>
    </row>
    <row r="224" spans="1:20" ht="15">
      <c r="A224" s="751">
        <f t="shared" si="35"/>
        <v>44965</v>
      </c>
      <c r="B224" s="749">
        <f t="shared" si="30"/>
        <v>2</v>
      </c>
      <c r="C224" s="749">
        <f t="shared" si="31"/>
        <v>8</v>
      </c>
      <c r="D224" t="s">
        <v>1531</v>
      </c>
      <c r="E224" s="413">
        <v>576884.78046935331</v>
      </c>
      <c r="F224" s="413">
        <v>249720.81520213012</v>
      </c>
      <c r="G224" s="413">
        <v>8472.3793064776</v>
      </c>
      <c r="I224" t="s">
        <v>1532</v>
      </c>
      <c r="J224" s="642">
        <v>3649323</v>
      </c>
      <c r="K224" s="642">
        <f t="shared" si="27"/>
        <v>152055.125</v>
      </c>
      <c r="L224" s="642">
        <v>76490</v>
      </c>
      <c r="M224" s="642">
        <f t="shared" si="28"/>
        <v>3187.0833333333335</v>
      </c>
      <c r="N224" s="642">
        <v>72</v>
      </c>
      <c r="O224" s="642">
        <f t="shared" si="29"/>
        <v>3</v>
      </c>
      <c r="Q224" t="s">
        <v>1533</v>
      </c>
      <c r="R224" s="750">
        <f t="shared" si="32"/>
        <v>3.7939186888265248</v>
      </c>
      <c r="S224" s="750">
        <f t="shared" si="33"/>
        <v>78.354027517990886</v>
      </c>
      <c r="T224" s="750">
        <f t="shared" si="34"/>
        <v>2824.1264354925333</v>
      </c>
    </row>
    <row r="225" spans="1:20" ht="15">
      <c r="A225" s="751">
        <f t="shared" si="35"/>
        <v>44966</v>
      </c>
      <c r="B225" s="749">
        <f t="shared" si="30"/>
        <v>2</v>
      </c>
      <c r="C225" s="749">
        <f t="shared" si="31"/>
        <v>9</v>
      </c>
      <c r="D225" t="s">
        <v>1531</v>
      </c>
      <c r="E225" s="413">
        <v>585519.46478671557</v>
      </c>
      <c r="F225" s="413">
        <v>285745.96827264834</v>
      </c>
      <c r="G225" s="413">
        <v>8590.3793074166988</v>
      </c>
      <c r="I225" t="s">
        <v>1532</v>
      </c>
      <c r="J225" s="642">
        <v>3648888</v>
      </c>
      <c r="K225" s="642">
        <f t="shared" si="27"/>
        <v>152037</v>
      </c>
      <c r="L225" s="642">
        <v>76495</v>
      </c>
      <c r="M225" s="642">
        <f t="shared" si="28"/>
        <v>3187.2916666666665</v>
      </c>
      <c r="N225" s="642">
        <v>72</v>
      </c>
      <c r="O225" s="642">
        <f t="shared" si="29"/>
        <v>3</v>
      </c>
      <c r="Q225" t="s">
        <v>1533</v>
      </c>
      <c r="R225" s="750">
        <f t="shared" si="32"/>
        <v>3.8511642875531322</v>
      </c>
      <c r="S225" s="750">
        <f t="shared" si="33"/>
        <v>89.651653553089233</v>
      </c>
      <c r="T225" s="750">
        <f t="shared" si="34"/>
        <v>2863.4597691388994</v>
      </c>
    </row>
    <row r="226" spans="1:20" ht="15">
      <c r="A226" s="751">
        <f t="shared" si="35"/>
        <v>44967</v>
      </c>
      <c r="B226" s="749">
        <f t="shared" si="30"/>
        <v>2</v>
      </c>
      <c r="C226" s="749">
        <f t="shared" si="31"/>
        <v>10</v>
      </c>
      <c r="D226" t="s">
        <v>1531</v>
      </c>
      <c r="E226" s="413">
        <v>662457.91289410077</v>
      </c>
      <c r="F226" s="413">
        <v>220897.60582057052</v>
      </c>
      <c r="G226" s="413">
        <v>8242.3793069470012</v>
      </c>
      <c r="I226" t="s">
        <v>1532</v>
      </c>
      <c r="J226" s="642">
        <v>3648539</v>
      </c>
      <c r="K226" s="642">
        <f t="shared" si="27"/>
        <v>152022.45833333334</v>
      </c>
      <c r="L226" s="642">
        <v>76456</v>
      </c>
      <c r="M226" s="642">
        <f t="shared" si="28"/>
        <v>3185.6666666666665</v>
      </c>
      <c r="N226" s="642">
        <v>72</v>
      </c>
      <c r="O226" s="642">
        <f t="shared" si="29"/>
        <v>3</v>
      </c>
      <c r="Q226" t="s">
        <v>1533</v>
      </c>
      <c r="R226" s="750">
        <f t="shared" si="32"/>
        <v>4.3576318930559372</v>
      </c>
      <c r="S226" s="750">
        <f t="shared" si="33"/>
        <v>69.341092127415678</v>
      </c>
      <c r="T226" s="750">
        <f t="shared" si="34"/>
        <v>2747.4597689823336</v>
      </c>
    </row>
    <row r="227" spans="1:20" ht="15">
      <c r="A227" s="751">
        <f t="shared" si="35"/>
        <v>44968</v>
      </c>
      <c r="B227" s="749">
        <f t="shared" si="30"/>
        <v>2</v>
      </c>
      <c r="C227" s="749">
        <f t="shared" si="31"/>
        <v>11</v>
      </c>
      <c r="D227" t="s">
        <v>1531</v>
      </c>
      <c r="E227" s="413">
        <v>560061.16366327321</v>
      </c>
      <c r="F227" s="413">
        <v>516426.68418114993</v>
      </c>
      <c r="G227" s="413">
        <v>8436.3793078867002</v>
      </c>
      <c r="I227" t="s">
        <v>1532</v>
      </c>
      <c r="J227" s="642">
        <v>3649030</v>
      </c>
      <c r="K227" s="642">
        <f t="shared" si="27"/>
        <v>152042.91666666666</v>
      </c>
      <c r="L227" s="642">
        <v>76486</v>
      </c>
      <c r="M227" s="642">
        <f t="shared" si="28"/>
        <v>3186.9166666666665</v>
      </c>
      <c r="N227" s="642">
        <v>72</v>
      </c>
      <c r="O227" s="642">
        <f t="shared" si="29"/>
        <v>3</v>
      </c>
      <c r="Q227" t="s">
        <v>1533</v>
      </c>
      <c r="R227" s="750">
        <f t="shared" si="32"/>
        <v>3.683572874960896</v>
      </c>
      <c r="S227" s="750">
        <f t="shared" si="33"/>
        <v>162.04587009841799</v>
      </c>
      <c r="T227" s="750">
        <f t="shared" si="34"/>
        <v>2812.1264359622332</v>
      </c>
    </row>
    <row r="228" spans="1:20" ht="15">
      <c r="A228" s="751">
        <f t="shared" si="35"/>
        <v>44969</v>
      </c>
      <c r="B228" s="749">
        <f t="shared" si="30"/>
        <v>2</v>
      </c>
      <c r="C228" s="749">
        <f t="shared" si="31"/>
        <v>12</v>
      </c>
      <c r="D228" t="s">
        <v>1531</v>
      </c>
      <c r="E228" s="413">
        <v>570408.79639909824</v>
      </c>
      <c r="F228" s="413">
        <v>401081.64450573939</v>
      </c>
      <c r="G228" s="413">
        <v>8094.3793067122024</v>
      </c>
      <c r="I228" t="s">
        <v>1532</v>
      </c>
      <c r="J228" s="642">
        <v>3648724</v>
      </c>
      <c r="K228" s="642">
        <f t="shared" si="27"/>
        <v>152030.16666666666</v>
      </c>
      <c r="L228" s="642">
        <v>76420</v>
      </c>
      <c r="M228" s="642">
        <f t="shared" si="28"/>
        <v>3184.1666666666665</v>
      </c>
      <c r="N228" s="642">
        <v>72</v>
      </c>
      <c r="O228" s="642">
        <f t="shared" si="29"/>
        <v>3</v>
      </c>
      <c r="Q228" t="s">
        <v>1533</v>
      </c>
      <c r="R228" s="750">
        <f t="shared" si="32"/>
        <v>3.7519448205943662</v>
      </c>
      <c r="S228" s="750">
        <f t="shared" si="33"/>
        <v>125.9612597243882</v>
      </c>
      <c r="T228" s="750">
        <f t="shared" si="34"/>
        <v>2698.126435570734</v>
      </c>
    </row>
    <row r="229" spans="1:20" ht="15">
      <c r="A229" s="751">
        <f t="shared" si="35"/>
        <v>44970</v>
      </c>
      <c r="B229" s="749">
        <f t="shared" si="30"/>
        <v>2</v>
      </c>
      <c r="C229" s="749">
        <f t="shared" si="31"/>
        <v>13</v>
      </c>
      <c r="D229" t="s">
        <v>1531</v>
      </c>
      <c r="E229" s="413">
        <v>529201.41944410279</v>
      </c>
      <c r="F229" s="413">
        <v>352178.4066776426</v>
      </c>
      <c r="G229" s="413">
        <v>8042.3793074168998</v>
      </c>
      <c r="I229" t="s">
        <v>1532</v>
      </c>
      <c r="J229" s="642">
        <v>3648984</v>
      </c>
      <c r="K229" s="642">
        <f t="shared" si="27"/>
        <v>152041</v>
      </c>
      <c r="L229" s="642">
        <v>76389</v>
      </c>
      <c r="M229" s="642">
        <f t="shared" si="28"/>
        <v>3182.875</v>
      </c>
      <c r="N229" s="642">
        <v>72</v>
      </c>
      <c r="O229" s="642">
        <f t="shared" si="29"/>
        <v>3</v>
      </c>
      <c r="Q229" t="s">
        <v>1533</v>
      </c>
      <c r="R229" s="750">
        <f t="shared" si="32"/>
        <v>3.4806494264317047</v>
      </c>
      <c r="S229" s="750">
        <f t="shared" si="33"/>
        <v>110.64789119197034</v>
      </c>
      <c r="T229" s="750">
        <f t="shared" si="34"/>
        <v>2680.7931024722998</v>
      </c>
    </row>
    <row r="230" spans="1:20" ht="15">
      <c r="A230" s="751">
        <f t="shared" si="35"/>
        <v>44971</v>
      </c>
      <c r="B230" s="749">
        <f t="shared" si="30"/>
        <v>2</v>
      </c>
      <c r="C230" s="749">
        <f t="shared" si="31"/>
        <v>14</v>
      </c>
      <c r="D230" t="s">
        <v>1531</v>
      </c>
      <c r="E230" s="413">
        <v>624163.66306139203</v>
      </c>
      <c r="F230" s="413">
        <v>253983.02217305519</v>
      </c>
      <c r="G230" s="413">
        <v>8930.3793069470994</v>
      </c>
      <c r="I230" t="s">
        <v>1532</v>
      </c>
      <c r="J230" s="642">
        <v>3649163</v>
      </c>
      <c r="K230" s="642">
        <f t="shared" si="27"/>
        <v>152048.45833333334</v>
      </c>
      <c r="L230" s="642">
        <v>76431</v>
      </c>
      <c r="M230" s="642">
        <f t="shared" si="28"/>
        <v>3184.625</v>
      </c>
      <c r="N230" s="642">
        <v>72</v>
      </c>
      <c r="O230" s="642">
        <f t="shared" si="29"/>
        <v>3</v>
      </c>
      <c r="Q230" t="s">
        <v>1533</v>
      </c>
      <c r="R230" s="750">
        <f t="shared" si="32"/>
        <v>4.1050311848150951</v>
      </c>
      <c r="S230" s="750">
        <f t="shared" si="33"/>
        <v>79.752882104817743</v>
      </c>
      <c r="T230" s="750">
        <f t="shared" si="34"/>
        <v>2976.7931023156998</v>
      </c>
    </row>
    <row r="231" spans="1:20" ht="15">
      <c r="A231" s="751">
        <f t="shared" si="35"/>
        <v>44972</v>
      </c>
      <c r="B231" s="749">
        <f t="shared" si="30"/>
        <v>2</v>
      </c>
      <c r="C231" s="749">
        <f t="shared" si="31"/>
        <v>15</v>
      </c>
      <c r="D231" t="s">
        <v>1531</v>
      </c>
      <c r="E231" s="413">
        <v>667031.240367644</v>
      </c>
      <c r="F231" s="413">
        <v>351162.26623183681</v>
      </c>
      <c r="G231" s="413">
        <v>9112.3793069469975</v>
      </c>
      <c r="I231" t="s">
        <v>1532</v>
      </c>
      <c r="J231" s="642">
        <v>3649197</v>
      </c>
      <c r="K231" s="642">
        <f t="shared" si="27"/>
        <v>152049.875</v>
      </c>
      <c r="L231" s="642">
        <v>76438</v>
      </c>
      <c r="M231" s="642">
        <f t="shared" si="28"/>
        <v>3184.9166666666665</v>
      </c>
      <c r="N231" s="642">
        <v>72</v>
      </c>
      <c r="O231" s="642">
        <f t="shared" si="29"/>
        <v>3</v>
      </c>
      <c r="Q231" t="s">
        <v>1533</v>
      </c>
      <c r="R231" s="750">
        <f t="shared" si="32"/>
        <v>4.3869239640456392</v>
      </c>
      <c r="S231" s="750">
        <f t="shared" si="33"/>
        <v>110.2579134666538</v>
      </c>
      <c r="T231" s="750">
        <f t="shared" si="34"/>
        <v>3037.4597689823327</v>
      </c>
    </row>
    <row r="232" spans="1:20" ht="15">
      <c r="A232" s="751">
        <f t="shared" si="35"/>
        <v>44973</v>
      </c>
      <c r="B232" s="749">
        <f t="shared" si="30"/>
        <v>2</v>
      </c>
      <c r="C232" s="749">
        <f t="shared" si="31"/>
        <v>16</v>
      </c>
      <c r="D232" t="s">
        <v>1531</v>
      </c>
      <c r="E232" s="413">
        <v>651503.15386266599</v>
      </c>
      <c r="F232" s="413">
        <v>271873.14806994767</v>
      </c>
      <c r="G232" s="413">
        <v>8993.3793074169989</v>
      </c>
      <c r="I232" t="s">
        <v>1532</v>
      </c>
      <c r="J232" s="642">
        <v>3649022</v>
      </c>
      <c r="K232" s="642">
        <f t="shared" si="27"/>
        <v>152042.58333333334</v>
      </c>
      <c r="L232" s="642">
        <v>76403</v>
      </c>
      <c r="M232" s="642">
        <f t="shared" si="28"/>
        <v>3183.4583333333335</v>
      </c>
      <c r="N232" s="642">
        <v>72</v>
      </c>
      <c r="O232" s="642">
        <f t="shared" si="29"/>
        <v>3</v>
      </c>
      <c r="Q232" t="s">
        <v>1533</v>
      </c>
      <c r="R232" s="750">
        <f t="shared" si="32"/>
        <v>4.2850045005768624</v>
      </c>
      <c r="S232" s="750">
        <f t="shared" si="33"/>
        <v>85.401823929410412</v>
      </c>
      <c r="T232" s="750">
        <f t="shared" si="34"/>
        <v>2997.793102472333</v>
      </c>
    </row>
    <row r="233" spans="1:20" ht="15">
      <c r="A233" s="751">
        <f t="shared" si="35"/>
        <v>44974</v>
      </c>
      <c r="B233" s="749">
        <f t="shared" si="30"/>
        <v>2</v>
      </c>
      <c r="C233" s="749">
        <f t="shared" si="31"/>
        <v>17</v>
      </c>
      <c r="D233" t="s">
        <v>1531</v>
      </c>
      <c r="E233" s="413">
        <v>597210.66810772428</v>
      </c>
      <c r="F233" s="413">
        <v>347807.38019015786</v>
      </c>
      <c r="G233" s="413">
        <v>8315.3793067123006</v>
      </c>
      <c r="I233" t="s">
        <v>1532</v>
      </c>
      <c r="J233" s="642">
        <v>3647976</v>
      </c>
      <c r="K233" s="642">
        <f t="shared" si="27"/>
        <v>151999</v>
      </c>
      <c r="L233" s="642">
        <v>76435</v>
      </c>
      <c r="M233" s="642">
        <f t="shared" si="28"/>
        <v>3184.7916666666665</v>
      </c>
      <c r="N233" s="642">
        <v>72</v>
      </c>
      <c r="O233" s="642">
        <f t="shared" si="29"/>
        <v>3</v>
      </c>
      <c r="Q233" t="s">
        <v>1533</v>
      </c>
      <c r="R233" s="750">
        <f t="shared" si="32"/>
        <v>3.9290434023100436</v>
      </c>
      <c r="S233" s="750">
        <f t="shared" si="33"/>
        <v>109.20883266257329</v>
      </c>
      <c r="T233" s="750">
        <f t="shared" si="34"/>
        <v>2771.7931022374337</v>
      </c>
    </row>
    <row r="234" spans="1:20" ht="15">
      <c r="A234" s="751">
        <f t="shared" si="35"/>
        <v>44975</v>
      </c>
      <c r="B234" s="749">
        <f t="shared" si="30"/>
        <v>2</v>
      </c>
      <c r="C234" s="749">
        <f t="shared" si="31"/>
        <v>18</v>
      </c>
      <c r="D234" t="s">
        <v>1531</v>
      </c>
      <c r="E234" s="413">
        <v>551748.7763736957</v>
      </c>
      <c r="F234" s="413">
        <v>210543.03636549719</v>
      </c>
      <c r="G234" s="413">
        <v>8046.3793067119987</v>
      </c>
      <c r="I234" t="s">
        <v>1532</v>
      </c>
      <c r="J234" s="642">
        <v>3648353</v>
      </c>
      <c r="K234" s="642">
        <f t="shared" si="27"/>
        <v>152014.70833333334</v>
      </c>
      <c r="L234" s="642">
        <v>76284</v>
      </c>
      <c r="M234" s="642">
        <f t="shared" si="28"/>
        <v>3178.5</v>
      </c>
      <c r="N234" s="642">
        <v>72</v>
      </c>
      <c r="O234" s="642">
        <f t="shared" si="29"/>
        <v>3</v>
      </c>
      <c r="Q234" t="s">
        <v>1533</v>
      </c>
      <c r="R234" s="750">
        <f t="shared" si="32"/>
        <v>3.6295749432603412</v>
      </c>
      <c r="S234" s="750">
        <f t="shared" si="33"/>
        <v>66.23974716548598</v>
      </c>
      <c r="T234" s="750">
        <f t="shared" si="34"/>
        <v>2682.1264355706662</v>
      </c>
    </row>
    <row r="235" spans="1:20" ht="15">
      <c r="A235" s="751">
        <f t="shared" si="35"/>
        <v>44976</v>
      </c>
      <c r="B235" s="749">
        <f t="shared" si="30"/>
        <v>2</v>
      </c>
      <c r="C235" s="749">
        <f t="shared" si="31"/>
        <v>19</v>
      </c>
      <c r="D235" t="s">
        <v>1531</v>
      </c>
      <c r="E235" s="413">
        <v>568623.17813884269</v>
      </c>
      <c r="F235" s="413">
        <v>401531.7783398251</v>
      </c>
      <c r="G235" s="413">
        <v>7902.3793067124989</v>
      </c>
      <c r="I235" t="s">
        <v>1532</v>
      </c>
      <c r="J235" s="642">
        <v>3649233</v>
      </c>
      <c r="K235" s="642">
        <f t="shared" si="27"/>
        <v>152051.375</v>
      </c>
      <c r="L235" s="642">
        <v>76364</v>
      </c>
      <c r="M235" s="642">
        <f t="shared" si="28"/>
        <v>3181.8333333333335</v>
      </c>
      <c r="N235" s="642">
        <v>72</v>
      </c>
      <c r="O235" s="642">
        <f t="shared" si="29"/>
        <v>3</v>
      </c>
      <c r="Q235" t="s">
        <v>1533</v>
      </c>
      <c r="R235" s="750">
        <f t="shared" si="32"/>
        <v>3.7396779748873872</v>
      </c>
      <c r="S235" s="750">
        <f t="shared" si="33"/>
        <v>126.19510083489344</v>
      </c>
      <c r="T235" s="750">
        <f t="shared" si="34"/>
        <v>2634.1264355708331</v>
      </c>
    </row>
    <row r="236" spans="1:20" ht="15">
      <c r="A236" s="751">
        <f t="shared" si="35"/>
        <v>44977</v>
      </c>
      <c r="B236" s="749">
        <f t="shared" si="30"/>
        <v>2</v>
      </c>
      <c r="C236" s="749">
        <f t="shared" si="31"/>
        <v>20</v>
      </c>
      <c r="D236" t="s">
        <v>1531</v>
      </c>
      <c r="E236" s="413">
        <v>524359.98096369009</v>
      </c>
      <c r="F236" s="413">
        <v>392487.70239130926</v>
      </c>
      <c r="G236" s="413">
        <v>7484.3793078861991</v>
      </c>
      <c r="I236" t="s">
        <v>1532</v>
      </c>
      <c r="J236" s="642">
        <v>3649530</v>
      </c>
      <c r="K236" s="642">
        <f t="shared" si="27"/>
        <v>152063.75</v>
      </c>
      <c r="L236" s="642">
        <v>76386</v>
      </c>
      <c r="M236" s="642">
        <f t="shared" si="28"/>
        <v>3182.75</v>
      </c>
      <c r="N236" s="642">
        <v>72</v>
      </c>
      <c r="O236" s="642">
        <f t="shared" si="29"/>
        <v>3</v>
      </c>
      <c r="Q236" t="s">
        <v>1533</v>
      </c>
      <c r="R236" s="750">
        <f t="shared" si="32"/>
        <v>3.4482904766171432</v>
      </c>
      <c r="S236" s="750">
        <f t="shared" si="33"/>
        <v>123.31716358221955</v>
      </c>
      <c r="T236" s="750">
        <f t="shared" si="34"/>
        <v>2494.7931026287329</v>
      </c>
    </row>
    <row r="237" spans="1:20" ht="15">
      <c r="A237" s="751">
        <f t="shared" si="35"/>
        <v>44978</v>
      </c>
      <c r="B237" s="749">
        <f t="shared" si="30"/>
        <v>2</v>
      </c>
      <c r="C237" s="749">
        <f t="shared" si="31"/>
        <v>21</v>
      </c>
      <c r="D237" t="s">
        <v>1531</v>
      </c>
      <c r="E237" s="413">
        <v>645684.79571168055</v>
      </c>
      <c r="F237" s="413">
        <v>650384.5757743807</v>
      </c>
      <c r="G237" s="413">
        <v>8631.3793069471012</v>
      </c>
      <c r="I237" t="s">
        <v>1532</v>
      </c>
      <c r="J237" s="642">
        <v>3649113</v>
      </c>
      <c r="K237" s="642">
        <f t="shared" si="27"/>
        <v>152046.375</v>
      </c>
      <c r="L237" s="642">
        <v>76351</v>
      </c>
      <c r="M237" s="642">
        <f t="shared" si="28"/>
        <v>3181.2916666666665</v>
      </c>
      <c r="N237" s="642">
        <v>72</v>
      </c>
      <c r="O237" s="642">
        <f t="shared" si="29"/>
        <v>3</v>
      </c>
      <c r="Q237" t="s">
        <v>1533</v>
      </c>
      <c r="R237" s="750">
        <f t="shared" si="32"/>
        <v>4.2466306461543759</v>
      </c>
      <c r="S237" s="750">
        <f t="shared" si="33"/>
        <v>204.44041097805055</v>
      </c>
      <c r="T237" s="750">
        <f t="shared" si="34"/>
        <v>2877.1264356490337</v>
      </c>
    </row>
    <row r="238" spans="1:20" ht="15">
      <c r="A238" s="751">
        <f t="shared" si="35"/>
        <v>44979</v>
      </c>
      <c r="B238" s="749">
        <f t="shared" si="30"/>
        <v>2</v>
      </c>
      <c r="C238" s="749">
        <f t="shared" si="31"/>
        <v>22</v>
      </c>
      <c r="D238" t="s">
        <v>1531</v>
      </c>
      <c r="E238" s="413">
        <v>1045516.7241990817</v>
      </c>
      <c r="F238" s="413">
        <v>786542.16953934194</v>
      </c>
      <c r="G238" s="413">
        <v>11325.379307651698</v>
      </c>
      <c r="I238" t="s">
        <v>1532</v>
      </c>
      <c r="J238" s="642">
        <v>3647720</v>
      </c>
      <c r="K238" s="642">
        <f t="shared" si="27"/>
        <v>151988.33333333334</v>
      </c>
      <c r="L238" s="642">
        <v>76382</v>
      </c>
      <c r="M238" s="642">
        <f t="shared" si="28"/>
        <v>3182.5833333333335</v>
      </c>
      <c r="N238" s="642">
        <v>72</v>
      </c>
      <c r="O238" s="642">
        <f t="shared" si="29"/>
        <v>3</v>
      </c>
      <c r="Q238" t="s">
        <v>1533</v>
      </c>
      <c r="R238" s="750">
        <f t="shared" si="32"/>
        <v>6.8789274891652754</v>
      </c>
      <c r="S238" s="750">
        <f t="shared" si="33"/>
        <v>247.13953639527907</v>
      </c>
      <c r="T238" s="750">
        <f t="shared" si="34"/>
        <v>3775.1264358838994</v>
      </c>
    </row>
    <row r="239" spans="1:20" ht="15">
      <c r="A239" s="751">
        <f t="shared" si="35"/>
        <v>44980</v>
      </c>
      <c r="B239" s="749">
        <f t="shared" si="30"/>
        <v>2</v>
      </c>
      <c r="C239" s="749">
        <f t="shared" si="31"/>
        <v>23</v>
      </c>
      <c r="D239" t="s">
        <v>1531</v>
      </c>
      <c r="E239" s="413">
        <v>1133512.1760901883</v>
      </c>
      <c r="F239" s="413">
        <v>641073.55535127688</v>
      </c>
      <c r="G239" s="413">
        <v>12487.3793071821</v>
      </c>
      <c r="I239" t="s">
        <v>1532</v>
      </c>
      <c r="J239" s="642">
        <v>3647166</v>
      </c>
      <c r="K239" s="642">
        <f t="shared" si="27"/>
        <v>151965.25</v>
      </c>
      <c r="L239" s="642">
        <v>76404</v>
      </c>
      <c r="M239" s="642">
        <f t="shared" si="28"/>
        <v>3183.5</v>
      </c>
      <c r="N239" s="642">
        <v>72</v>
      </c>
      <c r="O239" s="642">
        <f t="shared" si="29"/>
        <v>3</v>
      </c>
      <c r="Q239" t="s">
        <v>1533</v>
      </c>
      <c r="R239" s="750">
        <f t="shared" si="32"/>
        <v>7.4590222178438053</v>
      </c>
      <c r="S239" s="750">
        <f t="shared" si="33"/>
        <v>201.37381980564689</v>
      </c>
      <c r="T239" s="750">
        <f t="shared" si="34"/>
        <v>4162.4597690606997</v>
      </c>
    </row>
    <row r="240" spans="1:20" ht="15">
      <c r="A240" s="751">
        <f t="shared" si="35"/>
        <v>44981</v>
      </c>
      <c r="B240" s="749">
        <f t="shared" si="30"/>
        <v>2</v>
      </c>
      <c r="C240" s="749">
        <f t="shared" si="31"/>
        <v>24</v>
      </c>
      <c r="D240" t="s">
        <v>1531</v>
      </c>
      <c r="E240" s="413">
        <v>1908125.2396019206</v>
      </c>
      <c r="F240" s="413">
        <v>768783.50252769236</v>
      </c>
      <c r="G240" s="413">
        <v>21106.3793071818</v>
      </c>
      <c r="I240" t="s">
        <v>1532</v>
      </c>
      <c r="J240" s="642">
        <v>3647352</v>
      </c>
      <c r="K240" s="642">
        <f t="shared" si="27"/>
        <v>151973</v>
      </c>
      <c r="L240" s="642">
        <v>76380</v>
      </c>
      <c r="M240" s="642">
        <f t="shared" si="28"/>
        <v>3182.5</v>
      </c>
      <c r="N240" s="642">
        <v>72</v>
      </c>
      <c r="O240" s="642">
        <f t="shared" si="29"/>
        <v>3</v>
      </c>
      <c r="Q240" t="s">
        <v>1533</v>
      </c>
      <c r="R240" s="750">
        <f t="shared" si="32"/>
        <v>12.555685809992042</v>
      </c>
      <c r="S240" s="750">
        <f t="shared" si="33"/>
        <v>241.56590809982478</v>
      </c>
      <c r="T240" s="750">
        <f t="shared" si="34"/>
        <v>7035.4597690605997</v>
      </c>
    </row>
    <row r="241" spans="1:20" ht="15">
      <c r="A241" s="751">
        <f t="shared" si="35"/>
        <v>44982</v>
      </c>
      <c r="B241" s="749">
        <f t="shared" si="30"/>
        <v>2</v>
      </c>
      <c r="C241" s="749">
        <f t="shared" si="31"/>
        <v>25</v>
      </c>
      <c r="D241" t="s">
        <v>1531</v>
      </c>
      <c r="E241" s="413">
        <v>839207.79035468202</v>
      </c>
      <c r="F241" s="413">
        <v>621073.85413040675</v>
      </c>
      <c r="G241" s="413">
        <v>10805.526307182003</v>
      </c>
      <c r="I241" t="s">
        <v>1532</v>
      </c>
      <c r="J241" s="642">
        <v>3623453</v>
      </c>
      <c r="K241" s="642">
        <f t="shared" si="27"/>
        <v>150977.20833333334</v>
      </c>
      <c r="L241" s="642">
        <v>75857</v>
      </c>
      <c r="M241" s="642">
        <f t="shared" si="28"/>
        <v>3160.7083333333335</v>
      </c>
      <c r="N241" s="642">
        <v>72</v>
      </c>
      <c r="O241" s="642">
        <f t="shared" si="29"/>
        <v>3</v>
      </c>
      <c r="Q241" t="s">
        <v>1533</v>
      </c>
      <c r="R241" s="750">
        <f t="shared" si="32"/>
        <v>5.5585064766984331</v>
      </c>
      <c r="S241" s="750">
        <f t="shared" si="33"/>
        <v>196.4983126030526</v>
      </c>
      <c r="T241" s="750">
        <f t="shared" si="34"/>
        <v>3601.8421023940009</v>
      </c>
    </row>
    <row r="242" spans="1:20" ht="15">
      <c r="A242" s="751">
        <f t="shared" si="35"/>
        <v>44983</v>
      </c>
      <c r="B242" s="749">
        <f t="shared" si="30"/>
        <v>2</v>
      </c>
      <c r="C242" s="749">
        <f t="shared" si="31"/>
        <v>26</v>
      </c>
      <c r="D242" t="s">
        <v>1531</v>
      </c>
      <c r="E242" s="413">
        <v>795111.07331650937</v>
      </c>
      <c r="F242" s="413">
        <v>369852.27567148168</v>
      </c>
      <c r="G242" s="413">
        <v>8995.2323071823012</v>
      </c>
      <c r="I242" t="s">
        <v>1532</v>
      </c>
      <c r="J242" s="642">
        <v>3610986</v>
      </c>
      <c r="K242" s="642">
        <f t="shared" si="27"/>
        <v>150457.75</v>
      </c>
      <c r="L242" s="642">
        <v>75388</v>
      </c>
      <c r="M242" s="642">
        <f t="shared" si="28"/>
        <v>3141.1666666666665</v>
      </c>
      <c r="N242" s="642">
        <v>72</v>
      </c>
      <c r="O242" s="642">
        <f t="shared" si="29"/>
        <v>3</v>
      </c>
      <c r="Q242" t="s">
        <v>1533</v>
      </c>
      <c r="R242" s="750">
        <f t="shared" si="32"/>
        <v>5.2846136095781668</v>
      </c>
      <c r="S242" s="750">
        <f t="shared" si="33"/>
        <v>117.74360131739216</v>
      </c>
      <c r="T242" s="750">
        <f t="shared" si="34"/>
        <v>2998.4107690607671</v>
      </c>
    </row>
    <row r="243" spans="1:20" ht="15">
      <c r="A243" s="751">
        <f t="shared" si="35"/>
        <v>44984</v>
      </c>
      <c r="B243" s="749">
        <f t="shared" si="30"/>
        <v>2</v>
      </c>
      <c r="C243" s="749">
        <f t="shared" si="31"/>
        <v>27</v>
      </c>
      <c r="D243" t="s">
        <v>1531</v>
      </c>
      <c r="E243" s="413">
        <v>696125.00999608031</v>
      </c>
      <c r="F243" s="413">
        <v>411431.82358210505</v>
      </c>
      <c r="G243" s="413">
        <v>9013.3793078865001</v>
      </c>
      <c r="I243" t="s">
        <v>1532</v>
      </c>
      <c r="J243" s="642">
        <v>3648296</v>
      </c>
      <c r="K243" s="642">
        <f t="shared" si="27"/>
        <v>152012.33333333334</v>
      </c>
      <c r="L243" s="642">
        <v>76401</v>
      </c>
      <c r="M243" s="642">
        <f t="shared" si="28"/>
        <v>3183.375</v>
      </c>
      <c r="N243" s="642">
        <v>72</v>
      </c>
      <c r="O243" s="642">
        <f t="shared" si="29"/>
        <v>3</v>
      </c>
      <c r="Q243" t="s">
        <v>1533</v>
      </c>
      <c r="R243" s="750">
        <f t="shared" si="32"/>
        <v>4.5793982286267143</v>
      </c>
      <c r="S243" s="750">
        <f t="shared" si="33"/>
        <v>129.2439073568477</v>
      </c>
      <c r="T243" s="750">
        <f t="shared" si="34"/>
        <v>3004.4597692954999</v>
      </c>
    </row>
    <row r="244" spans="1:20" ht="15">
      <c r="A244" s="751">
        <f t="shared" si="35"/>
        <v>44985</v>
      </c>
      <c r="B244" s="749">
        <f t="shared" si="30"/>
        <v>2</v>
      </c>
      <c r="C244" s="749">
        <f t="shared" si="31"/>
        <v>28</v>
      </c>
      <c r="D244" t="s">
        <v>1531</v>
      </c>
      <c r="E244" s="413">
        <v>669306.78046293533</v>
      </c>
      <c r="F244" s="413">
        <v>374229.69039674901</v>
      </c>
      <c r="G244" s="413">
        <v>8732.3793074167988</v>
      </c>
      <c r="I244" t="s">
        <v>1532</v>
      </c>
      <c r="J244" s="642">
        <v>3647121</v>
      </c>
      <c r="K244" s="642">
        <f t="shared" si="27"/>
        <v>151963.375</v>
      </c>
      <c r="L244" s="642">
        <v>76427</v>
      </c>
      <c r="M244" s="642">
        <f t="shared" si="28"/>
        <v>3184.4583333333335</v>
      </c>
      <c r="N244" s="642">
        <v>72</v>
      </c>
      <c r="O244" s="642">
        <f t="shared" si="29"/>
        <v>3</v>
      </c>
      <c r="Q244" t="s">
        <v>1533</v>
      </c>
      <c r="R244" s="750">
        <f t="shared" si="32"/>
        <v>4.4043953384355623</v>
      </c>
      <c r="S244" s="750">
        <f t="shared" si="33"/>
        <v>117.51753398042545</v>
      </c>
      <c r="T244" s="750">
        <f t="shared" si="34"/>
        <v>2910.7931024722661</v>
      </c>
    </row>
    <row r="245" spans="1:20" ht="15">
      <c r="A245" s="751">
        <f t="shared" si="35"/>
        <v>44986</v>
      </c>
      <c r="B245" s="749">
        <f t="shared" si="30"/>
        <v>3</v>
      </c>
      <c r="C245" s="749">
        <f t="shared" si="31"/>
        <v>1</v>
      </c>
      <c r="D245" t="s">
        <v>1531</v>
      </c>
      <c r="E245" s="413">
        <v>682836.47502723511</v>
      </c>
      <c r="F245" s="413">
        <v>409938.99281697581</v>
      </c>
      <c r="G245" s="413">
        <v>9163.3793071819018</v>
      </c>
      <c r="I245" t="s">
        <v>1532</v>
      </c>
      <c r="J245" s="642">
        <v>3646631</v>
      </c>
      <c r="K245" s="642">
        <f t="shared" si="27"/>
        <v>151942.95833333334</v>
      </c>
      <c r="L245" s="642">
        <v>76385</v>
      </c>
      <c r="M245" s="642">
        <f t="shared" si="28"/>
        <v>3182.7083333333335</v>
      </c>
      <c r="N245" s="642">
        <v>72</v>
      </c>
      <c r="O245" s="642">
        <f t="shared" si="29"/>
        <v>3</v>
      </c>
      <c r="Q245" t="s">
        <v>1533</v>
      </c>
      <c r="R245" s="750">
        <f t="shared" si="32"/>
        <v>4.4940317242555228</v>
      </c>
      <c r="S245" s="750">
        <f t="shared" si="33"/>
        <v>128.80193529629403</v>
      </c>
      <c r="T245" s="750">
        <f t="shared" si="34"/>
        <v>3054.4597690606338</v>
      </c>
    </row>
    <row r="246" spans="1:20" ht="15">
      <c r="A246" s="751">
        <f t="shared" si="35"/>
        <v>44987</v>
      </c>
      <c r="B246" s="749">
        <f t="shared" si="30"/>
        <v>3</v>
      </c>
      <c r="C246" s="749">
        <f t="shared" si="31"/>
        <v>2</v>
      </c>
      <c r="D246" t="s">
        <v>1531</v>
      </c>
      <c r="E246" s="413">
        <v>674347.38945239293</v>
      </c>
      <c r="F246" s="413">
        <v>695411.20175894408</v>
      </c>
      <c r="G246" s="413">
        <v>8310.5384593965991</v>
      </c>
      <c r="I246" t="s">
        <v>1532</v>
      </c>
      <c r="J246" s="642">
        <v>3646464</v>
      </c>
      <c r="K246" s="642">
        <f t="shared" si="27"/>
        <v>151936</v>
      </c>
      <c r="L246" s="642">
        <v>76431</v>
      </c>
      <c r="M246" s="642">
        <f t="shared" si="28"/>
        <v>3184.625</v>
      </c>
      <c r="N246" s="642">
        <v>72</v>
      </c>
      <c r="O246" s="642">
        <f t="shared" si="29"/>
        <v>3</v>
      </c>
      <c r="Q246" t="s">
        <v>1533</v>
      </c>
      <c r="R246" s="750">
        <f t="shared" si="32"/>
        <v>4.4383647684050711</v>
      </c>
      <c r="S246" s="750">
        <f t="shared" si="33"/>
        <v>218.36517698596981</v>
      </c>
      <c r="T246" s="750">
        <f t="shared" si="34"/>
        <v>2770.179486465533</v>
      </c>
    </row>
    <row r="247" spans="1:20" ht="15">
      <c r="A247" s="751">
        <f t="shared" si="35"/>
        <v>44988</v>
      </c>
      <c r="B247" s="749">
        <f t="shared" si="30"/>
        <v>3</v>
      </c>
      <c r="C247" s="749">
        <f t="shared" si="31"/>
        <v>3</v>
      </c>
      <c r="D247" t="s">
        <v>1531</v>
      </c>
      <c r="E247" s="413">
        <v>648596.39324324741</v>
      </c>
      <c r="F247" s="413">
        <v>362944.9457163355</v>
      </c>
      <c r="G247" s="413">
        <v>8594.7544595969011</v>
      </c>
      <c r="I247" t="s">
        <v>1532</v>
      </c>
      <c r="J247" s="642">
        <v>3646965</v>
      </c>
      <c r="K247" s="642">
        <f t="shared" si="27"/>
        <v>151956.875</v>
      </c>
      <c r="L247" s="642">
        <v>76415</v>
      </c>
      <c r="M247" s="642">
        <f t="shared" si="28"/>
        <v>3183.9583333333335</v>
      </c>
      <c r="N247" s="642">
        <v>72</v>
      </c>
      <c r="O247" s="642">
        <f t="shared" si="29"/>
        <v>3</v>
      </c>
      <c r="Q247" t="s">
        <v>1533</v>
      </c>
      <c r="R247" s="750">
        <f t="shared" si="32"/>
        <v>4.2682925220938337</v>
      </c>
      <c r="S247" s="750">
        <f t="shared" si="33"/>
        <v>113.9917384962645</v>
      </c>
      <c r="T247" s="750">
        <f t="shared" si="34"/>
        <v>2864.918153198967</v>
      </c>
    </row>
    <row r="248" spans="1:20" ht="15">
      <c r="A248" s="751">
        <f t="shared" si="35"/>
        <v>44989</v>
      </c>
      <c r="B248" s="749">
        <f t="shared" si="30"/>
        <v>3</v>
      </c>
      <c r="C248" s="749">
        <f t="shared" si="31"/>
        <v>4</v>
      </c>
      <c r="D248" t="s">
        <v>1531</v>
      </c>
      <c r="E248" s="413">
        <v>560295.43141501583</v>
      </c>
      <c r="F248" s="413">
        <v>214525.14120236895</v>
      </c>
      <c r="G248" s="413">
        <v>7843.3224589959</v>
      </c>
      <c r="I248" t="s">
        <v>1532</v>
      </c>
      <c r="J248" s="642">
        <v>3647674</v>
      </c>
      <c r="K248" s="642">
        <f t="shared" si="27"/>
        <v>151986.41666666666</v>
      </c>
      <c r="L248" s="642">
        <v>76431</v>
      </c>
      <c r="M248" s="642">
        <f t="shared" si="28"/>
        <v>3184.625</v>
      </c>
      <c r="N248" s="642">
        <v>72</v>
      </c>
      <c r="O248" s="642">
        <f t="shared" si="29"/>
        <v>3</v>
      </c>
      <c r="Q248" t="s">
        <v>1533</v>
      </c>
      <c r="R248" s="750">
        <f t="shared" si="32"/>
        <v>3.6864835930953208</v>
      </c>
      <c r="S248" s="750">
        <f t="shared" si="33"/>
        <v>67.362763654235252</v>
      </c>
      <c r="T248" s="750">
        <f t="shared" si="34"/>
        <v>2614.4408196652998</v>
      </c>
    </row>
    <row r="249" spans="1:20" ht="15">
      <c r="A249" s="751">
        <f t="shared" si="35"/>
        <v>44990</v>
      </c>
      <c r="B249" s="749">
        <f t="shared" si="30"/>
        <v>3</v>
      </c>
      <c r="C249" s="749">
        <f t="shared" si="31"/>
        <v>5</v>
      </c>
      <c r="D249" t="s">
        <v>1531</v>
      </c>
      <c r="E249" s="413">
        <v>581627.08980329335</v>
      </c>
      <c r="F249" s="413">
        <v>416973.46993994771</v>
      </c>
      <c r="G249" s="413">
        <v>7720.538459396701</v>
      </c>
      <c r="I249" t="s">
        <v>1532</v>
      </c>
      <c r="J249" s="642">
        <v>3647431</v>
      </c>
      <c r="K249" s="642">
        <f t="shared" si="27"/>
        <v>151976.29166666666</v>
      </c>
      <c r="L249" s="642">
        <v>76471</v>
      </c>
      <c r="M249" s="642">
        <f t="shared" si="28"/>
        <v>3186.2916666666665</v>
      </c>
      <c r="N249" s="642">
        <v>72</v>
      </c>
      <c r="O249" s="642">
        <f t="shared" si="29"/>
        <v>3</v>
      </c>
      <c r="Q249" t="s">
        <v>1533</v>
      </c>
      <c r="R249" s="750">
        <f t="shared" si="32"/>
        <v>3.82709094573113</v>
      </c>
      <c r="S249" s="750">
        <f t="shared" si="33"/>
        <v>130.86481513984054</v>
      </c>
      <c r="T249" s="750">
        <f t="shared" si="34"/>
        <v>2573.5128197989002</v>
      </c>
    </row>
    <row r="250" spans="1:20" ht="15">
      <c r="A250" s="751">
        <f t="shared" si="35"/>
        <v>44991</v>
      </c>
      <c r="B250" s="749">
        <f t="shared" si="30"/>
        <v>3</v>
      </c>
      <c r="C250" s="749">
        <f t="shared" si="31"/>
        <v>6</v>
      </c>
      <c r="D250" t="s">
        <v>1531</v>
      </c>
      <c r="E250" s="413">
        <v>644606.28270828468</v>
      </c>
      <c r="F250" s="413">
        <v>474078.83826219715</v>
      </c>
      <c r="G250" s="413">
        <v>8412.5384597972989</v>
      </c>
      <c r="I250" t="s">
        <v>1532</v>
      </c>
      <c r="J250" s="642">
        <v>3646975</v>
      </c>
      <c r="K250" s="642">
        <f t="shared" si="27"/>
        <v>151957.29166666666</v>
      </c>
      <c r="L250" s="642">
        <v>76380</v>
      </c>
      <c r="M250" s="642">
        <f t="shared" si="28"/>
        <v>3182.5</v>
      </c>
      <c r="N250" s="642">
        <v>72</v>
      </c>
      <c r="O250" s="642">
        <f t="shared" si="29"/>
        <v>3</v>
      </c>
      <c r="Q250" t="s">
        <v>1533</v>
      </c>
      <c r="R250" s="750">
        <f t="shared" si="32"/>
        <v>4.2420227133443014</v>
      </c>
      <c r="S250" s="750">
        <f t="shared" si="33"/>
        <v>148.96428539267782</v>
      </c>
      <c r="T250" s="750">
        <f t="shared" si="34"/>
        <v>2804.1794865990996</v>
      </c>
    </row>
    <row r="251" spans="1:20" ht="15">
      <c r="A251" s="751">
        <f t="shared" si="35"/>
        <v>44992</v>
      </c>
      <c r="B251" s="749">
        <f t="shared" si="30"/>
        <v>3</v>
      </c>
      <c r="C251" s="749">
        <f t="shared" si="31"/>
        <v>7</v>
      </c>
      <c r="D251" t="s">
        <v>1531</v>
      </c>
      <c r="E251" s="413">
        <v>525472.69554489502</v>
      </c>
      <c r="F251" s="413">
        <v>462935.36326809775</v>
      </c>
      <c r="G251" s="413">
        <v>7957.5384597973989</v>
      </c>
      <c r="I251" t="s">
        <v>1532</v>
      </c>
      <c r="J251" s="642">
        <v>3635435</v>
      </c>
      <c r="K251" s="642">
        <f t="shared" si="27"/>
        <v>151476.45833333334</v>
      </c>
      <c r="L251" s="642">
        <v>76194</v>
      </c>
      <c r="M251" s="642">
        <f t="shared" si="28"/>
        <v>3174.75</v>
      </c>
      <c r="N251" s="642">
        <v>72</v>
      </c>
      <c r="O251" s="642">
        <f t="shared" si="29"/>
        <v>3</v>
      </c>
      <c r="Q251" t="s">
        <v>1533</v>
      </c>
      <c r="R251" s="750">
        <f t="shared" si="32"/>
        <v>3.4690056879238607</v>
      </c>
      <c r="S251" s="750">
        <f t="shared" si="33"/>
        <v>145.81789535179078</v>
      </c>
      <c r="T251" s="750">
        <f t="shared" si="34"/>
        <v>2652.5128199324663</v>
      </c>
    </row>
    <row r="252" spans="1:20" ht="15">
      <c r="A252" s="751">
        <f t="shared" si="35"/>
        <v>44993</v>
      </c>
      <c r="B252" s="749">
        <f t="shared" si="30"/>
        <v>3</v>
      </c>
      <c r="C252" s="749">
        <f t="shared" si="31"/>
        <v>8</v>
      </c>
      <c r="D252" t="s">
        <v>1531</v>
      </c>
      <c r="E252" s="413">
        <v>570912.37684982934</v>
      </c>
      <c r="F252" s="413">
        <v>223224.28978422331</v>
      </c>
      <c r="G252" s="413">
        <v>7931.5384595968999</v>
      </c>
      <c r="I252" t="s">
        <v>1532</v>
      </c>
      <c r="J252" s="642">
        <v>3633706</v>
      </c>
      <c r="K252" s="642">
        <f t="shared" si="27"/>
        <v>151404.41666666666</v>
      </c>
      <c r="L252" s="642">
        <v>76154</v>
      </c>
      <c r="M252" s="642">
        <f t="shared" si="28"/>
        <v>3173.0833333333335</v>
      </c>
      <c r="N252" s="642">
        <v>72</v>
      </c>
      <c r="O252" s="642">
        <f t="shared" si="29"/>
        <v>3</v>
      </c>
      <c r="Q252" t="s">
        <v>1533</v>
      </c>
      <c r="R252" s="750">
        <f t="shared" si="32"/>
        <v>3.7707775599885913</v>
      </c>
      <c r="S252" s="750">
        <f t="shared" si="33"/>
        <v>70.349331024258206</v>
      </c>
      <c r="T252" s="750">
        <f t="shared" si="34"/>
        <v>2643.8461531989665</v>
      </c>
    </row>
    <row r="253" spans="1:20" ht="15">
      <c r="A253" s="751">
        <f t="shared" si="35"/>
        <v>44994</v>
      </c>
      <c r="B253" s="749">
        <f t="shared" si="30"/>
        <v>3</v>
      </c>
      <c r="C253" s="749">
        <f t="shared" si="31"/>
        <v>9</v>
      </c>
      <c r="D253" t="s">
        <v>1531</v>
      </c>
      <c r="E253" s="413">
        <v>536382.9415536864</v>
      </c>
      <c r="F253" s="413">
        <v>360811.23839563259</v>
      </c>
      <c r="G253" s="413">
        <v>7821.5384593969011</v>
      </c>
      <c r="I253" t="s">
        <v>1532</v>
      </c>
      <c r="J253" s="642">
        <v>3635315</v>
      </c>
      <c r="K253" s="642">
        <f t="shared" si="27"/>
        <v>151471.45833333334</v>
      </c>
      <c r="L253" s="642">
        <v>76214</v>
      </c>
      <c r="M253" s="642">
        <f t="shared" si="28"/>
        <v>3175.5833333333335</v>
      </c>
      <c r="N253" s="642">
        <v>72</v>
      </c>
      <c r="O253" s="642">
        <f t="shared" si="29"/>
        <v>3</v>
      </c>
      <c r="Q253" t="s">
        <v>1533</v>
      </c>
      <c r="R253" s="750">
        <f t="shared" si="32"/>
        <v>3.5411485929798308</v>
      </c>
      <c r="S253" s="750">
        <f t="shared" si="33"/>
        <v>113.6204597776679</v>
      </c>
      <c r="T253" s="750">
        <f t="shared" si="34"/>
        <v>2607.1794864656335</v>
      </c>
    </row>
    <row r="254" spans="1:20" ht="15">
      <c r="A254" s="751">
        <f t="shared" si="35"/>
        <v>44995</v>
      </c>
      <c r="B254" s="749">
        <f t="shared" si="30"/>
        <v>3</v>
      </c>
      <c r="C254" s="749">
        <f t="shared" si="31"/>
        <v>10</v>
      </c>
      <c r="D254" t="s">
        <v>1531</v>
      </c>
      <c r="E254" s="413">
        <v>642970.04788188869</v>
      </c>
      <c r="F254" s="413">
        <v>685060.36147077987</v>
      </c>
      <c r="G254" s="413">
        <v>8233.5384595969008</v>
      </c>
      <c r="I254" t="s">
        <v>1532</v>
      </c>
      <c r="J254" s="642">
        <v>3634956</v>
      </c>
      <c r="K254" s="642">
        <f t="shared" si="27"/>
        <v>151456.5</v>
      </c>
      <c r="L254" s="642">
        <v>76159</v>
      </c>
      <c r="M254" s="642">
        <f t="shared" si="28"/>
        <v>3173.2916666666665</v>
      </c>
      <c r="N254" s="642">
        <v>72</v>
      </c>
      <c r="O254" s="642">
        <f t="shared" si="29"/>
        <v>3</v>
      </c>
      <c r="Q254" t="s">
        <v>1533</v>
      </c>
      <c r="R254" s="750">
        <f t="shared" si="32"/>
        <v>4.2452456506118175</v>
      </c>
      <c r="S254" s="750">
        <f t="shared" si="33"/>
        <v>215.8832006105479</v>
      </c>
      <c r="T254" s="750">
        <f t="shared" si="34"/>
        <v>2744.5128198656334</v>
      </c>
    </row>
    <row r="255" spans="1:20" ht="15">
      <c r="A255" s="751">
        <f t="shared" si="35"/>
        <v>44996</v>
      </c>
      <c r="B255" s="749">
        <f t="shared" si="30"/>
        <v>3</v>
      </c>
      <c r="C255" s="749">
        <f t="shared" si="31"/>
        <v>11</v>
      </c>
      <c r="D255" t="s">
        <v>1531</v>
      </c>
      <c r="E255" s="413">
        <v>503034.79480279289</v>
      </c>
      <c r="F255" s="413">
        <v>423571.25651623443</v>
      </c>
      <c r="G255" s="413">
        <v>7557.5384589962996</v>
      </c>
      <c r="I255" t="s">
        <v>1532</v>
      </c>
      <c r="J255" s="642">
        <v>3636529</v>
      </c>
      <c r="K255" s="642">
        <f t="shared" si="27"/>
        <v>151522.04166666666</v>
      </c>
      <c r="L255" s="642">
        <v>76459</v>
      </c>
      <c r="M255" s="642">
        <f t="shared" si="28"/>
        <v>3185.7916666666665</v>
      </c>
      <c r="N255" s="642">
        <v>72</v>
      </c>
      <c r="O255" s="642">
        <f t="shared" si="29"/>
        <v>3</v>
      </c>
      <c r="Q255" t="s">
        <v>1533</v>
      </c>
      <c r="R255" s="750">
        <f t="shared" si="32"/>
        <v>3.3198786742157234</v>
      </c>
      <c r="S255" s="750">
        <f t="shared" si="33"/>
        <v>132.95635773930638</v>
      </c>
      <c r="T255" s="750">
        <f t="shared" si="34"/>
        <v>2519.1794863320997</v>
      </c>
    </row>
    <row r="256" spans="1:20" ht="15">
      <c r="A256" s="751">
        <f t="shared" si="35"/>
        <v>44997</v>
      </c>
      <c r="B256" s="749">
        <f t="shared" si="30"/>
        <v>3</v>
      </c>
      <c r="C256" s="749">
        <f t="shared" si="31"/>
        <v>12</v>
      </c>
      <c r="D256" t="s">
        <v>1531</v>
      </c>
      <c r="E256" s="413">
        <v>448189.54983713262</v>
      </c>
      <c r="F256" s="413">
        <v>294516.59523817879</v>
      </c>
      <c r="G256" s="413">
        <v>7129.5384595971</v>
      </c>
      <c r="I256" t="s">
        <v>1532</v>
      </c>
      <c r="J256" s="642">
        <v>3641229</v>
      </c>
      <c r="K256" s="642">
        <f t="shared" si="27"/>
        <v>151717.875</v>
      </c>
      <c r="L256" s="642">
        <v>76411</v>
      </c>
      <c r="M256" s="642">
        <f t="shared" si="28"/>
        <v>3183.7916666666665</v>
      </c>
      <c r="N256" s="642">
        <v>72</v>
      </c>
      <c r="O256" s="642">
        <f t="shared" si="29"/>
        <v>3</v>
      </c>
      <c r="Q256" t="s">
        <v>1533</v>
      </c>
      <c r="R256" s="750">
        <f t="shared" si="32"/>
        <v>2.9540985189591709</v>
      </c>
      <c r="S256" s="750">
        <f t="shared" si="33"/>
        <v>92.504983388730565</v>
      </c>
      <c r="T256" s="750">
        <f t="shared" si="34"/>
        <v>2376.5128198656998</v>
      </c>
    </row>
    <row r="257" spans="1:20" ht="15">
      <c r="A257" s="751">
        <f t="shared" si="35"/>
        <v>44998</v>
      </c>
      <c r="B257" s="749">
        <f t="shared" si="30"/>
        <v>3</v>
      </c>
      <c r="C257" s="749">
        <f t="shared" si="31"/>
        <v>13</v>
      </c>
      <c r="D257" t="s">
        <v>1531</v>
      </c>
      <c r="E257" s="413">
        <v>453194.93252180162</v>
      </c>
      <c r="F257" s="413">
        <v>191959.46777604488</v>
      </c>
      <c r="G257" s="413">
        <v>6727.5384599970012</v>
      </c>
      <c r="I257" t="s">
        <v>1532</v>
      </c>
      <c r="J257" s="642">
        <v>3642933</v>
      </c>
      <c r="K257" s="642">
        <f t="shared" si="27"/>
        <v>151788.875</v>
      </c>
      <c r="L257" s="642">
        <v>76285</v>
      </c>
      <c r="M257" s="642">
        <f t="shared" si="28"/>
        <v>3178.5416666666665</v>
      </c>
      <c r="N257" s="642">
        <v>72</v>
      </c>
      <c r="O257" s="642">
        <f t="shared" si="29"/>
        <v>3</v>
      </c>
      <c r="Q257" t="s">
        <v>1533</v>
      </c>
      <c r="R257" s="750">
        <f t="shared" si="32"/>
        <v>2.9856926768961269</v>
      </c>
      <c r="S257" s="750">
        <f t="shared" si="33"/>
        <v>60.39230814216527</v>
      </c>
      <c r="T257" s="750">
        <f t="shared" si="34"/>
        <v>2242.5128199990004</v>
      </c>
    </row>
    <row r="258" spans="1:20" ht="15">
      <c r="A258" s="751">
        <f t="shared" si="35"/>
        <v>44999</v>
      </c>
      <c r="B258" s="749">
        <f t="shared" si="30"/>
        <v>3</v>
      </c>
      <c r="C258" s="749">
        <f t="shared" si="31"/>
        <v>14</v>
      </c>
      <c r="D258" t="s">
        <v>1531</v>
      </c>
      <c r="E258" s="413">
        <v>499494.94098089833</v>
      </c>
      <c r="F258" s="413">
        <v>308539.11351608846</v>
      </c>
      <c r="G258" s="413">
        <v>7765.5384595968981</v>
      </c>
      <c r="I258" t="s">
        <v>1532</v>
      </c>
      <c r="J258" s="642">
        <v>3642325</v>
      </c>
      <c r="K258" s="642">
        <f t="shared" ref="K258:K321" si="36">J258/$U$1</f>
        <v>151763.54166666666</v>
      </c>
      <c r="L258" s="642">
        <v>76318</v>
      </c>
      <c r="M258" s="642">
        <f t="shared" ref="M258:M321" si="37">L258/$U$1</f>
        <v>3179.9166666666665</v>
      </c>
      <c r="N258" s="642">
        <v>72</v>
      </c>
      <c r="O258" s="642">
        <f t="shared" ref="O258:O321" si="38">N258/$U$1</f>
        <v>3</v>
      </c>
      <c r="Q258" t="s">
        <v>1533</v>
      </c>
      <c r="R258" s="750">
        <f t="shared" si="32"/>
        <v>3.2912709831059996</v>
      </c>
      <c r="S258" s="750">
        <f t="shared" si="33"/>
        <v>97.027421111482525</v>
      </c>
      <c r="T258" s="750">
        <f t="shared" si="34"/>
        <v>2588.5128198656325</v>
      </c>
    </row>
    <row r="259" spans="1:20" ht="15">
      <c r="A259" s="751">
        <f t="shared" si="35"/>
        <v>45000</v>
      </c>
      <c r="B259" s="749">
        <f t="shared" ref="B259:B322" si="39">MONTH(A259)</f>
        <v>3</v>
      </c>
      <c r="C259" s="749">
        <f t="shared" ref="C259:C322" si="40">DAY(A259)</f>
        <v>15</v>
      </c>
      <c r="D259" t="s">
        <v>1531</v>
      </c>
      <c r="E259" s="413">
        <v>601656.77124249272</v>
      </c>
      <c r="F259" s="413">
        <v>238042.65508930222</v>
      </c>
      <c r="G259" s="413">
        <v>7776.5384593967992</v>
      </c>
      <c r="I259" t="s">
        <v>1532</v>
      </c>
      <c r="J259" s="642">
        <v>3644872</v>
      </c>
      <c r="K259" s="642">
        <f t="shared" si="36"/>
        <v>151869.66666666666</v>
      </c>
      <c r="L259" s="642">
        <v>76344</v>
      </c>
      <c r="M259" s="642">
        <f t="shared" si="37"/>
        <v>3181</v>
      </c>
      <c r="N259" s="642">
        <v>72</v>
      </c>
      <c r="O259" s="642">
        <f t="shared" si="38"/>
        <v>3</v>
      </c>
      <c r="Q259" t="s">
        <v>1533</v>
      </c>
      <c r="R259" s="750">
        <f t="shared" ref="R259:R322" si="41">E259/K259</f>
        <v>3.9616651859982537</v>
      </c>
      <c r="S259" s="750">
        <f t="shared" ref="S259:S322" si="42">F259/M259</f>
        <v>74.832648566269171</v>
      </c>
      <c r="T259" s="750">
        <f t="shared" ref="T259:T322" si="43">G259/O259</f>
        <v>2592.1794864655999</v>
      </c>
    </row>
    <row r="260" spans="1:20" ht="15">
      <c r="A260" s="751">
        <f t="shared" ref="A260:A323" si="44">A259+1</f>
        <v>45001</v>
      </c>
      <c r="B260" s="749">
        <f t="shared" si="39"/>
        <v>3</v>
      </c>
      <c r="C260" s="749">
        <f t="shared" si="40"/>
        <v>16</v>
      </c>
      <c r="D260" t="s">
        <v>1531</v>
      </c>
      <c r="E260" s="413">
        <v>581610.22240519349</v>
      </c>
      <c r="F260" s="413">
        <v>310239.31552233081</v>
      </c>
      <c r="G260" s="413">
        <v>7880.538459596798</v>
      </c>
      <c r="I260" t="s">
        <v>1532</v>
      </c>
      <c r="J260" s="642">
        <v>3646789</v>
      </c>
      <c r="K260" s="642">
        <f t="shared" si="36"/>
        <v>151949.54166666666</v>
      </c>
      <c r="L260" s="642">
        <v>76432</v>
      </c>
      <c r="M260" s="642">
        <f t="shared" si="37"/>
        <v>3184.6666666666665</v>
      </c>
      <c r="N260" s="642">
        <v>72</v>
      </c>
      <c r="O260" s="642">
        <f t="shared" si="38"/>
        <v>3</v>
      </c>
      <c r="Q260" t="s">
        <v>1533</v>
      </c>
      <c r="R260" s="750">
        <f t="shared" si="41"/>
        <v>3.8276536804637296</v>
      </c>
      <c r="S260" s="750">
        <f t="shared" si="42"/>
        <v>97.41657385042835</v>
      </c>
      <c r="T260" s="750">
        <f t="shared" si="43"/>
        <v>2626.8461531989328</v>
      </c>
    </row>
    <row r="261" spans="1:20" ht="15">
      <c r="A261" s="751">
        <f t="shared" si="44"/>
        <v>45002</v>
      </c>
      <c r="B261" s="749">
        <f t="shared" si="39"/>
        <v>3</v>
      </c>
      <c r="C261" s="749">
        <f t="shared" si="40"/>
        <v>17</v>
      </c>
      <c r="D261" t="s">
        <v>1531</v>
      </c>
      <c r="E261" s="413">
        <v>501959.38793885533</v>
      </c>
      <c r="F261" s="413">
        <v>192344.42497040422</v>
      </c>
      <c r="G261" s="413">
        <v>7514.5384599974004</v>
      </c>
      <c r="I261" t="s">
        <v>1532</v>
      </c>
      <c r="J261" s="642">
        <v>3646059</v>
      </c>
      <c r="K261" s="642">
        <f t="shared" si="36"/>
        <v>151919.125</v>
      </c>
      <c r="L261" s="642">
        <v>76360</v>
      </c>
      <c r="M261" s="642">
        <f t="shared" si="37"/>
        <v>3181.6666666666665</v>
      </c>
      <c r="N261" s="642">
        <v>72</v>
      </c>
      <c r="O261" s="642">
        <f t="shared" si="38"/>
        <v>3</v>
      </c>
      <c r="Q261" t="s">
        <v>1533</v>
      </c>
      <c r="R261" s="750">
        <f t="shared" si="41"/>
        <v>3.3041224265796378</v>
      </c>
      <c r="S261" s="750">
        <f t="shared" si="42"/>
        <v>60.453983751829512</v>
      </c>
      <c r="T261" s="750">
        <f t="shared" si="43"/>
        <v>2504.8461533324667</v>
      </c>
    </row>
    <row r="262" spans="1:20" ht="15">
      <c r="A262" s="751">
        <f t="shared" si="44"/>
        <v>45003</v>
      </c>
      <c r="B262" s="749">
        <f t="shared" si="39"/>
        <v>3</v>
      </c>
      <c r="C262" s="749">
        <f t="shared" si="40"/>
        <v>18</v>
      </c>
      <c r="D262" t="s">
        <v>1531</v>
      </c>
      <c r="E262" s="413">
        <v>410223.50753160729</v>
      </c>
      <c r="F262" s="413">
        <v>177197.89123271819</v>
      </c>
      <c r="G262" s="413">
        <v>6909.5384591966003</v>
      </c>
      <c r="I262" t="s">
        <v>1532</v>
      </c>
      <c r="J262" s="642">
        <v>3637728</v>
      </c>
      <c r="K262" s="642">
        <f t="shared" si="36"/>
        <v>151572</v>
      </c>
      <c r="L262" s="642">
        <v>76212</v>
      </c>
      <c r="M262" s="642">
        <f t="shared" si="37"/>
        <v>3175.5</v>
      </c>
      <c r="N262" s="642">
        <v>72</v>
      </c>
      <c r="O262" s="642">
        <f t="shared" si="38"/>
        <v>3</v>
      </c>
      <c r="Q262" t="s">
        <v>1533</v>
      </c>
      <c r="R262" s="750">
        <f t="shared" si="41"/>
        <v>2.7064596860344081</v>
      </c>
      <c r="S262" s="750">
        <f t="shared" si="42"/>
        <v>55.801571794274345</v>
      </c>
      <c r="T262" s="750">
        <f t="shared" si="43"/>
        <v>2303.1794863988666</v>
      </c>
    </row>
    <row r="263" spans="1:20" ht="15">
      <c r="A263" s="751">
        <f t="shared" si="44"/>
        <v>45004</v>
      </c>
      <c r="B263" s="749">
        <f t="shared" si="39"/>
        <v>3</v>
      </c>
      <c r="C263" s="749">
        <f t="shared" si="40"/>
        <v>19</v>
      </c>
      <c r="D263" t="s">
        <v>1531</v>
      </c>
      <c r="E263" s="413">
        <v>391250.48452119279</v>
      </c>
      <c r="F263" s="413">
        <v>164214.91632386728</v>
      </c>
      <c r="G263" s="413">
        <v>6680.5384595966989</v>
      </c>
      <c r="I263" t="s">
        <v>1532</v>
      </c>
      <c r="J263" s="642">
        <v>3611853</v>
      </c>
      <c r="K263" s="642">
        <f t="shared" si="36"/>
        <v>150493.875</v>
      </c>
      <c r="L263" s="642">
        <v>75583</v>
      </c>
      <c r="M263" s="642">
        <f t="shared" si="37"/>
        <v>3149.2916666666665</v>
      </c>
      <c r="N263" s="642">
        <v>72</v>
      </c>
      <c r="O263" s="642">
        <f t="shared" si="38"/>
        <v>3</v>
      </c>
      <c r="Q263" t="s">
        <v>1533</v>
      </c>
      <c r="R263" s="750">
        <f t="shared" si="41"/>
        <v>2.5997767983659985</v>
      </c>
      <c r="S263" s="750">
        <f t="shared" si="42"/>
        <v>52.143444845703598</v>
      </c>
      <c r="T263" s="750">
        <f t="shared" si="43"/>
        <v>2226.8461531988996</v>
      </c>
    </row>
    <row r="264" spans="1:20" ht="15">
      <c r="A264" s="751">
        <f t="shared" si="44"/>
        <v>45005</v>
      </c>
      <c r="B264" s="749">
        <f t="shared" si="39"/>
        <v>3</v>
      </c>
      <c r="C264" s="749">
        <f t="shared" si="40"/>
        <v>20</v>
      </c>
      <c r="D264" t="s">
        <v>1531</v>
      </c>
      <c r="E264" s="413">
        <v>342367.35428385105</v>
      </c>
      <c r="F264" s="413">
        <v>189536.09505757873</v>
      </c>
      <c r="G264" s="413">
        <v>6452.5374593967981</v>
      </c>
      <c r="I264" t="s">
        <v>1532</v>
      </c>
      <c r="J264" s="642">
        <v>3611674</v>
      </c>
      <c r="K264" s="642">
        <f t="shared" si="36"/>
        <v>150486.41666666666</v>
      </c>
      <c r="L264" s="642">
        <v>75543</v>
      </c>
      <c r="M264" s="642">
        <f t="shared" si="37"/>
        <v>3147.625</v>
      </c>
      <c r="N264" s="642">
        <v>72</v>
      </c>
      <c r="O264" s="642">
        <f t="shared" si="38"/>
        <v>3</v>
      </c>
      <c r="Q264" t="s">
        <v>1533</v>
      </c>
      <c r="R264" s="750">
        <f t="shared" si="41"/>
        <v>2.2750714773294671</v>
      </c>
      <c r="S264" s="750">
        <f t="shared" si="42"/>
        <v>60.215589550082598</v>
      </c>
      <c r="T264" s="750">
        <f t="shared" si="43"/>
        <v>2150.8458197989326</v>
      </c>
    </row>
    <row r="265" spans="1:20" ht="15">
      <c r="A265" s="751">
        <f t="shared" si="44"/>
        <v>45006</v>
      </c>
      <c r="B265" s="749">
        <f t="shared" si="39"/>
        <v>3</v>
      </c>
      <c r="C265" s="749">
        <f t="shared" si="40"/>
        <v>21</v>
      </c>
      <c r="D265" t="s">
        <v>1531</v>
      </c>
      <c r="E265" s="413">
        <v>335539.62979656365</v>
      </c>
      <c r="F265" s="413">
        <v>158527.21247897463</v>
      </c>
      <c r="G265" s="413">
        <v>6903.5384595969999</v>
      </c>
      <c r="I265" t="s">
        <v>1532</v>
      </c>
      <c r="J265" s="642">
        <v>3625176</v>
      </c>
      <c r="K265" s="642">
        <f t="shared" si="36"/>
        <v>151049</v>
      </c>
      <c r="L265" s="642">
        <v>75847</v>
      </c>
      <c r="M265" s="642">
        <f t="shared" si="37"/>
        <v>3160.2916666666665</v>
      </c>
      <c r="N265" s="642">
        <v>72</v>
      </c>
      <c r="O265" s="642">
        <f t="shared" si="38"/>
        <v>3</v>
      </c>
      <c r="Q265" t="s">
        <v>1533</v>
      </c>
      <c r="R265" s="750">
        <f t="shared" si="41"/>
        <v>2.2213959032933923</v>
      </c>
      <c r="S265" s="750">
        <f t="shared" si="42"/>
        <v>50.162209441314637</v>
      </c>
      <c r="T265" s="750">
        <f t="shared" si="43"/>
        <v>2301.1794865323332</v>
      </c>
    </row>
    <row r="266" spans="1:20" ht="15">
      <c r="A266" s="751">
        <f t="shared" si="44"/>
        <v>45007</v>
      </c>
      <c r="B266" s="749">
        <f t="shared" si="39"/>
        <v>3</v>
      </c>
      <c r="C266" s="749">
        <f t="shared" si="40"/>
        <v>22</v>
      </c>
      <c r="D266" t="s">
        <v>1531</v>
      </c>
      <c r="E266" s="413">
        <v>371294.01719921856</v>
      </c>
      <c r="F266" s="413">
        <v>165247.05441926938</v>
      </c>
      <c r="G266" s="413">
        <v>7157.5374589962994</v>
      </c>
      <c r="I266" t="s">
        <v>1532</v>
      </c>
      <c r="J266" s="642">
        <v>3633028</v>
      </c>
      <c r="K266" s="642">
        <f t="shared" si="36"/>
        <v>151376.16666666666</v>
      </c>
      <c r="L266" s="642">
        <v>75944</v>
      </c>
      <c r="M266" s="642">
        <f t="shared" si="37"/>
        <v>3164.3333333333335</v>
      </c>
      <c r="N266" s="642">
        <v>72</v>
      </c>
      <c r="O266" s="642">
        <f t="shared" si="38"/>
        <v>3</v>
      </c>
      <c r="Q266" t="s">
        <v>1533</v>
      </c>
      <c r="R266" s="750">
        <f t="shared" si="41"/>
        <v>2.4527904582021516</v>
      </c>
      <c r="S266" s="750">
        <f t="shared" si="42"/>
        <v>52.221759534162871</v>
      </c>
      <c r="T266" s="750">
        <f t="shared" si="43"/>
        <v>2385.8458196654333</v>
      </c>
    </row>
    <row r="267" spans="1:20" ht="15">
      <c r="A267" s="751">
        <f t="shared" si="44"/>
        <v>45008</v>
      </c>
      <c r="B267" s="749">
        <f t="shared" si="39"/>
        <v>3</v>
      </c>
      <c r="C267" s="749">
        <f t="shared" si="40"/>
        <v>23</v>
      </c>
      <c r="D267" t="s">
        <v>1531</v>
      </c>
      <c r="E267" s="413">
        <v>431457.4059497249</v>
      </c>
      <c r="F267" s="413">
        <v>176260.22406471064</v>
      </c>
      <c r="G267" s="413">
        <v>6867.5384599974996</v>
      </c>
      <c r="I267" t="s">
        <v>1532</v>
      </c>
      <c r="J267" s="642">
        <v>3639403</v>
      </c>
      <c r="K267" s="642">
        <f t="shared" si="36"/>
        <v>151641.79166666666</v>
      </c>
      <c r="L267" s="642">
        <v>76199</v>
      </c>
      <c r="M267" s="642">
        <f t="shared" si="37"/>
        <v>3174.9583333333335</v>
      </c>
      <c r="N267" s="642">
        <v>72</v>
      </c>
      <c r="O267" s="642">
        <f t="shared" si="38"/>
        <v>3</v>
      </c>
      <c r="Q267" t="s">
        <v>1533</v>
      </c>
      <c r="R267" s="750">
        <f t="shared" si="41"/>
        <v>2.8452407559133732</v>
      </c>
      <c r="S267" s="750">
        <f t="shared" si="42"/>
        <v>55.515759754761284</v>
      </c>
      <c r="T267" s="750">
        <f t="shared" si="43"/>
        <v>2289.1794866658333</v>
      </c>
    </row>
    <row r="268" spans="1:20" ht="15">
      <c r="A268" s="751">
        <f t="shared" si="44"/>
        <v>45009</v>
      </c>
      <c r="B268" s="749">
        <f t="shared" si="39"/>
        <v>3</v>
      </c>
      <c r="C268" s="749">
        <f t="shared" si="40"/>
        <v>24</v>
      </c>
      <c r="D268" t="s">
        <v>1531</v>
      </c>
      <c r="E268" s="413">
        <v>471870.01240677992</v>
      </c>
      <c r="F268" s="413">
        <v>197756.92079762786</v>
      </c>
      <c r="G268" s="413">
        <v>7677.5384597972006</v>
      </c>
      <c r="I268" t="s">
        <v>1532</v>
      </c>
      <c r="J268" s="642">
        <v>3644790</v>
      </c>
      <c r="K268" s="642">
        <f t="shared" si="36"/>
        <v>151866.25</v>
      </c>
      <c r="L268" s="642">
        <v>76368</v>
      </c>
      <c r="M268" s="642">
        <f t="shared" si="37"/>
        <v>3182</v>
      </c>
      <c r="N268" s="642">
        <v>72</v>
      </c>
      <c r="O268" s="642">
        <f t="shared" si="38"/>
        <v>3</v>
      </c>
      <c r="Q268" t="s">
        <v>1533</v>
      </c>
      <c r="R268" s="750">
        <f t="shared" si="41"/>
        <v>3.1071420569532724</v>
      </c>
      <c r="S268" s="750">
        <f t="shared" si="42"/>
        <v>62.148623757896878</v>
      </c>
      <c r="T268" s="750">
        <f t="shared" si="43"/>
        <v>2559.1794865990669</v>
      </c>
    </row>
    <row r="269" spans="1:20" ht="15">
      <c r="A269" s="751">
        <f t="shared" si="44"/>
        <v>45010</v>
      </c>
      <c r="B269" s="749">
        <f t="shared" si="39"/>
        <v>3</v>
      </c>
      <c r="C269" s="749">
        <f t="shared" si="40"/>
        <v>25</v>
      </c>
      <c r="D269" t="s">
        <v>1531</v>
      </c>
      <c r="E269" s="413">
        <v>511852.43599578401</v>
      </c>
      <c r="F269" s="413">
        <v>183690.56127203759</v>
      </c>
      <c r="G269" s="413">
        <v>7654.5384597974007</v>
      </c>
      <c r="I269" t="s">
        <v>1532</v>
      </c>
      <c r="J269" s="642">
        <v>3646991</v>
      </c>
      <c r="K269" s="642">
        <f t="shared" si="36"/>
        <v>151957.95833333334</v>
      </c>
      <c r="L269" s="642">
        <v>76424</v>
      </c>
      <c r="M269" s="642">
        <f t="shared" si="37"/>
        <v>3184.3333333333335</v>
      </c>
      <c r="N269" s="642">
        <v>72</v>
      </c>
      <c r="O269" s="642">
        <f t="shared" si="38"/>
        <v>3</v>
      </c>
      <c r="Q269" t="s">
        <v>1533</v>
      </c>
      <c r="R269" s="750">
        <f t="shared" si="41"/>
        <v>3.3683818972678616</v>
      </c>
      <c r="S269" s="750">
        <f t="shared" si="42"/>
        <v>57.685720068681334</v>
      </c>
      <c r="T269" s="750">
        <f t="shared" si="43"/>
        <v>2551.5128199324668</v>
      </c>
    </row>
    <row r="270" spans="1:20" ht="15">
      <c r="A270" s="751">
        <f t="shared" si="44"/>
        <v>45011</v>
      </c>
      <c r="B270" s="749">
        <f t="shared" si="39"/>
        <v>3</v>
      </c>
      <c r="C270" s="749">
        <f t="shared" si="40"/>
        <v>26</v>
      </c>
      <c r="D270" t="s">
        <v>1531</v>
      </c>
      <c r="E270" s="413">
        <v>487463.24378490419</v>
      </c>
      <c r="F270" s="413">
        <v>176358.52157624319</v>
      </c>
      <c r="G270" s="413">
        <v>7367.5384597970997</v>
      </c>
      <c r="I270" t="s">
        <v>1532</v>
      </c>
      <c r="J270" s="642">
        <v>3647810</v>
      </c>
      <c r="K270" s="642">
        <f t="shared" si="36"/>
        <v>151992.08333333334</v>
      </c>
      <c r="L270" s="642">
        <v>76432</v>
      </c>
      <c r="M270" s="642">
        <f t="shared" si="37"/>
        <v>3184.6666666666665</v>
      </c>
      <c r="N270" s="642">
        <v>72</v>
      </c>
      <c r="O270" s="642">
        <f t="shared" si="38"/>
        <v>3</v>
      </c>
      <c r="Q270" t="s">
        <v>1533</v>
      </c>
      <c r="R270" s="750">
        <f t="shared" si="41"/>
        <v>3.2071620645915493</v>
      </c>
      <c r="S270" s="750">
        <f t="shared" si="42"/>
        <v>55.377387976630686</v>
      </c>
      <c r="T270" s="750">
        <f t="shared" si="43"/>
        <v>2455.8461532656997</v>
      </c>
    </row>
    <row r="271" spans="1:20" ht="15">
      <c r="A271" s="751">
        <f t="shared" si="44"/>
        <v>45012</v>
      </c>
      <c r="B271" s="749">
        <f t="shared" si="39"/>
        <v>3</v>
      </c>
      <c r="C271" s="749">
        <f t="shared" si="40"/>
        <v>27</v>
      </c>
      <c r="D271" t="s">
        <v>1531</v>
      </c>
      <c r="E271" s="413">
        <v>468923.94350065355</v>
      </c>
      <c r="F271" s="413">
        <v>206743.06157908216</v>
      </c>
      <c r="G271" s="413">
        <v>7494.5404591965016</v>
      </c>
      <c r="I271" t="s">
        <v>1532</v>
      </c>
      <c r="J271" s="642">
        <v>3648024</v>
      </c>
      <c r="K271" s="642">
        <f t="shared" si="36"/>
        <v>152001</v>
      </c>
      <c r="L271" s="642">
        <v>76415</v>
      </c>
      <c r="M271" s="642">
        <f t="shared" si="37"/>
        <v>3183.9583333333335</v>
      </c>
      <c r="N271" s="642">
        <v>72</v>
      </c>
      <c r="O271" s="642">
        <f t="shared" si="38"/>
        <v>3</v>
      </c>
      <c r="Q271" t="s">
        <v>1533</v>
      </c>
      <c r="R271" s="750">
        <f t="shared" si="41"/>
        <v>3.0850056479934578</v>
      </c>
      <c r="S271" s="750">
        <f t="shared" si="42"/>
        <v>64.932715800536172</v>
      </c>
      <c r="T271" s="750">
        <f t="shared" si="43"/>
        <v>2498.1801530655007</v>
      </c>
    </row>
    <row r="272" spans="1:20" ht="15">
      <c r="A272" s="751">
        <f t="shared" si="44"/>
        <v>45013</v>
      </c>
      <c r="B272" s="749">
        <f t="shared" si="39"/>
        <v>3</v>
      </c>
      <c r="C272" s="749">
        <f t="shared" si="40"/>
        <v>28</v>
      </c>
      <c r="D272" t="s">
        <v>1531</v>
      </c>
      <c r="E272" s="413">
        <v>432588.93268992059</v>
      </c>
      <c r="F272" s="413">
        <v>183673.70712002521</v>
      </c>
      <c r="G272" s="413">
        <v>6851.233330435799</v>
      </c>
      <c r="I272" t="s">
        <v>1532</v>
      </c>
      <c r="J272" s="642">
        <v>3648318</v>
      </c>
      <c r="K272" s="642">
        <f t="shared" si="36"/>
        <v>152013.25</v>
      </c>
      <c r="L272" s="642">
        <v>76432</v>
      </c>
      <c r="M272" s="642">
        <f t="shared" si="37"/>
        <v>3184.6666666666665</v>
      </c>
      <c r="N272" s="642">
        <v>72</v>
      </c>
      <c r="O272" s="642">
        <f t="shared" si="38"/>
        <v>3</v>
      </c>
      <c r="Q272" t="s">
        <v>1533</v>
      </c>
      <c r="R272" s="750">
        <f t="shared" si="41"/>
        <v>2.8457317548958434</v>
      </c>
      <c r="S272" s="750">
        <f t="shared" si="42"/>
        <v>57.674389926740176</v>
      </c>
      <c r="T272" s="750">
        <f t="shared" si="43"/>
        <v>2283.7444434785998</v>
      </c>
    </row>
    <row r="273" spans="1:20" ht="15">
      <c r="A273" s="751">
        <f t="shared" si="44"/>
        <v>45014</v>
      </c>
      <c r="B273" s="749">
        <f t="shared" si="39"/>
        <v>3</v>
      </c>
      <c r="C273" s="749">
        <f t="shared" si="40"/>
        <v>29</v>
      </c>
      <c r="D273" t="s">
        <v>1531</v>
      </c>
      <c r="E273" s="413">
        <v>389566.95474267908</v>
      </c>
      <c r="F273" s="413">
        <v>168766.95966230918</v>
      </c>
      <c r="G273" s="413">
        <v>6619.2323311198998</v>
      </c>
      <c r="I273" t="s">
        <v>1532</v>
      </c>
      <c r="J273" s="642">
        <v>3648454</v>
      </c>
      <c r="K273" s="642">
        <f t="shared" si="36"/>
        <v>152018.91666666666</v>
      </c>
      <c r="L273" s="642">
        <v>76432</v>
      </c>
      <c r="M273" s="642">
        <f t="shared" si="37"/>
        <v>3184.6666666666665</v>
      </c>
      <c r="N273" s="642">
        <v>72</v>
      </c>
      <c r="O273" s="642">
        <f t="shared" si="38"/>
        <v>3</v>
      </c>
      <c r="Q273" t="s">
        <v>1533</v>
      </c>
      <c r="R273" s="750">
        <f t="shared" si="41"/>
        <v>2.5626215689780656</v>
      </c>
      <c r="S273" s="750">
        <f t="shared" si="42"/>
        <v>52.993602573469495</v>
      </c>
      <c r="T273" s="750">
        <f t="shared" si="43"/>
        <v>2206.4107770399664</v>
      </c>
    </row>
    <row r="274" spans="1:20" ht="15">
      <c r="A274" s="751">
        <f t="shared" si="44"/>
        <v>45015</v>
      </c>
      <c r="B274" s="749">
        <f t="shared" si="39"/>
        <v>3</v>
      </c>
      <c r="C274" s="749">
        <f t="shared" si="40"/>
        <v>30</v>
      </c>
      <c r="D274" t="s">
        <v>1531</v>
      </c>
      <c r="E274" s="413">
        <v>343789.570498746</v>
      </c>
      <c r="F274" s="413">
        <v>159911.3260263394</v>
      </c>
      <c r="G274" s="413">
        <v>6363.2333312909022</v>
      </c>
      <c r="I274" t="s">
        <v>1532</v>
      </c>
      <c r="J274" s="642">
        <v>3649040</v>
      </c>
      <c r="K274" s="642">
        <f t="shared" si="36"/>
        <v>152043.33333333334</v>
      </c>
      <c r="L274" s="642">
        <v>76447</v>
      </c>
      <c r="M274" s="642">
        <f t="shared" si="37"/>
        <v>3185.2916666666665</v>
      </c>
      <c r="N274" s="642">
        <v>72</v>
      </c>
      <c r="O274" s="642">
        <f t="shared" si="38"/>
        <v>3</v>
      </c>
      <c r="Q274" t="s">
        <v>1533</v>
      </c>
      <c r="R274" s="750">
        <f t="shared" si="41"/>
        <v>2.2611288700507268</v>
      </c>
      <c r="S274" s="750">
        <f t="shared" si="42"/>
        <v>50.203040336862742</v>
      </c>
      <c r="T274" s="750">
        <f t="shared" si="43"/>
        <v>2121.0777770969676</v>
      </c>
    </row>
    <row r="275" spans="1:20" ht="15">
      <c r="A275" s="751">
        <f t="shared" si="44"/>
        <v>45016</v>
      </c>
      <c r="B275" s="749">
        <f t="shared" si="39"/>
        <v>3</v>
      </c>
      <c r="C275" s="749">
        <f t="shared" si="40"/>
        <v>31</v>
      </c>
      <c r="D275" t="s">
        <v>1531</v>
      </c>
      <c r="E275" s="413">
        <v>432698.18077163829</v>
      </c>
      <c r="F275" s="413">
        <v>179224.82594964484</v>
      </c>
      <c r="G275" s="413">
        <v>6740.2323304362008</v>
      </c>
      <c r="I275" t="s">
        <v>1532</v>
      </c>
      <c r="J275" s="642">
        <v>3648302</v>
      </c>
      <c r="K275" s="642">
        <f t="shared" si="36"/>
        <v>152012.58333333334</v>
      </c>
      <c r="L275" s="642">
        <v>76469</v>
      </c>
      <c r="M275" s="642">
        <f t="shared" si="37"/>
        <v>3186.2083333333335</v>
      </c>
      <c r="N275" s="642">
        <v>72</v>
      </c>
      <c r="O275" s="642">
        <f t="shared" si="38"/>
        <v>3</v>
      </c>
      <c r="Q275" t="s">
        <v>1533</v>
      </c>
      <c r="R275" s="750">
        <f t="shared" si="41"/>
        <v>2.846462913026202</v>
      </c>
      <c r="S275" s="750">
        <f t="shared" si="42"/>
        <v>56.250190571231165</v>
      </c>
      <c r="T275" s="750">
        <f t="shared" si="43"/>
        <v>2246.7441101454001</v>
      </c>
    </row>
    <row r="276" spans="1:20" ht="15">
      <c r="A276" s="751">
        <f t="shared" si="44"/>
        <v>45017</v>
      </c>
      <c r="B276" s="749">
        <f t="shared" si="39"/>
        <v>4</v>
      </c>
      <c r="C276" s="749">
        <f t="shared" si="40"/>
        <v>1</v>
      </c>
      <c r="D276" t="s">
        <v>1531</v>
      </c>
      <c r="E276" s="413">
        <v>435862.22978900821</v>
      </c>
      <c r="F276" s="413">
        <v>168442.84025087141</v>
      </c>
      <c r="G276" s="413">
        <v>6728.2333306070996</v>
      </c>
      <c r="I276" t="s">
        <v>1532</v>
      </c>
      <c r="J276" s="642">
        <v>3648899</v>
      </c>
      <c r="K276" s="642">
        <f t="shared" si="36"/>
        <v>152037.45833333334</v>
      </c>
      <c r="L276" s="642">
        <v>76384</v>
      </c>
      <c r="M276" s="642">
        <f t="shared" si="37"/>
        <v>3182.6666666666665</v>
      </c>
      <c r="N276" s="642">
        <v>72</v>
      </c>
      <c r="O276" s="642">
        <f t="shared" si="38"/>
        <v>3</v>
      </c>
      <c r="Q276" t="s">
        <v>1533</v>
      </c>
      <c r="R276" s="750">
        <f t="shared" si="41"/>
        <v>2.8668081837661705</v>
      </c>
      <c r="S276" s="750">
        <f t="shared" si="42"/>
        <v>52.925065013889217</v>
      </c>
      <c r="T276" s="750">
        <f t="shared" si="43"/>
        <v>2242.7444435356997</v>
      </c>
    </row>
    <row r="277" spans="1:20" ht="15">
      <c r="A277" s="751">
        <f t="shared" si="44"/>
        <v>45018</v>
      </c>
      <c r="B277" s="749">
        <f t="shared" si="39"/>
        <v>4</v>
      </c>
      <c r="C277" s="749">
        <f t="shared" si="40"/>
        <v>2</v>
      </c>
      <c r="D277" t="s">
        <v>1531</v>
      </c>
      <c r="E277" s="413">
        <v>492927.7032404379</v>
      </c>
      <c r="F277" s="413">
        <v>181101.72285925268</v>
      </c>
      <c r="G277" s="413">
        <v>7289.2323311196997</v>
      </c>
      <c r="I277" t="s">
        <v>1532</v>
      </c>
      <c r="J277" s="642">
        <v>3648686</v>
      </c>
      <c r="K277" s="642">
        <f t="shared" si="36"/>
        <v>152028.58333333334</v>
      </c>
      <c r="L277" s="642">
        <v>76406</v>
      </c>
      <c r="M277" s="642">
        <f t="shared" si="37"/>
        <v>3183.5833333333335</v>
      </c>
      <c r="N277" s="642">
        <v>72</v>
      </c>
      <c r="O277" s="642">
        <f t="shared" si="38"/>
        <v>3</v>
      </c>
      <c r="Q277" t="s">
        <v>1533</v>
      </c>
      <c r="R277" s="750">
        <f t="shared" si="41"/>
        <v>3.2423357005153388</v>
      </c>
      <c r="S277" s="750">
        <f t="shared" si="42"/>
        <v>56.886126071539721</v>
      </c>
      <c r="T277" s="750">
        <f t="shared" si="43"/>
        <v>2429.7441103732331</v>
      </c>
    </row>
    <row r="278" spans="1:20" ht="15">
      <c r="A278" s="751">
        <f t="shared" si="44"/>
        <v>45019</v>
      </c>
      <c r="B278" s="749">
        <f t="shared" si="39"/>
        <v>4</v>
      </c>
      <c r="C278" s="749">
        <f t="shared" si="40"/>
        <v>3</v>
      </c>
      <c r="D278" t="s">
        <v>1531</v>
      </c>
      <c r="E278" s="413">
        <v>481617.82051244844</v>
      </c>
      <c r="F278" s="413">
        <v>206542.13406573748</v>
      </c>
      <c r="G278" s="413">
        <v>7345.2333311196007</v>
      </c>
      <c r="I278" t="s">
        <v>1532</v>
      </c>
      <c r="J278" s="642">
        <v>3648271</v>
      </c>
      <c r="K278" s="642">
        <f t="shared" si="36"/>
        <v>152011.29166666666</v>
      </c>
      <c r="L278" s="642">
        <v>76359</v>
      </c>
      <c r="M278" s="642">
        <f t="shared" si="37"/>
        <v>3181.625</v>
      </c>
      <c r="N278" s="642">
        <v>72</v>
      </c>
      <c r="O278" s="642">
        <f t="shared" si="38"/>
        <v>3</v>
      </c>
      <c r="Q278" t="s">
        <v>1533</v>
      </c>
      <c r="R278" s="750">
        <f t="shared" si="41"/>
        <v>3.1683029282360775</v>
      </c>
      <c r="S278" s="750">
        <f t="shared" si="42"/>
        <v>64.917183535375003</v>
      </c>
      <c r="T278" s="750">
        <f t="shared" si="43"/>
        <v>2448.4111103732002</v>
      </c>
    </row>
    <row r="279" spans="1:20" ht="15">
      <c r="A279" s="751">
        <f t="shared" si="44"/>
        <v>45020</v>
      </c>
      <c r="B279" s="749">
        <f t="shared" si="39"/>
        <v>4</v>
      </c>
      <c r="C279" s="749">
        <f t="shared" si="40"/>
        <v>4</v>
      </c>
      <c r="D279" t="s">
        <v>1531</v>
      </c>
      <c r="E279" s="413">
        <v>485201.52039629495</v>
      </c>
      <c r="F279" s="413">
        <v>203738.3170218564</v>
      </c>
      <c r="G279" s="413">
        <v>7361.2323309488975</v>
      </c>
      <c r="I279" t="s">
        <v>1532</v>
      </c>
      <c r="J279" s="642">
        <v>3648235</v>
      </c>
      <c r="K279" s="642">
        <f t="shared" si="36"/>
        <v>152009.79166666666</v>
      </c>
      <c r="L279" s="642">
        <v>76279</v>
      </c>
      <c r="M279" s="642">
        <f t="shared" si="37"/>
        <v>3178.2916666666665</v>
      </c>
      <c r="N279" s="642">
        <v>72</v>
      </c>
      <c r="O279" s="642">
        <f t="shared" si="38"/>
        <v>3</v>
      </c>
      <c r="Q279" t="s">
        <v>1533</v>
      </c>
      <c r="R279" s="750">
        <f t="shared" si="41"/>
        <v>3.1919096465855623</v>
      </c>
      <c r="S279" s="750">
        <f t="shared" si="42"/>
        <v>64.10309008409331</v>
      </c>
      <c r="T279" s="750">
        <f t="shared" si="43"/>
        <v>2453.7441103162992</v>
      </c>
    </row>
    <row r="280" spans="1:20" ht="15">
      <c r="A280" s="751">
        <f t="shared" si="44"/>
        <v>45021</v>
      </c>
      <c r="B280" s="749">
        <f t="shared" si="39"/>
        <v>4</v>
      </c>
      <c r="C280" s="749">
        <f t="shared" si="40"/>
        <v>5</v>
      </c>
      <c r="D280" t="s">
        <v>1531</v>
      </c>
      <c r="E280" s="413">
        <v>457652.85380010796</v>
      </c>
      <c r="F280" s="413">
        <v>197243.05310390375</v>
      </c>
      <c r="G280" s="413">
        <v>7126.2333309491014</v>
      </c>
      <c r="I280" t="s">
        <v>1532</v>
      </c>
      <c r="J280" s="642">
        <v>3649162</v>
      </c>
      <c r="K280" s="642">
        <f t="shared" si="36"/>
        <v>152048.41666666666</v>
      </c>
      <c r="L280" s="642">
        <v>76408</v>
      </c>
      <c r="M280" s="642">
        <f t="shared" si="37"/>
        <v>3183.6666666666665</v>
      </c>
      <c r="N280" s="642">
        <v>72</v>
      </c>
      <c r="O280" s="642">
        <f t="shared" si="38"/>
        <v>3</v>
      </c>
      <c r="Q280" t="s">
        <v>1533</v>
      </c>
      <c r="R280" s="750">
        <f t="shared" si="41"/>
        <v>3.0099152877297835</v>
      </c>
      <c r="S280" s="750">
        <f t="shared" si="42"/>
        <v>61.954681113151636</v>
      </c>
      <c r="T280" s="750">
        <f t="shared" si="43"/>
        <v>2375.4111103163673</v>
      </c>
    </row>
    <row r="281" spans="1:20" ht="15">
      <c r="A281" s="751">
        <f t="shared" si="44"/>
        <v>45022</v>
      </c>
      <c r="B281" s="749">
        <f t="shared" si="39"/>
        <v>4</v>
      </c>
      <c r="C281" s="749">
        <f t="shared" si="40"/>
        <v>6</v>
      </c>
      <c r="D281" t="s">
        <v>1531</v>
      </c>
      <c r="E281" s="413">
        <v>393075.94143053924</v>
      </c>
      <c r="F281" s="413">
        <v>170438.91121392409</v>
      </c>
      <c r="G281" s="413">
        <v>6816.2323307780998</v>
      </c>
      <c r="I281" t="s">
        <v>1532</v>
      </c>
      <c r="J281" s="642">
        <v>3649886</v>
      </c>
      <c r="K281" s="642">
        <f t="shared" si="36"/>
        <v>152078.58333333334</v>
      </c>
      <c r="L281" s="642">
        <v>76415</v>
      </c>
      <c r="M281" s="642">
        <f t="shared" si="37"/>
        <v>3183.9583333333335</v>
      </c>
      <c r="N281" s="642">
        <v>72</v>
      </c>
      <c r="O281" s="642">
        <f t="shared" si="38"/>
        <v>3</v>
      </c>
      <c r="Q281" t="s">
        <v>1533</v>
      </c>
      <c r="R281" s="750">
        <f t="shared" si="41"/>
        <v>2.584689657247635</v>
      </c>
      <c r="S281" s="750">
        <f t="shared" si="42"/>
        <v>53.530509312755058</v>
      </c>
      <c r="T281" s="750">
        <f t="shared" si="43"/>
        <v>2272.0774435927001</v>
      </c>
    </row>
    <row r="282" spans="1:20" ht="15">
      <c r="A282" s="751">
        <f t="shared" si="44"/>
        <v>45023</v>
      </c>
      <c r="B282" s="749">
        <f t="shared" si="39"/>
        <v>4</v>
      </c>
      <c r="C282" s="749">
        <f t="shared" si="40"/>
        <v>7</v>
      </c>
      <c r="D282" t="s">
        <v>1531</v>
      </c>
      <c r="E282" s="413">
        <v>305338.53857594449</v>
      </c>
      <c r="F282" s="413">
        <v>136588.76199100679</v>
      </c>
      <c r="G282" s="413">
        <v>5951.2333309491005</v>
      </c>
      <c r="I282" t="s">
        <v>1532</v>
      </c>
      <c r="J282" s="642">
        <v>3649771</v>
      </c>
      <c r="K282" s="642">
        <f t="shared" si="36"/>
        <v>152073.79166666666</v>
      </c>
      <c r="L282" s="642">
        <v>76376</v>
      </c>
      <c r="M282" s="642">
        <f t="shared" si="37"/>
        <v>3182.3333333333335</v>
      </c>
      <c r="N282" s="642">
        <v>72</v>
      </c>
      <c r="O282" s="642">
        <f t="shared" si="38"/>
        <v>3</v>
      </c>
      <c r="Q282" t="s">
        <v>1533</v>
      </c>
      <c r="R282" s="750">
        <f t="shared" si="41"/>
        <v>2.0078314299233209</v>
      </c>
      <c r="S282" s="750">
        <f t="shared" si="42"/>
        <v>42.920947519956044</v>
      </c>
      <c r="T282" s="750">
        <f t="shared" si="43"/>
        <v>1983.7444436497001</v>
      </c>
    </row>
    <row r="283" spans="1:20" ht="15">
      <c r="A283" s="751">
        <f t="shared" si="44"/>
        <v>45024</v>
      </c>
      <c r="B283" s="749">
        <f t="shared" si="39"/>
        <v>4</v>
      </c>
      <c r="C283" s="749">
        <f t="shared" si="40"/>
        <v>8</v>
      </c>
      <c r="D283" t="s">
        <v>1531</v>
      </c>
      <c r="E283" s="413">
        <v>288886.58797740057</v>
      </c>
      <c r="F283" s="413">
        <v>122877.56917755272</v>
      </c>
      <c r="G283" s="413">
        <v>6023.2313312908009</v>
      </c>
      <c r="I283" t="s">
        <v>1532</v>
      </c>
      <c r="J283" s="642">
        <v>3649558</v>
      </c>
      <c r="K283" s="642">
        <f t="shared" si="36"/>
        <v>152064.91666666666</v>
      </c>
      <c r="L283" s="642">
        <v>76320</v>
      </c>
      <c r="M283" s="642">
        <f t="shared" si="37"/>
        <v>3180</v>
      </c>
      <c r="N283" s="642">
        <v>72</v>
      </c>
      <c r="O283" s="642">
        <f t="shared" si="38"/>
        <v>3</v>
      </c>
      <c r="Q283" t="s">
        <v>1533</v>
      </c>
      <c r="R283" s="750">
        <f t="shared" si="41"/>
        <v>1.8997583026376383</v>
      </c>
      <c r="S283" s="750">
        <f t="shared" si="42"/>
        <v>38.640745024387648</v>
      </c>
      <c r="T283" s="750">
        <f t="shared" si="43"/>
        <v>2007.7437770969336</v>
      </c>
    </row>
    <row r="284" spans="1:20" ht="15">
      <c r="A284" s="751">
        <f t="shared" si="44"/>
        <v>45025</v>
      </c>
      <c r="B284" s="749">
        <f t="shared" si="39"/>
        <v>4</v>
      </c>
      <c r="C284" s="749">
        <f t="shared" si="40"/>
        <v>9</v>
      </c>
      <c r="D284" t="s">
        <v>1531</v>
      </c>
      <c r="E284" s="413">
        <v>286400.69910152</v>
      </c>
      <c r="F284" s="413">
        <v>108289.86019012702</v>
      </c>
      <c r="G284" s="413">
        <v>5778.2333311198008</v>
      </c>
      <c r="I284" t="s">
        <v>1532</v>
      </c>
      <c r="J284" s="642">
        <v>3649269</v>
      </c>
      <c r="K284" s="642">
        <f t="shared" si="36"/>
        <v>152052.875</v>
      </c>
      <c r="L284" s="642">
        <v>76352</v>
      </c>
      <c r="M284" s="642">
        <f t="shared" si="37"/>
        <v>3181.3333333333335</v>
      </c>
      <c r="N284" s="642">
        <v>72</v>
      </c>
      <c r="O284" s="642">
        <f t="shared" si="38"/>
        <v>3</v>
      </c>
      <c r="Q284" t="s">
        <v>1533</v>
      </c>
      <c r="R284" s="750">
        <f t="shared" si="41"/>
        <v>1.8835599070489131</v>
      </c>
      <c r="S284" s="750">
        <f t="shared" si="42"/>
        <v>34.039142976779239</v>
      </c>
      <c r="T284" s="750">
        <f t="shared" si="43"/>
        <v>1926.0777770399336</v>
      </c>
    </row>
    <row r="285" spans="1:20" ht="15">
      <c r="A285" s="751">
        <f t="shared" si="44"/>
        <v>45026</v>
      </c>
      <c r="B285" s="749">
        <f t="shared" si="39"/>
        <v>4</v>
      </c>
      <c r="C285" s="749">
        <f t="shared" si="40"/>
        <v>10</v>
      </c>
      <c r="D285" t="s">
        <v>1531</v>
      </c>
      <c r="E285" s="413">
        <v>209722.0559504267</v>
      </c>
      <c r="F285" s="413">
        <v>114854.10392420361</v>
      </c>
      <c r="G285" s="413">
        <v>5418.2333309487994</v>
      </c>
      <c r="I285" t="s">
        <v>1532</v>
      </c>
      <c r="J285" s="642">
        <v>3648969</v>
      </c>
      <c r="K285" s="642">
        <f t="shared" si="36"/>
        <v>152040.375</v>
      </c>
      <c r="L285" s="642">
        <v>76320</v>
      </c>
      <c r="M285" s="642">
        <f t="shared" si="37"/>
        <v>3180</v>
      </c>
      <c r="N285" s="642">
        <v>72</v>
      </c>
      <c r="O285" s="642">
        <f t="shared" si="38"/>
        <v>3</v>
      </c>
      <c r="Q285" t="s">
        <v>1533</v>
      </c>
      <c r="R285" s="750">
        <f t="shared" si="41"/>
        <v>1.3793839692280863</v>
      </c>
      <c r="S285" s="750">
        <f t="shared" si="42"/>
        <v>36.117642743460252</v>
      </c>
      <c r="T285" s="750">
        <f t="shared" si="43"/>
        <v>1806.0777769829331</v>
      </c>
    </row>
    <row r="286" spans="1:20" ht="15">
      <c r="A286" s="751">
        <f t="shared" si="44"/>
        <v>45027</v>
      </c>
      <c r="B286" s="749">
        <f t="shared" si="39"/>
        <v>4</v>
      </c>
      <c r="C286" s="749">
        <f t="shared" si="40"/>
        <v>11</v>
      </c>
      <c r="D286" t="s">
        <v>1531</v>
      </c>
      <c r="E286" s="413">
        <v>314384.59499483014</v>
      </c>
      <c r="F286" s="413">
        <v>154850.60108102777</v>
      </c>
      <c r="G286" s="413">
        <v>6410.233331119799</v>
      </c>
      <c r="I286" t="s">
        <v>1532</v>
      </c>
      <c r="J286" s="642">
        <v>3648998</v>
      </c>
      <c r="K286" s="642">
        <f t="shared" si="36"/>
        <v>152041.58333333334</v>
      </c>
      <c r="L286" s="642">
        <v>76336</v>
      </c>
      <c r="M286" s="642">
        <f t="shared" si="37"/>
        <v>3180.6666666666665</v>
      </c>
      <c r="N286" s="642">
        <v>72</v>
      </c>
      <c r="O286" s="642">
        <f t="shared" si="38"/>
        <v>3</v>
      </c>
      <c r="Q286" t="s">
        <v>1533</v>
      </c>
      <c r="R286" s="750">
        <f t="shared" si="41"/>
        <v>2.0677540190145138</v>
      </c>
      <c r="S286" s="750">
        <f t="shared" si="42"/>
        <v>48.684951083953401</v>
      </c>
      <c r="T286" s="750">
        <f t="shared" si="43"/>
        <v>2136.7444437065997</v>
      </c>
    </row>
    <row r="287" spans="1:20" ht="15">
      <c r="A287" s="751">
        <f t="shared" si="44"/>
        <v>45028</v>
      </c>
      <c r="B287" s="749">
        <f t="shared" si="39"/>
        <v>4</v>
      </c>
      <c r="C287" s="749">
        <f t="shared" si="40"/>
        <v>12</v>
      </c>
      <c r="D287" t="s">
        <v>1531</v>
      </c>
      <c r="E287" s="413">
        <v>409292.93177523185</v>
      </c>
      <c r="F287" s="413">
        <v>186868.65869047676</v>
      </c>
      <c r="G287" s="413">
        <v>7061.2333306071996</v>
      </c>
      <c r="I287" t="s">
        <v>1532</v>
      </c>
      <c r="J287" s="642">
        <v>3648990</v>
      </c>
      <c r="K287" s="642">
        <f t="shared" si="36"/>
        <v>152041.25</v>
      </c>
      <c r="L287" s="642">
        <v>76330</v>
      </c>
      <c r="M287" s="642">
        <f t="shared" si="37"/>
        <v>3180.4166666666665</v>
      </c>
      <c r="N287" s="642">
        <v>72</v>
      </c>
      <c r="O287" s="642">
        <f t="shared" si="38"/>
        <v>3</v>
      </c>
      <c r="Q287" t="s">
        <v>1533</v>
      </c>
      <c r="R287" s="750">
        <f t="shared" si="41"/>
        <v>2.6919861009774113</v>
      </c>
      <c r="S287" s="750">
        <f t="shared" si="42"/>
        <v>58.756030506634907</v>
      </c>
      <c r="T287" s="750">
        <f t="shared" si="43"/>
        <v>2353.7444435357334</v>
      </c>
    </row>
    <row r="288" spans="1:20" ht="15">
      <c r="A288" s="751">
        <f t="shared" si="44"/>
        <v>45029</v>
      </c>
      <c r="B288" s="749">
        <f t="shared" si="39"/>
        <v>4</v>
      </c>
      <c r="C288" s="749">
        <f t="shared" si="40"/>
        <v>13</v>
      </c>
      <c r="D288" t="s">
        <v>1531</v>
      </c>
      <c r="E288" s="413">
        <v>413420.71995151532</v>
      </c>
      <c r="F288" s="413">
        <v>181192.17128451593</v>
      </c>
      <c r="G288" s="413">
        <v>6846.2333307779991</v>
      </c>
      <c r="I288" t="s">
        <v>1532</v>
      </c>
      <c r="J288" s="642">
        <v>3648755</v>
      </c>
      <c r="K288" s="642">
        <f t="shared" si="36"/>
        <v>152031.45833333334</v>
      </c>
      <c r="L288" s="642">
        <v>76296</v>
      </c>
      <c r="M288" s="642">
        <f t="shared" si="37"/>
        <v>3179</v>
      </c>
      <c r="N288" s="642">
        <v>72</v>
      </c>
      <c r="O288" s="642">
        <f t="shared" si="38"/>
        <v>3</v>
      </c>
      <c r="Q288" t="s">
        <v>1533</v>
      </c>
      <c r="R288" s="750">
        <f t="shared" si="41"/>
        <v>2.7193103617086836</v>
      </c>
      <c r="S288" s="750">
        <f t="shared" si="42"/>
        <v>56.996593672386261</v>
      </c>
      <c r="T288" s="750">
        <f t="shared" si="43"/>
        <v>2282.0777769259998</v>
      </c>
    </row>
    <row r="289" spans="1:20" ht="15">
      <c r="A289" s="751">
        <f t="shared" si="44"/>
        <v>45030</v>
      </c>
      <c r="B289" s="749">
        <f t="shared" si="39"/>
        <v>4</v>
      </c>
      <c r="C289" s="749">
        <f t="shared" si="40"/>
        <v>14</v>
      </c>
      <c r="D289" t="s">
        <v>1531</v>
      </c>
      <c r="E289" s="413">
        <v>378493.08346454555</v>
      </c>
      <c r="F289" s="413">
        <v>167524.9942107875</v>
      </c>
      <c r="G289" s="413">
        <v>6585.2333311199</v>
      </c>
      <c r="I289" t="s">
        <v>1532</v>
      </c>
      <c r="J289" s="642">
        <v>3649226</v>
      </c>
      <c r="K289" s="642">
        <f t="shared" si="36"/>
        <v>152051.08333333334</v>
      </c>
      <c r="L289" s="642">
        <v>76309</v>
      </c>
      <c r="M289" s="642">
        <f t="shared" si="37"/>
        <v>3179.5416666666665</v>
      </c>
      <c r="N289" s="642">
        <v>72</v>
      </c>
      <c r="O289" s="642">
        <f t="shared" si="38"/>
        <v>3</v>
      </c>
      <c r="Q289" t="s">
        <v>1533</v>
      </c>
      <c r="R289" s="750">
        <f t="shared" si="41"/>
        <v>2.4892495019900363</v>
      </c>
      <c r="S289" s="750">
        <f t="shared" si="42"/>
        <v>52.688409768951239</v>
      </c>
      <c r="T289" s="750">
        <f t="shared" si="43"/>
        <v>2195.0777770399668</v>
      </c>
    </row>
    <row r="290" spans="1:20" ht="15">
      <c r="A290" s="751">
        <f t="shared" si="44"/>
        <v>45031</v>
      </c>
      <c r="B290" s="749">
        <f t="shared" si="39"/>
        <v>4</v>
      </c>
      <c r="C290" s="749">
        <f t="shared" si="40"/>
        <v>15</v>
      </c>
      <c r="D290" t="s">
        <v>1531</v>
      </c>
      <c r="E290" s="413">
        <v>314644.36884972488</v>
      </c>
      <c r="F290" s="413">
        <v>128395.11041288491</v>
      </c>
      <c r="G290" s="413">
        <v>6173.2333312909013</v>
      </c>
      <c r="I290" t="s">
        <v>1532</v>
      </c>
      <c r="J290" s="642">
        <v>3648798</v>
      </c>
      <c r="K290" s="642">
        <f t="shared" si="36"/>
        <v>152033.25</v>
      </c>
      <c r="L290" s="642">
        <v>76272</v>
      </c>
      <c r="M290" s="642">
        <f t="shared" si="37"/>
        <v>3178</v>
      </c>
      <c r="N290" s="642">
        <v>72</v>
      </c>
      <c r="O290" s="642">
        <f t="shared" si="38"/>
        <v>3</v>
      </c>
      <c r="Q290" t="s">
        <v>1533</v>
      </c>
      <c r="R290" s="750">
        <f t="shared" si="41"/>
        <v>2.06957602267744</v>
      </c>
      <c r="S290" s="750">
        <f t="shared" si="42"/>
        <v>40.401230463462845</v>
      </c>
      <c r="T290" s="750">
        <f t="shared" si="43"/>
        <v>2057.7444437636336</v>
      </c>
    </row>
    <row r="291" spans="1:20" ht="15">
      <c r="A291" s="751">
        <f t="shared" si="44"/>
        <v>45032</v>
      </c>
      <c r="B291" s="749">
        <f t="shared" si="39"/>
        <v>4</v>
      </c>
      <c r="C291" s="749">
        <f t="shared" si="40"/>
        <v>16</v>
      </c>
      <c r="D291" t="s">
        <v>1531</v>
      </c>
      <c r="E291" s="413">
        <v>257890.1706265877</v>
      </c>
      <c r="F291" s="413">
        <v>108546.41217519082</v>
      </c>
      <c r="G291" s="413">
        <v>5716.2333311195998</v>
      </c>
      <c r="I291" t="s">
        <v>1532</v>
      </c>
      <c r="J291" s="642">
        <v>3649208</v>
      </c>
      <c r="K291" s="642">
        <f t="shared" si="36"/>
        <v>152050.33333333334</v>
      </c>
      <c r="L291" s="642">
        <v>76279</v>
      </c>
      <c r="M291" s="642">
        <f t="shared" si="37"/>
        <v>3178.2916666666665</v>
      </c>
      <c r="N291" s="642">
        <v>72</v>
      </c>
      <c r="O291" s="642">
        <f t="shared" si="38"/>
        <v>3</v>
      </c>
      <c r="Q291" t="s">
        <v>1533</v>
      </c>
      <c r="R291" s="750">
        <f t="shared" si="41"/>
        <v>1.6960842174625574</v>
      </c>
      <c r="S291" s="750">
        <f t="shared" si="42"/>
        <v>34.152438970156659</v>
      </c>
      <c r="T291" s="750">
        <f t="shared" si="43"/>
        <v>1905.4111103732</v>
      </c>
    </row>
    <row r="292" spans="1:20" ht="15">
      <c r="A292" s="751">
        <f t="shared" si="44"/>
        <v>45033</v>
      </c>
      <c r="B292" s="749">
        <f t="shared" si="39"/>
        <v>4</v>
      </c>
      <c r="C292" s="749">
        <f t="shared" si="40"/>
        <v>17</v>
      </c>
      <c r="D292" t="s">
        <v>1531</v>
      </c>
      <c r="E292" s="413">
        <v>329799.51714991371</v>
      </c>
      <c r="F292" s="413">
        <v>160554.13114247198</v>
      </c>
      <c r="G292" s="413">
        <v>6523.2333307777008</v>
      </c>
      <c r="I292" t="s">
        <v>1532</v>
      </c>
      <c r="J292" s="642">
        <v>3648933</v>
      </c>
      <c r="K292" s="642">
        <f t="shared" si="36"/>
        <v>152038.875</v>
      </c>
      <c r="L292" s="642">
        <v>76327</v>
      </c>
      <c r="M292" s="642">
        <f t="shared" si="37"/>
        <v>3180.2916666666665</v>
      </c>
      <c r="N292" s="642">
        <v>72</v>
      </c>
      <c r="O292" s="642">
        <f t="shared" si="38"/>
        <v>3</v>
      </c>
      <c r="Q292" t="s">
        <v>1533</v>
      </c>
      <c r="R292" s="750">
        <f t="shared" si="41"/>
        <v>2.1691788836895411</v>
      </c>
      <c r="S292" s="750">
        <f t="shared" si="42"/>
        <v>50.484090130875416</v>
      </c>
      <c r="T292" s="750">
        <f t="shared" si="43"/>
        <v>2174.4111102592337</v>
      </c>
    </row>
    <row r="293" spans="1:20" ht="15">
      <c r="A293" s="751">
        <f t="shared" si="44"/>
        <v>45034</v>
      </c>
      <c r="B293" s="749">
        <f t="shared" si="39"/>
        <v>4</v>
      </c>
      <c r="C293" s="749">
        <f t="shared" si="40"/>
        <v>18</v>
      </c>
      <c r="D293" t="s">
        <v>1531</v>
      </c>
      <c r="E293" s="413">
        <v>369563.47572797659</v>
      </c>
      <c r="F293" s="413">
        <v>169882.78038634046</v>
      </c>
      <c r="G293" s="413">
        <v>6604.2353306069981</v>
      </c>
      <c r="I293" t="s">
        <v>1532</v>
      </c>
      <c r="J293" s="642">
        <v>3649183</v>
      </c>
      <c r="K293" s="642">
        <f t="shared" si="36"/>
        <v>152049.29166666666</v>
      </c>
      <c r="L293" s="642">
        <v>76256</v>
      </c>
      <c r="M293" s="642">
        <f t="shared" si="37"/>
        <v>3177.3333333333335</v>
      </c>
      <c r="N293" s="642">
        <v>72</v>
      </c>
      <c r="O293" s="642">
        <f t="shared" si="38"/>
        <v>3</v>
      </c>
      <c r="Q293" t="s">
        <v>1533</v>
      </c>
      <c r="R293" s="750">
        <f t="shared" si="41"/>
        <v>2.4305504595059877</v>
      </c>
      <c r="S293" s="750">
        <f t="shared" si="42"/>
        <v>53.467094120753394</v>
      </c>
      <c r="T293" s="750">
        <f t="shared" si="43"/>
        <v>2201.4117768689994</v>
      </c>
    </row>
    <row r="294" spans="1:20" ht="15">
      <c r="A294" s="751">
        <f t="shared" si="44"/>
        <v>45035</v>
      </c>
      <c r="B294" s="749">
        <f t="shared" si="39"/>
        <v>4</v>
      </c>
      <c r="C294" s="749">
        <f t="shared" si="40"/>
        <v>19</v>
      </c>
      <c r="D294" t="s">
        <v>1531</v>
      </c>
      <c r="E294" s="413">
        <v>398816.7965453479</v>
      </c>
      <c r="F294" s="413">
        <v>182004.05324581519</v>
      </c>
      <c r="G294" s="413">
        <v>6852.2313311197995</v>
      </c>
      <c r="I294" t="s">
        <v>1532</v>
      </c>
      <c r="J294" s="642">
        <v>3648961</v>
      </c>
      <c r="K294" s="642">
        <f t="shared" si="36"/>
        <v>152040.04166666666</v>
      </c>
      <c r="L294" s="642">
        <v>76312</v>
      </c>
      <c r="M294" s="642">
        <f t="shared" si="37"/>
        <v>3179.6666666666665</v>
      </c>
      <c r="N294" s="642">
        <v>72</v>
      </c>
      <c r="O294" s="642">
        <f t="shared" si="38"/>
        <v>3</v>
      </c>
      <c r="Q294" t="s">
        <v>1533</v>
      </c>
      <c r="R294" s="750">
        <f t="shared" si="41"/>
        <v>2.6231037046129981</v>
      </c>
      <c r="S294" s="750">
        <f t="shared" si="42"/>
        <v>57.239979005917348</v>
      </c>
      <c r="T294" s="750">
        <f t="shared" si="43"/>
        <v>2284.0771103732664</v>
      </c>
    </row>
    <row r="295" spans="1:20" ht="15">
      <c r="A295" s="751">
        <f t="shared" si="44"/>
        <v>45036</v>
      </c>
      <c r="B295" s="749">
        <f t="shared" si="39"/>
        <v>4</v>
      </c>
      <c r="C295" s="749">
        <f t="shared" si="40"/>
        <v>20</v>
      </c>
      <c r="D295" t="s">
        <v>1531</v>
      </c>
      <c r="E295" s="413">
        <v>369724.27445093374</v>
      </c>
      <c r="F295" s="413">
        <v>171346.75497608943</v>
      </c>
      <c r="G295" s="413">
        <v>6731.2323306072994</v>
      </c>
      <c r="I295" t="s">
        <v>1532</v>
      </c>
      <c r="J295" s="642">
        <v>3648884</v>
      </c>
      <c r="K295" s="642">
        <f t="shared" si="36"/>
        <v>152036.83333333334</v>
      </c>
      <c r="L295" s="642">
        <v>76266</v>
      </c>
      <c r="M295" s="642">
        <f t="shared" si="37"/>
        <v>3177.75</v>
      </c>
      <c r="N295" s="642">
        <v>72</v>
      </c>
      <c r="O295" s="642">
        <f t="shared" si="38"/>
        <v>3</v>
      </c>
      <c r="Q295" t="s">
        <v>1533</v>
      </c>
      <c r="R295" s="750">
        <f t="shared" si="41"/>
        <v>2.4318072558136703</v>
      </c>
      <c r="S295" s="750">
        <f t="shared" si="42"/>
        <v>53.920778845437631</v>
      </c>
      <c r="T295" s="750">
        <f t="shared" si="43"/>
        <v>2243.7441102024331</v>
      </c>
    </row>
    <row r="296" spans="1:20" ht="15">
      <c r="A296" s="751">
        <f t="shared" si="44"/>
        <v>45037</v>
      </c>
      <c r="B296" s="749">
        <f t="shared" si="39"/>
        <v>4</v>
      </c>
      <c r="C296" s="749">
        <f t="shared" si="40"/>
        <v>21</v>
      </c>
      <c r="D296" t="s">
        <v>1531</v>
      </c>
      <c r="E296" s="413">
        <v>330072.34949161345</v>
      </c>
      <c r="F296" s="413">
        <v>150131.04257764283</v>
      </c>
      <c r="G296" s="413">
        <v>6339.2333304362</v>
      </c>
      <c r="I296" t="s">
        <v>1532</v>
      </c>
      <c r="J296" s="642">
        <v>3648852</v>
      </c>
      <c r="K296" s="642">
        <f t="shared" si="36"/>
        <v>152035.5</v>
      </c>
      <c r="L296" s="642">
        <v>76320</v>
      </c>
      <c r="M296" s="642">
        <f t="shared" si="37"/>
        <v>3180</v>
      </c>
      <c r="N296" s="642">
        <v>72</v>
      </c>
      <c r="O296" s="642">
        <f t="shared" si="38"/>
        <v>3</v>
      </c>
      <c r="Q296" t="s">
        <v>1533</v>
      </c>
      <c r="R296" s="750">
        <f t="shared" si="41"/>
        <v>2.1710215672761524</v>
      </c>
      <c r="S296" s="750">
        <f t="shared" si="42"/>
        <v>47.211019678504037</v>
      </c>
      <c r="T296" s="750">
        <f t="shared" si="43"/>
        <v>2113.0777768120665</v>
      </c>
    </row>
    <row r="297" spans="1:20" ht="15">
      <c r="A297" s="751">
        <f t="shared" si="44"/>
        <v>45038</v>
      </c>
      <c r="B297" s="749">
        <f t="shared" si="39"/>
        <v>4</v>
      </c>
      <c r="C297" s="749">
        <f t="shared" si="40"/>
        <v>22</v>
      </c>
      <c r="D297" t="s">
        <v>1531</v>
      </c>
      <c r="E297" s="413">
        <v>265791.95487281942</v>
      </c>
      <c r="F297" s="413">
        <v>122373.75077631522</v>
      </c>
      <c r="G297" s="413">
        <v>5758.2333307777017</v>
      </c>
      <c r="I297" t="s">
        <v>1532</v>
      </c>
      <c r="J297" s="642">
        <v>3648619</v>
      </c>
      <c r="K297" s="642">
        <f t="shared" si="36"/>
        <v>152025.79166666666</v>
      </c>
      <c r="L297" s="642">
        <v>76312</v>
      </c>
      <c r="M297" s="642">
        <f t="shared" si="37"/>
        <v>3179.6666666666665</v>
      </c>
      <c r="N297" s="642">
        <v>72</v>
      </c>
      <c r="O297" s="642">
        <f t="shared" si="38"/>
        <v>3</v>
      </c>
      <c r="Q297" t="s">
        <v>1533</v>
      </c>
      <c r="R297" s="750">
        <f t="shared" si="41"/>
        <v>1.7483346211121704</v>
      </c>
      <c r="S297" s="750">
        <f t="shared" si="42"/>
        <v>38.48634577303131</v>
      </c>
      <c r="T297" s="750">
        <f t="shared" si="43"/>
        <v>1919.411110259234</v>
      </c>
    </row>
    <row r="298" spans="1:20" ht="15">
      <c r="A298" s="751">
        <f t="shared" si="44"/>
        <v>45039</v>
      </c>
      <c r="B298" s="749">
        <f t="shared" si="39"/>
        <v>4</v>
      </c>
      <c r="C298" s="749">
        <f t="shared" si="40"/>
        <v>23</v>
      </c>
      <c r="D298" t="s">
        <v>1531</v>
      </c>
      <c r="E298" s="413">
        <v>246274.44425981818</v>
      </c>
      <c r="F298" s="413">
        <v>103301.85998313809</v>
      </c>
      <c r="G298" s="413">
        <v>5289.2333309489977</v>
      </c>
      <c r="I298" t="s">
        <v>1532</v>
      </c>
      <c r="J298" s="642">
        <v>3648694</v>
      </c>
      <c r="K298" s="642">
        <f t="shared" si="36"/>
        <v>152028.91666666666</v>
      </c>
      <c r="L298" s="642">
        <v>76296</v>
      </c>
      <c r="M298" s="642">
        <f t="shared" si="37"/>
        <v>3179</v>
      </c>
      <c r="N298" s="642">
        <v>72</v>
      </c>
      <c r="O298" s="642">
        <f t="shared" si="38"/>
        <v>3</v>
      </c>
      <c r="Q298" t="s">
        <v>1533</v>
      </c>
      <c r="R298" s="750">
        <f t="shared" si="41"/>
        <v>1.6199184317006678</v>
      </c>
      <c r="S298" s="750">
        <f t="shared" si="42"/>
        <v>32.495080208599589</v>
      </c>
      <c r="T298" s="750">
        <f t="shared" si="43"/>
        <v>1763.0777769829992</v>
      </c>
    </row>
    <row r="299" spans="1:20" ht="15">
      <c r="A299" s="751">
        <f t="shared" si="44"/>
        <v>45040</v>
      </c>
      <c r="B299" s="749">
        <f t="shared" si="39"/>
        <v>4</v>
      </c>
      <c r="C299" s="749">
        <f t="shared" si="40"/>
        <v>24</v>
      </c>
      <c r="D299" t="s">
        <v>1531</v>
      </c>
      <c r="E299" s="413">
        <v>247712.55651966424</v>
      </c>
      <c r="F299" s="413">
        <v>133713.76863542828</v>
      </c>
      <c r="G299" s="413">
        <v>5528.2333309489995</v>
      </c>
      <c r="I299" t="s">
        <v>1532</v>
      </c>
      <c r="J299" s="642">
        <v>3648904</v>
      </c>
      <c r="K299" s="642">
        <f t="shared" si="36"/>
        <v>152037.66666666666</v>
      </c>
      <c r="L299" s="642">
        <v>76294</v>
      </c>
      <c r="M299" s="642">
        <f t="shared" si="37"/>
        <v>3178.9166666666665</v>
      </c>
      <c r="N299" s="642">
        <v>72</v>
      </c>
      <c r="O299" s="642">
        <f t="shared" si="38"/>
        <v>3</v>
      </c>
      <c r="Q299" t="s">
        <v>1533</v>
      </c>
      <c r="R299" s="750">
        <f t="shared" si="41"/>
        <v>1.6292841238004458</v>
      </c>
      <c r="S299" s="750">
        <f t="shared" si="42"/>
        <v>42.062684447666641</v>
      </c>
      <c r="T299" s="750">
        <f t="shared" si="43"/>
        <v>1842.7444436496664</v>
      </c>
    </row>
    <row r="300" spans="1:20" ht="15">
      <c r="A300" s="751">
        <f t="shared" si="44"/>
        <v>45041</v>
      </c>
      <c r="B300" s="749">
        <f t="shared" si="39"/>
        <v>4</v>
      </c>
      <c r="C300" s="749">
        <f t="shared" si="40"/>
        <v>25</v>
      </c>
      <c r="D300" t="s">
        <v>1531</v>
      </c>
      <c r="E300" s="413">
        <v>200695.58019264767</v>
      </c>
      <c r="F300" s="413">
        <v>120913.23116262071</v>
      </c>
      <c r="G300" s="413">
        <v>5409.233331461598</v>
      </c>
      <c r="I300" t="s">
        <v>1532</v>
      </c>
      <c r="J300" s="642">
        <v>3647939</v>
      </c>
      <c r="K300" s="642">
        <f t="shared" si="36"/>
        <v>151997.45833333334</v>
      </c>
      <c r="L300" s="642">
        <v>76229</v>
      </c>
      <c r="M300" s="642">
        <f t="shared" si="37"/>
        <v>3176.2083333333335</v>
      </c>
      <c r="N300" s="642">
        <v>72</v>
      </c>
      <c r="O300" s="642">
        <f t="shared" si="38"/>
        <v>3</v>
      </c>
      <c r="Q300" t="s">
        <v>1533</v>
      </c>
      <c r="R300" s="750">
        <f t="shared" si="41"/>
        <v>1.3203877380141344</v>
      </c>
      <c r="S300" s="750">
        <f t="shared" si="42"/>
        <v>38.068419471630179</v>
      </c>
      <c r="T300" s="750">
        <f t="shared" si="43"/>
        <v>1803.077777153866</v>
      </c>
    </row>
    <row r="301" spans="1:20" ht="15">
      <c r="A301" s="751">
        <f t="shared" si="44"/>
        <v>45042</v>
      </c>
      <c r="B301" s="749">
        <f t="shared" si="39"/>
        <v>4</v>
      </c>
      <c r="C301" s="749">
        <f t="shared" si="40"/>
        <v>26</v>
      </c>
      <c r="D301" t="s">
        <v>1531</v>
      </c>
      <c r="E301" s="413">
        <v>186193.25793256611</v>
      </c>
      <c r="F301" s="413">
        <v>109106.13988706683</v>
      </c>
      <c r="G301" s="413">
        <v>5086.2343311200011</v>
      </c>
      <c r="I301" t="s">
        <v>1532</v>
      </c>
      <c r="J301" s="642">
        <v>3647947</v>
      </c>
      <c r="K301" s="642">
        <f t="shared" si="36"/>
        <v>151997.79166666666</v>
      </c>
      <c r="L301" s="642">
        <v>76156</v>
      </c>
      <c r="M301" s="642">
        <f t="shared" si="37"/>
        <v>3173.1666666666665</v>
      </c>
      <c r="N301" s="642">
        <v>72</v>
      </c>
      <c r="O301" s="642">
        <f t="shared" si="38"/>
        <v>3</v>
      </c>
      <c r="Q301" t="s">
        <v>1533</v>
      </c>
      <c r="R301" s="750">
        <f t="shared" si="41"/>
        <v>1.2249734413305859</v>
      </c>
      <c r="S301" s="750">
        <f t="shared" si="42"/>
        <v>34.383992821177635</v>
      </c>
      <c r="T301" s="750">
        <f t="shared" si="43"/>
        <v>1695.4114437066671</v>
      </c>
    </row>
    <row r="302" spans="1:20" ht="15">
      <c r="A302" s="751">
        <f t="shared" si="44"/>
        <v>45043</v>
      </c>
      <c r="B302" s="749">
        <f t="shared" si="39"/>
        <v>4</v>
      </c>
      <c r="C302" s="749">
        <f t="shared" si="40"/>
        <v>27</v>
      </c>
      <c r="D302" t="s">
        <v>1531</v>
      </c>
      <c r="E302" s="413">
        <v>122496.73254593158</v>
      </c>
      <c r="F302" s="413">
        <v>90075.405256640006</v>
      </c>
      <c r="G302" s="413">
        <v>4479.1470576340998</v>
      </c>
      <c r="I302" t="s">
        <v>1532</v>
      </c>
      <c r="J302" s="642">
        <v>3647664</v>
      </c>
      <c r="K302" s="642">
        <f t="shared" si="36"/>
        <v>151986</v>
      </c>
      <c r="L302" s="642">
        <v>76136</v>
      </c>
      <c r="M302" s="642">
        <f t="shared" si="37"/>
        <v>3172.3333333333335</v>
      </c>
      <c r="N302" s="642">
        <v>72</v>
      </c>
      <c r="O302" s="642">
        <f t="shared" si="38"/>
        <v>3</v>
      </c>
      <c r="Q302" t="s">
        <v>1533</v>
      </c>
      <c r="R302" s="750">
        <f t="shared" si="41"/>
        <v>0.80597379065132035</v>
      </c>
      <c r="S302" s="750">
        <f t="shared" si="42"/>
        <v>28.394054404740992</v>
      </c>
      <c r="T302" s="750">
        <f t="shared" si="43"/>
        <v>1493.0490192113666</v>
      </c>
    </row>
    <row r="303" spans="1:20" ht="15">
      <c r="A303" s="751">
        <f t="shared" si="44"/>
        <v>45044</v>
      </c>
      <c r="B303" s="749">
        <f t="shared" si="39"/>
        <v>4</v>
      </c>
      <c r="C303" s="749">
        <f t="shared" si="40"/>
        <v>28</v>
      </c>
      <c r="D303" t="s">
        <v>1531</v>
      </c>
      <c r="E303" s="413">
        <v>136991.00834502495</v>
      </c>
      <c r="F303" s="413">
        <v>89793.064965932921</v>
      </c>
      <c r="G303" s="413">
        <v>4337.1460577482003</v>
      </c>
      <c r="I303" t="s">
        <v>1532</v>
      </c>
      <c r="J303" s="642">
        <v>3646161</v>
      </c>
      <c r="K303" s="642">
        <f t="shared" si="36"/>
        <v>151923.375</v>
      </c>
      <c r="L303" s="642">
        <v>76111</v>
      </c>
      <c r="M303" s="642">
        <f t="shared" si="37"/>
        <v>3171.2916666666665</v>
      </c>
      <c r="N303" s="642">
        <v>72</v>
      </c>
      <c r="O303" s="642">
        <f t="shared" si="38"/>
        <v>3</v>
      </c>
      <c r="Q303" t="s">
        <v>1533</v>
      </c>
      <c r="R303" s="750">
        <f t="shared" si="41"/>
        <v>0.90171119714148629</v>
      </c>
      <c r="S303" s="750">
        <f t="shared" si="42"/>
        <v>28.314350871521729</v>
      </c>
      <c r="T303" s="750">
        <f t="shared" si="43"/>
        <v>1445.7153525827334</v>
      </c>
    </row>
    <row r="304" spans="1:20" ht="15">
      <c r="A304" s="751">
        <f t="shared" si="44"/>
        <v>45045</v>
      </c>
      <c r="B304" s="749">
        <f t="shared" si="39"/>
        <v>4</v>
      </c>
      <c r="C304" s="749">
        <f t="shared" si="40"/>
        <v>29</v>
      </c>
      <c r="D304" t="s">
        <v>1531</v>
      </c>
      <c r="E304" s="413">
        <v>96792.509040126504</v>
      </c>
      <c r="F304" s="413">
        <v>59949.251255284995</v>
      </c>
      <c r="G304" s="413">
        <v>3955.1470575203998</v>
      </c>
      <c r="I304" t="s">
        <v>1532</v>
      </c>
      <c r="J304" s="642">
        <v>3646833</v>
      </c>
      <c r="K304" s="642">
        <f t="shared" si="36"/>
        <v>151951.375</v>
      </c>
      <c r="L304" s="642">
        <v>76152</v>
      </c>
      <c r="M304" s="642">
        <f t="shared" si="37"/>
        <v>3173</v>
      </c>
      <c r="N304" s="642">
        <v>72</v>
      </c>
      <c r="O304" s="642">
        <f t="shared" si="38"/>
        <v>3</v>
      </c>
      <c r="Q304" t="s">
        <v>1533</v>
      </c>
      <c r="R304" s="750">
        <f t="shared" si="41"/>
        <v>0.63699659868248315</v>
      </c>
      <c r="S304" s="750">
        <f t="shared" si="42"/>
        <v>18.893555390887173</v>
      </c>
      <c r="T304" s="750">
        <f t="shared" si="43"/>
        <v>1318.3823525067999</v>
      </c>
    </row>
    <row r="305" spans="1:20" ht="15">
      <c r="A305" s="751">
        <f t="shared" si="44"/>
        <v>45046</v>
      </c>
      <c r="B305" s="749">
        <f t="shared" si="39"/>
        <v>4</v>
      </c>
      <c r="C305" s="749">
        <f t="shared" si="40"/>
        <v>30</v>
      </c>
      <c r="D305" t="s">
        <v>1531</v>
      </c>
      <c r="E305" s="413">
        <v>80674.611445759088</v>
      </c>
      <c r="F305" s="413">
        <v>49561.810639938492</v>
      </c>
      <c r="G305" s="413">
        <v>3706.1460575204005</v>
      </c>
      <c r="I305" t="s">
        <v>1532</v>
      </c>
      <c r="J305" s="642">
        <v>3646210</v>
      </c>
      <c r="K305" s="642">
        <f t="shared" si="36"/>
        <v>151925.41666666666</v>
      </c>
      <c r="L305" s="642">
        <v>76159</v>
      </c>
      <c r="M305" s="642">
        <f t="shared" si="37"/>
        <v>3173.2916666666665</v>
      </c>
      <c r="N305" s="642">
        <v>72</v>
      </c>
      <c r="O305" s="642">
        <f t="shared" si="38"/>
        <v>3</v>
      </c>
      <c r="Q305" t="s">
        <v>1533</v>
      </c>
      <c r="R305" s="750">
        <f t="shared" si="41"/>
        <v>0.53101458081081954</v>
      </c>
      <c r="S305" s="750">
        <f t="shared" si="42"/>
        <v>15.618422712463712</v>
      </c>
      <c r="T305" s="750">
        <f t="shared" si="43"/>
        <v>1235.3820191734669</v>
      </c>
    </row>
    <row r="306" spans="1:20" ht="15">
      <c r="A306" s="751">
        <f t="shared" si="44"/>
        <v>45047</v>
      </c>
      <c r="B306" s="749">
        <f t="shared" si="39"/>
        <v>5</v>
      </c>
      <c r="C306" s="749">
        <f t="shared" si="40"/>
        <v>1</v>
      </c>
      <c r="D306" t="s">
        <v>1531</v>
      </c>
      <c r="E306" s="413">
        <v>80007.339065173277</v>
      </c>
      <c r="F306" s="413">
        <v>70168.309071168114</v>
      </c>
      <c r="G306" s="413">
        <v>3966.1470575202002</v>
      </c>
      <c r="I306" t="s">
        <v>1532</v>
      </c>
      <c r="J306" s="642">
        <v>3647066</v>
      </c>
      <c r="K306" s="642">
        <f t="shared" si="36"/>
        <v>151961.08333333334</v>
      </c>
      <c r="L306" s="642">
        <v>76256</v>
      </c>
      <c r="M306" s="642">
        <f t="shared" si="37"/>
        <v>3177.3333333333335</v>
      </c>
      <c r="N306" s="642">
        <v>72</v>
      </c>
      <c r="O306" s="642">
        <f t="shared" si="38"/>
        <v>3</v>
      </c>
      <c r="Q306" t="s">
        <v>1533</v>
      </c>
      <c r="R306" s="750">
        <f t="shared" si="41"/>
        <v>0.52649887267303597</v>
      </c>
      <c r="S306" s="750">
        <f t="shared" si="42"/>
        <v>22.084025095835536</v>
      </c>
      <c r="T306" s="750">
        <f t="shared" si="43"/>
        <v>1322.0490191734</v>
      </c>
    </row>
    <row r="307" spans="1:20" ht="15">
      <c r="A307" s="751">
        <f t="shared" si="44"/>
        <v>45048</v>
      </c>
      <c r="B307" s="749">
        <f t="shared" si="39"/>
        <v>5</v>
      </c>
      <c r="C307" s="749">
        <f t="shared" si="40"/>
        <v>2</v>
      </c>
      <c r="D307" t="s">
        <v>1531</v>
      </c>
      <c r="E307" s="413">
        <v>80678.001068216196</v>
      </c>
      <c r="F307" s="413">
        <v>70462.862082383697</v>
      </c>
      <c r="G307" s="413">
        <v>3923.1470576340994</v>
      </c>
      <c r="I307" t="s">
        <v>1532</v>
      </c>
      <c r="J307" s="642">
        <v>3646517</v>
      </c>
      <c r="K307" s="642">
        <f t="shared" si="36"/>
        <v>151938.20833333334</v>
      </c>
      <c r="L307" s="642">
        <v>76200</v>
      </c>
      <c r="M307" s="642">
        <f t="shared" si="37"/>
        <v>3175</v>
      </c>
      <c r="N307" s="642">
        <v>72</v>
      </c>
      <c r="O307" s="642">
        <f t="shared" si="38"/>
        <v>3</v>
      </c>
      <c r="Q307" t="s">
        <v>1533</v>
      </c>
      <c r="R307" s="750">
        <f t="shared" si="41"/>
        <v>0.53099218394900904</v>
      </c>
      <c r="S307" s="750">
        <f t="shared" si="42"/>
        <v>22.193027427522424</v>
      </c>
      <c r="T307" s="750">
        <f t="shared" si="43"/>
        <v>1307.7156858780331</v>
      </c>
    </row>
    <row r="308" spans="1:20" ht="15">
      <c r="A308" s="751">
        <f t="shared" si="44"/>
        <v>45049</v>
      </c>
      <c r="B308" s="749">
        <f t="shared" si="39"/>
        <v>5</v>
      </c>
      <c r="C308" s="749">
        <f t="shared" si="40"/>
        <v>3</v>
      </c>
      <c r="D308" t="s">
        <v>1531</v>
      </c>
      <c r="E308" s="413">
        <v>71060.035442309672</v>
      </c>
      <c r="F308" s="413">
        <v>64395.072587432005</v>
      </c>
      <c r="G308" s="413">
        <v>4050.150057520601</v>
      </c>
      <c r="I308" t="s">
        <v>1532</v>
      </c>
      <c r="J308" s="642">
        <v>3646342</v>
      </c>
      <c r="K308" s="642">
        <f t="shared" si="36"/>
        <v>151930.91666666666</v>
      </c>
      <c r="L308" s="642">
        <v>76175</v>
      </c>
      <c r="M308" s="642">
        <f t="shared" si="37"/>
        <v>3173.9583333333335</v>
      </c>
      <c r="N308" s="642">
        <v>72</v>
      </c>
      <c r="O308" s="642">
        <f t="shared" si="38"/>
        <v>3</v>
      </c>
      <c r="Q308" t="s">
        <v>1533</v>
      </c>
      <c r="R308" s="750">
        <f t="shared" si="41"/>
        <v>0.46771280659231423</v>
      </c>
      <c r="S308" s="750">
        <f t="shared" si="42"/>
        <v>20.288568980615267</v>
      </c>
      <c r="T308" s="750">
        <f t="shared" si="43"/>
        <v>1350.0500191735337</v>
      </c>
    </row>
    <row r="309" spans="1:20" ht="15">
      <c r="A309" s="751">
        <f t="shared" si="44"/>
        <v>45050</v>
      </c>
      <c r="B309" s="749">
        <f t="shared" si="39"/>
        <v>5</v>
      </c>
      <c r="C309" s="749">
        <f t="shared" si="40"/>
        <v>4</v>
      </c>
      <c r="D309" t="s">
        <v>1531</v>
      </c>
      <c r="E309" s="413">
        <v>70561.164785465167</v>
      </c>
      <c r="F309" s="413">
        <v>59798.354969792592</v>
      </c>
      <c r="G309" s="413">
        <v>3714.1490578616999</v>
      </c>
      <c r="I309" t="s">
        <v>1532</v>
      </c>
      <c r="J309" s="642">
        <v>3646304</v>
      </c>
      <c r="K309" s="642">
        <f t="shared" si="36"/>
        <v>151929.33333333334</v>
      </c>
      <c r="L309" s="642">
        <v>76200</v>
      </c>
      <c r="M309" s="642">
        <f t="shared" si="37"/>
        <v>3175</v>
      </c>
      <c r="N309" s="642">
        <v>72</v>
      </c>
      <c r="O309" s="642">
        <f t="shared" si="38"/>
        <v>3</v>
      </c>
      <c r="Q309" t="s">
        <v>1533</v>
      </c>
      <c r="R309" s="750">
        <f t="shared" si="41"/>
        <v>0.46443411049960837</v>
      </c>
      <c r="S309" s="750">
        <f t="shared" si="42"/>
        <v>18.834127549540973</v>
      </c>
      <c r="T309" s="750">
        <f t="shared" si="43"/>
        <v>1238.0496859539001</v>
      </c>
    </row>
    <row r="310" spans="1:20" ht="15">
      <c r="A310" s="751">
        <f t="shared" si="44"/>
        <v>45051</v>
      </c>
      <c r="B310" s="749">
        <f t="shared" si="39"/>
        <v>5</v>
      </c>
      <c r="C310" s="749">
        <f t="shared" si="40"/>
        <v>5</v>
      </c>
      <c r="D310" t="s">
        <v>1531</v>
      </c>
      <c r="E310" s="413">
        <v>106453.62508833142</v>
      </c>
      <c r="F310" s="413">
        <v>78157.14867997948</v>
      </c>
      <c r="G310" s="413">
        <v>4641.1480576341</v>
      </c>
      <c r="I310" t="s">
        <v>1532</v>
      </c>
      <c r="J310" s="642">
        <v>3646479</v>
      </c>
      <c r="K310" s="642">
        <f t="shared" si="36"/>
        <v>151936.625</v>
      </c>
      <c r="L310" s="642">
        <v>76208</v>
      </c>
      <c r="M310" s="642">
        <f t="shared" si="37"/>
        <v>3175.3333333333335</v>
      </c>
      <c r="N310" s="642">
        <v>72</v>
      </c>
      <c r="O310" s="642">
        <f t="shared" si="38"/>
        <v>3</v>
      </c>
      <c r="Q310" t="s">
        <v>1533</v>
      </c>
      <c r="R310" s="750">
        <f t="shared" si="41"/>
        <v>0.70064492408154666</v>
      </c>
      <c r="S310" s="750">
        <f t="shared" si="42"/>
        <v>24.613840650843841</v>
      </c>
      <c r="T310" s="750">
        <f t="shared" si="43"/>
        <v>1547.0493525447</v>
      </c>
    </row>
    <row r="311" spans="1:20" ht="15">
      <c r="A311" s="751">
        <f t="shared" si="44"/>
        <v>45052</v>
      </c>
      <c r="B311" s="749">
        <f t="shared" si="39"/>
        <v>5</v>
      </c>
      <c r="C311" s="749">
        <f t="shared" si="40"/>
        <v>6</v>
      </c>
      <c r="D311" t="s">
        <v>1531</v>
      </c>
      <c r="E311" s="413">
        <v>182211.86757915642</v>
      </c>
      <c r="F311" s="413">
        <v>79150.095838178997</v>
      </c>
      <c r="G311" s="413">
        <v>4518.1470577482005</v>
      </c>
      <c r="I311" t="s">
        <v>1532</v>
      </c>
      <c r="J311" s="642">
        <v>3647145</v>
      </c>
      <c r="K311" s="642">
        <f t="shared" si="36"/>
        <v>151964.375</v>
      </c>
      <c r="L311" s="642">
        <v>76224</v>
      </c>
      <c r="M311" s="642">
        <f t="shared" si="37"/>
        <v>3176</v>
      </c>
      <c r="N311" s="642">
        <v>72</v>
      </c>
      <c r="O311" s="642">
        <f t="shared" si="38"/>
        <v>3</v>
      </c>
      <c r="Q311" t="s">
        <v>1533</v>
      </c>
      <c r="R311" s="750">
        <f t="shared" si="41"/>
        <v>1.1990433124813393</v>
      </c>
      <c r="S311" s="750">
        <f t="shared" si="42"/>
        <v>24.921314810509759</v>
      </c>
      <c r="T311" s="750">
        <f t="shared" si="43"/>
        <v>1506.0490192494001</v>
      </c>
    </row>
    <row r="312" spans="1:20" ht="15">
      <c r="A312" s="751">
        <f t="shared" si="44"/>
        <v>45053</v>
      </c>
      <c r="B312" s="749">
        <f t="shared" si="39"/>
        <v>5</v>
      </c>
      <c r="C312" s="749">
        <f t="shared" si="40"/>
        <v>7</v>
      </c>
      <c r="D312" t="s">
        <v>1531</v>
      </c>
      <c r="E312" s="413">
        <v>153413.99162940326</v>
      </c>
      <c r="F312" s="413">
        <v>73080.72222578009</v>
      </c>
      <c r="G312" s="413">
        <v>4412.1470574068007</v>
      </c>
      <c r="I312" t="s">
        <v>1532</v>
      </c>
      <c r="J312" s="642">
        <v>3647141</v>
      </c>
      <c r="K312" s="642">
        <f t="shared" si="36"/>
        <v>151964.20833333334</v>
      </c>
      <c r="L312" s="642">
        <v>76255</v>
      </c>
      <c r="M312" s="642">
        <f t="shared" si="37"/>
        <v>3177.2916666666665</v>
      </c>
      <c r="N312" s="642">
        <v>72</v>
      </c>
      <c r="O312" s="642">
        <f t="shared" si="38"/>
        <v>3</v>
      </c>
      <c r="Q312" t="s">
        <v>1533</v>
      </c>
      <c r="R312" s="750">
        <f t="shared" si="41"/>
        <v>1.0095402944678251</v>
      </c>
      <c r="S312" s="750">
        <f t="shared" si="42"/>
        <v>23.000948572798141</v>
      </c>
      <c r="T312" s="750">
        <f t="shared" si="43"/>
        <v>1470.715685802267</v>
      </c>
    </row>
    <row r="313" spans="1:20" ht="15">
      <c r="A313" s="751">
        <f t="shared" si="44"/>
        <v>45054</v>
      </c>
      <c r="B313" s="749">
        <f t="shared" si="39"/>
        <v>5</v>
      </c>
      <c r="C313" s="749">
        <f t="shared" si="40"/>
        <v>8</v>
      </c>
      <c r="D313" t="s">
        <v>1531</v>
      </c>
      <c r="E313" s="413">
        <v>143464.4279638968</v>
      </c>
      <c r="F313" s="413">
        <v>87013.07480187832</v>
      </c>
      <c r="G313" s="413">
        <v>4484.1470576341999</v>
      </c>
      <c r="I313" t="s">
        <v>1532</v>
      </c>
      <c r="J313" s="642">
        <v>3646779</v>
      </c>
      <c r="K313" s="642">
        <f t="shared" si="36"/>
        <v>151949.125</v>
      </c>
      <c r="L313" s="642">
        <v>76240</v>
      </c>
      <c r="M313" s="642">
        <f t="shared" si="37"/>
        <v>3176.6666666666665</v>
      </c>
      <c r="N313" s="642">
        <v>72</v>
      </c>
      <c r="O313" s="642">
        <f t="shared" si="38"/>
        <v>3</v>
      </c>
      <c r="Q313" t="s">
        <v>1533</v>
      </c>
      <c r="R313" s="750">
        <f t="shared" si="41"/>
        <v>0.94416093520707545</v>
      </c>
      <c r="S313" s="750">
        <f t="shared" si="42"/>
        <v>27.391314208356242</v>
      </c>
      <c r="T313" s="750">
        <f t="shared" si="43"/>
        <v>1494.7156858780666</v>
      </c>
    </row>
    <row r="314" spans="1:20" ht="15">
      <c r="A314" s="751">
        <f t="shared" si="44"/>
        <v>45055</v>
      </c>
      <c r="B314" s="749">
        <f t="shared" si="39"/>
        <v>5</v>
      </c>
      <c r="C314" s="749">
        <f t="shared" si="40"/>
        <v>9</v>
      </c>
      <c r="D314" t="s">
        <v>1531</v>
      </c>
      <c r="E314" s="413">
        <v>162180.65762724579</v>
      </c>
      <c r="F314" s="413">
        <v>96974.042385263747</v>
      </c>
      <c r="G314" s="413">
        <v>4616.1470575204003</v>
      </c>
      <c r="I314" t="s">
        <v>1532</v>
      </c>
      <c r="J314" s="642">
        <v>3646118</v>
      </c>
      <c r="K314" s="642">
        <f t="shared" si="36"/>
        <v>151921.58333333334</v>
      </c>
      <c r="L314" s="642">
        <v>76228</v>
      </c>
      <c r="M314" s="642">
        <f t="shared" si="37"/>
        <v>3176.1666666666665</v>
      </c>
      <c r="N314" s="642">
        <v>72</v>
      </c>
      <c r="O314" s="642">
        <f t="shared" si="38"/>
        <v>3</v>
      </c>
      <c r="Q314" t="s">
        <v>1533</v>
      </c>
      <c r="R314" s="750">
        <f t="shared" si="41"/>
        <v>1.0675287478501514</v>
      </c>
      <c r="S314" s="750">
        <f t="shared" si="42"/>
        <v>30.531786446533165</v>
      </c>
      <c r="T314" s="750">
        <f t="shared" si="43"/>
        <v>1538.7156858401333</v>
      </c>
    </row>
    <row r="315" spans="1:20" ht="15">
      <c r="A315" s="751">
        <f t="shared" si="44"/>
        <v>45056</v>
      </c>
      <c r="B315" s="749">
        <f t="shared" si="39"/>
        <v>5</v>
      </c>
      <c r="C315" s="749">
        <f t="shared" si="40"/>
        <v>10</v>
      </c>
      <c r="D315" t="s">
        <v>1531</v>
      </c>
      <c r="E315" s="413">
        <v>132181.56998237301</v>
      </c>
      <c r="F315" s="413">
        <v>77499.008311421727</v>
      </c>
      <c r="G315" s="413">
        <v>4335.1460576342015</v>
      </c>
      <c r="I315" t="s">
        <v>1532</v>
      </c>
      <c r="J315" s="642">
        <v>3646313</v>
      </c>
      <c r="K315" s="642">
        <f t="shared" si="36"/>
        <v>151929.70833333334</v>
      </c>
      <c r="L315" s="642">
        <v>76236</v>
      </c>
      <c r="M315" s="642">
        <f t="shared" si="37"/>
        <v>3176.5</v>
      </c>
      <c r="N315" s="642">
        <v>72</v>
      </c>
      <c r="O315" s="642">
        <f t="shared" si="38"/>
        <v>3</v>
      </c>
      <c r="Q315" t="s">
        <v>1533</v>
      </c>
      <c r="R315" s="750">
        <f t="shared" si="41"/>
        <v>0.87001792758245167</v>
      </c>
      <c r="S315" s="750">
        <f t="shared" si="42"/>
        <v>24.397610046095302</v>
      </c>
      <c r="T315" s="750">
        <f t="shared" si="43"/>
        <v>1445.0486858780671</v>
      </c>
    </row>
    <row r="316" spans="1:20" ht="15">
      <c r="A316" s="751">
        <f t="shared" si="44"/>
        <v>45057</v>
      </c>
      <c r="B316" s="749">
        <f t="shared" si="39"/>
        <v>5</v>
      </c>
      <c r="C316" s="749">
        <f t="shared" si="40"/>
        <v>11</v>
      </c>
      <c r="D316" t="s">
        <v>1531</v>
      </c>
      <c r="E316" s="413">
        <v>108090.93639949551</v>
      </c>
      <c r="F316" s="413">
        <v>78073.197073993273</v>
      </c>
      <c r="G316" s="413">
        <v>4184.1470575202002</v>
      </c>
      <c r="I316" t="s">
        <v>1532</v>
      </c>
      <c r="J316" s="642">
        <v>3646218</v>
      </c>
      <c r="K316" s="642">
        <f t="shared" si="36"/>
        <v>151925.75</v>
      </c>
      <c r="L316" s="642">
        <v>76248</v>
      </c>
      <c r="M316" s="642">
        <f t="shared" si="37"/>
        <v>3177</v>
      </c>
      <c r="N316" s="642">
        <v>72</v>
      </c>
      <c r="O316" s="642">
        <f t="shared" si="38"/>
        <v>3</v>
      </c>
      <c r="Q316" t="s">
        <v>1533</v>
      </c>
      <c r="R316" s="750">
        <f t="shared" si="41"/>
        <v>0.71147212634787393</v>
      </c>
      <c r="S316" s="750">
        <f t="shared" si="42"/>
        <v>24.57450332829502</v>
      </c>
      <c r="T316" s="750">
        <f t="shared" si="43"/>
        <v>1394.7156858400667</v>
      </c>
    </row>
    <row r="317" spans="1:20" ht="15">
      <c r="A317" s="751">
        <f t="shared" si="44"/>
        <v>45058</v>
      </c>
      <c r="B317" s="749">
        <f t="shared" si="39"/>
        <v>5</v>
      </c>
      <c r="C317" s="749">
        <f t="shared" si="40"/>
        <v>12</v>
      </c>
      <c r="D317" t="s">
        <v>1531</v>
      </c>
      <c r="E317" s="413">
        <v>87694.206022225408</v>
      </c>
      <c r="F317" s="413">
        <v>63917.615653461908</v>
      </c>
      <c r="G317" s="413">
        <v>4013.1480578618011</v>
      </c>
      <c r="I317" t="s">
        <v>1532</v>
      </c>
      <c r="J317" s="642">
        <v>3639732</v>
      </c>
      <c r="K317" s="642">
        <f t="shared" si="36"/>
        <v>151655.5</v>
      </c>
      <c r="L317" s="642">
        <v>76152</v>
      </c>
      <c r="M317" s="642">
        <f t="shared" si="37"/>
        <v>3173</v>
      </c>
      <c r="N317" s="642">
        <v>72</v>
      </c>
      <c r="O317" s="642">
        <f t="shared" si="38"/>
        <v>3</v>
      </c>
      <c r="Q317" t="s">
        <v>1533</v>
      </c>
      <c r="R317" s="750">
        <f t="shared" si="41"/>
        <v>0.57824613035613881</v>
      </c>
      <c r="S317" s="750">
        <f t="shared" si="42"/>
        <v>20.144221762830732</v>
      </c>
      <c r="T317" s="750">
        <f t="shared" si="43"/>
        <v>1337.716019287267</v>
      </c>
    </row>
    <row r="318" spans="1:20" ht="15">
      <c r="A318" s="751">
        <f t="shared" si="44"/>
        <v>45059</v>
      </c>
      <c r="B318" s="749">
        <f t="shared" si="39"/>
        <v>5</v>
      </c>
      <c r="C318" s="749">
        <f t="shared" si="40"/>
        <v>13</v>
      </c>
      <c r="D318" t="s">
        <v>1531</v>
      </c>
      <c r="E318" s="413">
        <v>75323.422892577582</v>
      </c>
      <c r="F318" s="413">
        <v>49329.046172001013</v>
      </c>
      <c r="G318" s="413">
        <v>3826.1470577480991</v>
      </c>
      <c r="I318" t="s">
        <v>1532</v>
      </c>
      <c r="J318" s="642">
        <v>3642706</v>
      </c>
      <c r="K318" s="642">
        <f t="shared" si="36"/>
        <v>151779.41666666666</v>
      </c>
      <c r="L318" s="642">
        <v>76164</v>
      </c>
      <c r="M318" s="642">
        <f t="shared" si="37"/>
        <v>3173.5</v>
      </c>
      <c r="N318" s="642">
        <v>72</v>
      </c>
      <c r="O318" s="642">
        <f t="shared" si="38"/>
        <v>3</v>
      </c>
      <c r="Q318" t="s">
        <v>1533</v>
      </c>
      <c r="R318" s="750">
        <f t="shared" si="41"/>
        <v>0.49626902347372037</v>
      </c>
      <c r="S318" s="750">
        <f t="shared" si="42"/>
        <v>15.544051101938242</v>
      </c>
      <c r="T318" s="750">
        <f t="shared" si="43"/>
        <v>1275.3823525826997</v>
      </c>
    </row>
    <row r="319" spans="1:20" ht="15">
      <c r="A319" s="751">
        <f t="shared" si="44"/>
        <v>45060</v>
      </c>
      <c r="B319" s="749">
        <f t="shared" si="39"/>
        <v>5</v>
      </c>
      <c r="C319" s="749">
        <f t="shared" si="40"/>
        <v>14</v>
      </c>
      <c r="D319" t="s">
        <v>1531</v>
      </c>
      <c r="E319" s="413">
        <v>70810.071120916982</v>
      </c>
      <c r="F319" s="413">
        <v>43364.74250263039</v>
      </c>
      <c r="G319" s="413">
        <v>3630.1470574067012</v>
      </c>
      <c r="I319" t="s">
        <v>1532</v>
      </c>
      <c r="J319" s="642">
        <v>3642644</v>
      </c>
      <c r="K319" s="642">
        <f t="shared" si="36"/>
        <v>151776.83333333334</v>
      </c>
      <c r="L319" s="642">
        <v>76184</v>
      </c>
      <c r="M319" s="642">
        <f t="shared" si="37"/>
        <v>3174.3333333333335</v>
      </c>
      <c r="N319" s="642">
        <v>72</v>
      </c>
      <c r="O319" s="642">
        <f t="shared" si="38"/>
        <v>3</v>
      </c>
      <c r="Q319" t="s">
        <v>1533</v>
      </c>
      <c r="R319" s="750">
        <f t="shared" si="41"/>
        <v>0.46654070694309063</v>
      </c>
      <c r="S319" s="750">
        <f t="shared" si="42"/>
        <v>13.661055078010204</v>
      </c>
      <c r="T319" s="750">
        <f t="shared" si="43"/>
        <v>1210.0490191355671</v>
      </c>
    </row>
    <row r="320" spans="1:20" ht="15">
      <c r="A320" s="751">
        <f t="shared" si="44"/>
        <v>45061</v>
      </c>
      <c r="B320" s="749">
        <f t="shared" si="39"/>
        <v>5</v>
      </c>
      <c r="C320" s="749">
        <f t="shared" si="40"/>
        <v>15</v>
      </c>
      <c r="D320" t="s">
        <v>1531</v>
      </c>
      <c r="E320" s="413">
        <v>65118.116242302494</v>
      </c>
      <c r="F320" s="413">
        <v>50695.779656337203</v>
      </c>
      <c r="G320" s="413">
        <v>3604.1470576339998</v>
      </c>
      <c r="I320" t="s">
        <v>1532</v>
      </c>
      <c r="J320" s="642">
        <v>3642086</v>
      </c>
      <c r="K320" s="642">
        <f t="shared" si="36"/>
        <v>151753.58333333334</v>
      </c>
      <c r="L320" s="642">
        <v>76190</v>
      </c>
      <c r="M320" s="642">
        <f t="shared" si="37"/>
        <v>3174.5833333333335</v>
      </c>
      <c r="N320" s="642">
        <v>72</v>
      </c>
      <c r="O320" s="642">
        <f t="shared" si="38"/>
        <v>3</v>
      </c>
      <c r="Q320" t="s">
        <v>1533</v>
      </c>
      <c r="R320" s="750">
        <f t="shared" si="41"/>
        <v>0.42910430720616144</v>
      </c>
      <c r="S320" s="750">
        <f t="shared" si="42"/>
        <v>15.969270399686216</v>
      </c>
      <c r="T320" s="750">
        <f t="shared" si="43"/>
        <v>1201.3823525446667</v>
      </c>
    </row>
    <row r="321" spans="1:20" ht="15">
      <c r="A321" s="751">
        <f t="shared" si="44"/>
        <v>45062</v>
      </c>
      <c r="B321" s="749">
        <f t="shared" si="39"/>
        <v>5</v>
      </c>
      <c r="C321" s="749">
        <f t="shared" si="40"/>
        <v>16</v>
      </c>
      <c r="D321" t="s">
        <v>1531</v>
      </c>
      <c r="E321" s="413">
        <v>65281.908881646195</v>
      </c>
      <c r="F321" s="413">
        <v>53855.156387626201</v>
      </c>
      <c r="G321" s="413">
        <v>3713.3470577480994</v>
      </c>
      <c r="I321" t="s">
        <v>1532</v>
      </c>
      <c r="J321" s="642">
        <v>3640624</v>
      </c>
      <c r="K321" s="642">
        <f t="shared" si="36"/>
        <v>151692.66666666666</v>
      </c>
      <c r="L321" s="642">
        <v>76168</v>
      </c>
      <c r="M321" s="642">
        <f t="shared" si="37"/>
        <v>3173.6666666666665</v>
      </c>
      <c r="N321" s="642">
        <v>72</v>
      </c>
      <c r="O321" s="642">
        <f t="shared" si="38"/>
        <v>3</v>
      </c>
      <c r="Q321" t="s">
        <v>1533</v>
      </c>
      <c r="R321" s="750">
        <f t="shared" si="41"/>
        <v>0.43035639306874557</v>
      </c>
      <c r="S321" s="750">
        <f t="shared" si="42"/>
        <v>16.969380229269888</v>
      </c>
      <c r="T321" s="750">
        <f t="shared" si="43"/>
        <v>1237.7823525826998</v>
      </c>
    </row>
    <row r="322" spans="1:20" ht="15">
      <c r="A322" s="751">
        <f t="shared" si="44"/>
        <v>45063</v>
      </c>
      <c r="B322" s="749">
        <f t="shared" si="39"/>
        <v>5</v>
      </c>
      <c r="C322" s="749">
        <f t="shared" si="40"/>
        <v>17</v>
      </c>
      <c r="D322" t="s">
        <v>1531</v>
      </c>
      <c r="E322" s="413">
        <v>66842.611691865401</v>
      </c>
      <c r="F322" s="413">
        <v>58195.629518729293</v>
      </c>
      <c r="G322" s="413">
        <v>3712.9460574063996</v>
      </c>
      <c r="I322" t="s">
        <v>1532</v>
      </c>
      <c r="J322" s="642">
        <v>3640461</v>
      </c>
      <c r="K322" s="642">
        <f t="shared" ref="K322:K366" si="45">J322/$U$1</f>
        <v>151685.875</v>
      </c>
      <c r="L322" s="642">
        <v>76128</v>
      </c>
      <c r="M322" s="642">
        <f t="shared" ref="M322:M366" si="46">L322/$U$1</f>
        <v>3172</v>
      </c>
      <c r="N322" s="642">
        <v>72</v>
      </c>
      <c r="O322" s="642">
        <f t="shared" ref="O322:O366" si="47">N322/$U$1</f>
        <v>3</v>
      </c>
      <c r="Q322" t="s">
        <v>1533</v>
      </c>
      <c r="R322" s="750">
        <f t="shared" si="41"/>
        <v>0.44066470719086664</v>
      </c>
      <c r="S322" s="750">
        <f t="shared" si="42"/>
        <v>18.346667565803685</v>
      </c>
      <c r="T322" s="750">
        <f t="shared" si="43"/>
        <v>1237.6486858021333</v>
      </c>
    </row>
    <row r="323" spans="1:20" ht="15">
      <c r="A323" s="751">
        <f t="shared" si="44"/>
        <v>45064</v>
      </c>
      <c r="B323" s="749">
        <f t="shared" ref="B323:B366" si="48">MONTH(A323)</f>
        <v>5</v>
      </c>
      <c r="C323" s="749">
        <f t="shared" ref="C323:C366" si="49">DAY(A323)</f>
        <v>18</v>
      </c>
      <c r="D323" t="s">
        <v>1531</v>
      </c>
      <c r="E323" s="413">
        <v>64182.761473064893</v>
      </c>
      <c r="F323" s="413">
        <v>56321.223408682119</v>
      </c>
      <c r="G323" s="413">
        <v>3653.1470574067998</v>
      </c>
      <c r="I323" t="s">
        <v>1532</v>
      </c>
      <c r="J323" s="642">
        <v>3640363</v>
      </c>
      <c r="K323" s="642">
        <f t="shared" si="45"/>
        <v>151681.79166666666</v>
      </c>
      <c r="L323" s="642">
        <v>76152</v>
      </c>
      <c r="M323" s="642">
        <f t="shared" si="46"/>
        <v>3173</v>
      </c>
      <c r="N323" s="642">
        <v>72</v>
      </c>
      <c r="O323" s="642">
        <f t="shared" si="47"/>
        <v>3</v>
      </c>
      <c r="Q323" t="s">
        <v>1533</v>
      </c>
      <c r="R323" s="750">
        <f t="shared" ref="R323:R366" si="50">E323/K323</f>
        <v>0.42314084484254938</v>
      </c>
      <c r="S323" s="750">
        <f t="shared" ref="S323:S366" si="51">F323/M323</f>
        <v>17.750149199080404</v>
      </c>
      <c r="T323" s="750">
        <f t="shared" ref="T323:T366" si="52">G323/O323</f>
        <v>1217.7156858022665</v>
      </c>
    </row>
    <row r="324" spans="1:20" ht="15">
      <c r="A324" s="751">
        <f t="shared" ref="A324:A360" si="53">A323+1</f>
        <v>45065</v>
      </c>
      <c r="B324" s="749">
        <f t="shared" si="48"/>
        <v>5</v>
      </c>
      <c r="C324" s="749">
        <f t="shared" si="49"/>
        <v>19</v>
      </c>
      <c r="D324" t="s">
        <v>1531</v>
      </c>
      <c r="E324" s="413">
        <v>62634.406268829</v>
      </c>
      <c r="F324" s="413">
        <v>50823.959013308318</v>
      </c>
      <c r="G324" s="413">
        <v>3661.1470575205008</v>
      </c>
      <c r="I324" t="s">
        <v>1532</v>
      </c>
      <c r="J324" s="642">
        <v>3640318</v>
      </c>
      <c r="K324" s="642">
        <f t="shared" si="45"/>
        <v>151679.91666666666</v>
      </c>
      <c r="L324" s="642">
        <v>76135</v>
      </c>
      <c r="M324" s="642">
        <f t="shared" si="46"/>
        <v>3172.2916666666665</v>
      </c>
      <c r="N324" s="642">
        <v>72</v>
      </c>
      <c r="O324" s="642">
        <f t="shared" si="47"/>
        <v>3</v>
      </c>
      <c r="Q324" t="s">
        <v>1533</v>
      </c>
      <c r="R324" s="750">
        <f t="shared" si="50"/>
        <v>0.41293803191146927</v>
      </c>
      <c r="S324" s="750">
        <f t="shared" si="51"/>
        <v>16.021212534568853</v>
      </c>
      <c r="T324" s="750">
        <f t="shared" si="52"/>
        <v>1220.3823525068335</v>
      </c>
    </row>
    <row r="325" spans="1:20" ht="15">
      <c r="A325" s="751">
        <f t="shared" si="53"/>
        <v>45066</v>
      </c>
      <c r="B325" s="749">
        <f t="shared" si="48"/>
        <v>5</v>
      </c>
      <c r="C325" s="749">
        <f t="shared" si="49"/>
        <v>20</v>
      </c>
      <c r="D325" t="s">
        <v>1531</v>
      </c>
      <c r="E325" s="413">
        <v>62188.8496513711</v>
      </c>
      <c r="F325" s="413">
        <v>40915.972994941498</v>
      </c>
      <c r="G325" s="413">
        <v>3569.1470576343991</v>
      </c>
      <c r="I325" t="s">
        <v>1532</v>
      </c>
      <c r="J325" s="642">
        <v>3639490</v>
      </c>
      <c r="K325" s="642">
        <f t="shared" si="45"/>
        <v>151645.41666666666</v>
      </c>
      <c r="L325" s="642">
        <v>76120</v>
      </c>
      <c r="M325" s="642">
        <f t="shared" si="46"/>
        <v>3171.6666666666665</v>
      </c>
      <c r="N325" s="642">
        <v>72</v>
      </c>
      <c r="O325" s="642">
        <f t="shared" si="47"/>
        <v>3</v>
      </c>
      <c r="Q325" t="s">
        <v>1533</v>
      </c>
      <c r="R325" s="750">
        <f t="shared" si="50"/>
        <v>0.41009382952911161</v>
      </c>
      <c r="S325" s="750">
        <f t="shared" si="51"/>
        <v>12.900464422997846</v>
      </c>
      <c r="T325" s="750">
        <f t="shared" si="52"/>
        <v>1189.7156858781329</v>
      </c>
    </row>
    <row r="326" spans="1:20" ht="15">
      <c r="A326" s="751">
        <f t="shared" si="53"/>
        <v>45067</v>
      </c>
      <c r="B326" s="749">
        <f t="shared" si="48"/>
        <v>5</v>
      </c>
      <c r="C326" s="749">
        <f t="shared" si="49"/>
        <v>21</v>
      </c>
      <c r="D326" t="s">
        <v>1531</v>
      </c>
      <c r="E326" s="413">
        <v>63805.308260092701</v>
      </c>
      <c r="F326" s="413">
        <v>39908.652203764104</v>
      </c>
      <c r="G326" s="413">
        <v>3475.1470575200015</v>
      </c>
      <c r="I326" t="s">
        <v>1532</v>
      </c>
      <c r="J326" s="642">
        <v>3639659</v>
      </c>
      <c r="K326" s="642">
        <f t="shared" si="45"/>
        <v>151652.45833333334</v>
      </c>
      <c r="L326" s="642">
        <v>76096</v>
      </c>
      <c r="M326" s="642">
        <f t="shared" si="46"/>
        <v>3170.6666666666665</v>
      </c>
      <c r="N326" s="642">
        <v>72</v>
      </c>
      <c r="O326" s="642">
        <f t="shared" si="47"/>
        <v>3</v>
      </c>
      <c r="Q326" t="s">
        <v>1533</v>
      </c>
      <c r="R326" s="750">
        <f t="shared" si="50"/>
        <v>0.42073375506942401</v>
      </c>
      <c r="S326" s="750">
        <f t="shared" si="51"/>
        <v>12.586833117251086</v>
      </c>
      <c r="T326" s="750">
        <f t="shared" si="52"/>
        <v>1158.3823525066671</v>
      </c>
    </row>
    <row r="327" spans="1:20" ht="15">
      <c r="A327" s="751">
        <f t="shared" si="53"/>
        <v>45068</v>
      </c>
      <c r="B327" s="749">
        <f t="shared" si="48"/>
        <v>5</v>
      </c>
      <c r="C327" s="749">
        <f t="shared" si="49"/>
        <v>22</v>
      </c>
      <c r="D327" t="s">
        <v>1531</v>
      </c>
      <c r="E327" s="413">
        <v>73497.557377444784</v>
      </c>
      <c r="F327" s="413">
        <v>68463.567108290503</v>
      </c>
      <c r="G327" s="413">
        <v>3922.1470576339993</v>
      </c>
      <c r="I327" t="s">
        <v>1532</v>
      </c>
      <c r="J327" s="642">
        <v>3639185</v>
      </c>
      <c r="K327" s="642">
        <f t="shared" si="45"/>
        <v>151632.70833333334</v>
      </c>
      <c r="L327" s="642">
        <v>76080</v>
      </c>
      <c r="M327" s="642">
        <f t="shared" si="46"/>
        <v>3170</v>
      </c>
      <c r="N327" s="642">
        <v>72</v>
      </c>
      <c r="O327" s="642">
        <f t="shared" si="47"/>
        <v>3</v>
      </c>
      <c r="Q327" t="s">
        <v>1533</v>
      </c>
      <c r="R327" s="750">
        <f t="shared" si="50"/>
        <v>0.48470780602213814</v>
      </c>
      <c r="S327" s="750">
        <f t="shared" si="51"/>
        <v>21.59733978179511</v>
      </c>
      <c r="T327" s="750">
        <f t="shared" si="52"/>
        <v>1307.3823525446664</v>
      </c>
    </row>
    <row r="328" spans="1:20" ht="15">
      <c r="A328" s="751">
        <f t="shared" si="53"/>
        <v>45069</v>
      </c>
      <c r="B328" s="749">
        <f t="shared" si="48"/>
        <v>5</v>
      </c>
      <c r="C328" s="749">
        <f t="shared" si="49"/>
        <v>23</v>
      </c>
      <c r="D328" t="s">
        <v>1531</v>
      </c>
      <c r="E328" s="413">
        <v>81724.195599315004</v>
      </c>
      <c r="F328" s="413">
        <v>68827.162995379622</v>
      </c>
      <c r="G328" s="413">
        <v>3983.1470577484001</v>
      </c>
      <c r="I328" t="s">
        <v>1532</v>
      </c>
      <c r="J328" s="642">
        <v>3638479</v>
      </c>
      <c r="K328" s="642">
        <f t="shared" si="45"/>
        <v>151603.29166666666</v>
      </c>
      <c r="L328" s="642">
        <v>76000</v>
      </c>
      <c r="M328" s="642">
        <f t="shared" si="46"/>
        <v>3166.6666666666665</v>
      </c>
      <c r="N328" s="642">
        <v>72</v>
      </c>
      <c r="O328" s="642">
        <f t="shared" si="47"/>
        <v>3</v>
      </c>
      <c r="Q328" t="s">
        <v>1533</v>
      </c>
      <c r="R328" s="750">
        <f t="shared" si="50"/>
        <v>0.53906610272687028</v>
      </c>
      <c r="S328" s="750">
        <f t="shared" si="51"/>
        <v>21.734893577488304</v>
      </c>
      <c r="T328" s="750">
        <f t="shared" si="52"/>
        <v>1327.7156859161335</v>
      </c>
    </row>
    <row r="329" spans="1:20" ht="15">
      <c r="A329" s="751">
        <f t="shared" si="53"/>
        <v>45070</v>
      </c>
      <c r="B329" s="749">
        <f t="shared" si="48"/>
        <v>5</v>
      </c>
      <c r="C329" s="749">
        <f t="shared" si="49"/>
        <v>24</v>
      </c>
      <c r="D329" t="s">
        <v>1531</v>
      </c>
      <c r="E329" s="413">
        <v>74488.429948259538</v>
      </c>
      <c r="F329" s="413">
        <v>67401.426028486792</v>
      </c>
      <c r="G329" s="413">
        <v>3839.1470576340998</v>
      </c>
      <c r="I329" t="s">
        <v>1532</v>
      </c>
      <c r="J329" s="642">
        <v>3638480</v>
      </c>
      <c r="K329" s="642">
        <f t="shared" si="45"/>
        <v>151603.33333333334</v>
      </c>
      <c r="L329" s="642">
        <v>76008</v>
      </c>
      <c r="M329" s="642">
        <f t="shared" si="46"/>
        <v>3167</v>
      </c>
      <c r="N329" s="642">
        <v>72</v>
      </c>
      <c r="O329" s="642">
        <f t="shared" si="47"/>
        <v>3</v>
      </c>
      <c r="Q329" t="s">
        <v>1533</v>
      </c>
      <c r="R329" s="750">
        <f t="shared" si="50"/>
        <v>0.49133767912925969</v>
      </c>
      <c r="S329" s="750">
        <f t="shared" si="51"/>
        <v>21.282420596301481</v>
      </c>
      <c r="T329" s="750">
        <f t="shared" si="52"/>
        <v>1279.7156858780334</v>
      </c>
    </row>
    <row r="330" spans="1:20" ht="15">
      <c r="A330" s="751">
        <f t="shared" si="53"/>
        <v>45071</v>
      </c>
      <c r="B330" s="749">
        <f t="shared" si="48"/>
        <v>5</v>
      </c>
      <c r="C330" s="749">
        <f t="shared" si="49"/>
        <v>25</v>
      </c>
      <c r="D330" t="s">
        <v>1531</v>
      </c>
      <c r="E330" s="413">
        <v>81554.846907870524</v>
      </c>
      <c r="F330" s="413">
        <v>67050.382240664621</v>
      </c>
      <c r="G330" s="413">
        <v>3942.1470575202998</v>
      </c>
      <c r="I330" t="s">
        <v>1532</v>
      </c>
      <c r="J330" s="642">
        <v>3638578</v>
      </c>
      <c r="K330" s="642">
        <f t="shared" si="45"/>
        <v>151607.41666666666</v>
      </c>
      <c r="L330" s="642">
        <v>75987</v>
      </c>
      <c r="M330" s="642">
        <f t="shared" si="46"/>
        <v>3166.125</v>
      </c>
      <c r="N330" s="642">
        <v>72</v>
      </c>
      <c r="O330" s="642">
        <f t="shared" si="47"/>
        <v>3</v>
      </c>
      <c r="Q330" t="s">
        <v>1533</v>
      </c>
      <c r="R330" s="750">
        <f t="shared" si="50"/>
        <v>0.53793441443027823</v>
      </c>
      <c r="S330" s="750">
        <f t="shared" si="51"/>
        <v>21.177427372786806</v>
      </c>
      <c r="T330" s="750">
        <f t="shared" si="52"/>
        <v>1314.0490191734332</v>
      </c>
    </row>
    <row r="331" spans="1:20" ht="15">
      <c r="A331" s="751">
        <f t="shared" si="53"/>
        <v>45072</v>
      </c>
      <c r="B331" s="749">
        <f t="shared" si="48"/>
        <v>5</v>
      </c>
      <c r="C331" s="749">
        <f t="shared" si="49"/>
        <v>26</v>
      </c>
      <c r="D331" t="s">
        <v>1531</v>
      </c>
      <c r="E331" s="413">
        <v>66867.703045692382</v>
      </c>
      <c r="F331" s="413">
        <v>52627.845738631295</v>
      </c>
      <c r="G331" s="413">
        <v>3888.1470578619992</v>
      </c>
      <c r="I331" t="s">
        <v>1532</v>
      </c>
      <c r="J331" s="642">
        <v>3638419</v>
      </c>
      <c r="K331" s="642">
        <f t="shared" si="45"/>
        <v>151600.79166666666</v>
      </c>
      <c r="L331" s="642">
        <v>76048</v>
      </c>
      <c r="M331" s="642">
        <f t="shared" si="46"/>
        <v>3168.6666666666665</v>
      </c>
      <c r="N331" s="642">
        <v>72</v>
      </c>
      <c r="O331" s="642">
        <f t="shared" si="47"/>
        <v>3</v>
      </c>
      <c r="Q331" t="s">
        <v>1533</v>
      </c>
      <c r="R331" s="750">
        <f t="shared" si="50"/>
        <v>0.4410775320535148</v>
      </c>
      <c r="S331" s="750">
        <f t="shared" si="51"/>
        <v>16.608829919618547</v>
      </c>
      <c r="T331" s="750">
        <f t="shared" si="52"/>
        <v>1296.0490192873331</v>
      </c>
    </row>
    <row r="332" spans="1:20" ht="15">
      <c r="A332" s="751">
        <f t="shared" si="53"/>
        <v>45073</v>
      </c>
      <c r="B332" s="749">
        <f t="shared" si="48"/>
        <v>5</v>
      </c>
      <c r="C332" s="749">
        <f t="shared" si="49"/>
        <v>27</v>
      </c>
      <c r="D332" t="s">
        <v>1531</v>
      </c>
      <c r="E332" s="413">
        <v>67415.26140918069</v>
      </c>
      <c r="F332" s="413">
        <v>45926.576794890701</v>
      </c>
      <c r="G332" s="413">
        <v>3983.1470576345009</v>
      </c>
      <c r="I332" t="s">
        <v>1532</v>
      </c>
      <c r="J332" s="642">
        <v>3638435</v>
      </c>
      <c r="K332" s="642">
        <f t="shared" si="45"/>
        <v>151601.45833333334</v>
      </c>
      <c r="L332" s="642">
        <v>76032</v>
      </c>
      <c r="M332" s="642">
        <f t="shared" si="46"/>
        <v>3168</v>
      </c>
      <c r="N332" s="642">
        <v>72</v>
      </c>
      <c r="O332" s="642">
        <f t="shared" si="47"/>
        <v>3</v>
      </c>
      <c r="Q332" t="s">
        <v>1533</v>
      </c>
      <c r="R332" s="750">
        <f t="shared" si="50"/>
        <v>0.44468742022884467</v>
      </c>
      <c r="S332" s="750">
        <f t="shared" si="51"/>
        <v>14.497025503437721</v>
      </c>
      <c r="T332" s="750">
        <f t="shared" si="52"/>
        <v>1327.7156858781671</v>
      </c>
    </row>
    <row r="333" spans="1:20" ht="15">
      <c r="A333" s="751">
        <f t="shared" si="53"/>
        <v>45074</v>
      </c>
      <c r="B333" s="749">
        <f t="shared" si="48"/>
        <v>5</v>
      </c>
      <c r="C333" s="749">
        <f t="shared" si="49"/>
        <v>28</v>
      </c>
      <c r="D333" t="s">
        <v>1531</v>
      </c>
      <c r="E333" s="413">
        <v>68324.838396437306</v>
      </c>
      <c r="F333" s="413">
        <v>41361.590488445181</v>
      </c>
      <c r="G333" s="413">
        <v>3858.1470576341007</v>
      </c>
      <c r="I333" t="s">
        <v>1532</v>
      </c>
      <c r="J333" s="642">
        <v>3638344</v>
      </c>
      <c r="K333" s="642">
        <f t="shared" si="45"/>
        <v>151597.66666666666</v>
      </c>
      <c r="L333" s="642">
        <v>76032</v>
      </c>
      <c r="M333" s="642">
        <f t="shared" si="46"/>
        <v>3168</v>
      </c>
      <c r="N333" s="642">
        <v>72</v>
      </c>
      <c r="O333" s="642">
        <f t="shared" si="47"/>
        <v>3</v>
      </c>
      <c r="Q333" t="s">
        <v>1533</v>
      </c>
      <c r="R333" s="750">
        <f t="shared" si="50"/>
        <v>0.4506984830226321</v>
      </c>
      <c r="S333" s="750">
        <f t="shared" si="51"/>
        <v>13.056057603675878</v>
      </c>
      <c r="T333" s="750">
        <f t="shared" si="52"/>
        <v>1286.0490192113668</v>
      </c>
    </row>
    <row r="334" spans="1:20" ht="15">
      <c r="A334" s="751">
        <f t="shared" si="53"/>
        <v>45075</v>
      </c>
      <c r="B334" s="749">
        <f t="shared" si="48"/>
        <v>5</v>
      </c>
      <c r="C334" s="749">
        <f t="shared" si="49"/>
        <v>29</v>
      </c>
      <c r="D334" t="s">
        <v>1531</v>
      </c>
      <c r="E334" s="413">
        <v>70359.775646923576</v>
      </c>
      <c r="F334" s="413">
        <v>41401.058847616601</v>
      </c>
      <c r="G334" s="413">
        <v>3903.1470572928993</v>
      </c>
      <c r="I334" t="s">
        <v>1532</v>
      </c>
      <c r="J334" s="642">
        <v>3638046</v>
      </c>
      <c r="K334" s="642">
        <f t="shared" si="45"/>
        <v>151585.25</v>
      </c>
      <c r="L334" s="642">
        <v>76032</v>
      </c>
      <c r="M334" s="642">
        <f t="shared" si="46"/>
        <v>3168</v>
      </c>
      <c r="N334" s="642">
        <v>72</v>
      </c>
      <c r="O334" s="642">
        <f t="shared" si="47"/>
        <v>3</v>
      </c>
      <c r="Q334" t="s">
        <v>1533</v>
      </c>
      <c r="R334" s="750">
        <f t="shared" si="50"/>
        <v>0.46415977574944511</v>
      </c>
      <c r="S334" s="750">
        <f t="shared" si="51"/>
        <v>13.068516050384028</v>
      </c>
      <c r="T334" s="750">
        <f t="shared" si="52"/>
        <v>1301.0490190976332</v>
      </c>
    </row>
    <row r="335" spans="1:20" ht="15">
      <c r="A335" s="751">
        <f t="shared" si="53"/>
        <v>45076</v>
      </c>
      <c r="B335" s="749">
        <f t="shared" si="48"/>
        <v>5</v>
      </c>
      <c r="C335" s="749">
        <f t="shared" si="49"/>
        <v>30</v>
      </c>
      <c r="D335" t="s">
        <v>1531</v>
      </c>
      <c r="E335" s="413">
        <v>66286.369578180907</v>
      </c>
      <c r="F335" s="413">
        <v>56242.157137612594</v>
      </c>
      <c r="G335" s="413">
        <v>3770.1470576344004</v>
      </c>
      <c r="I335" t="s">
        <v>1532</v>
      </c>
      <c r="J335" s="642">
        <v>3638261</v>
      </c>
      <c r="K335" s="642">
        <f t="shared" si="45"/>
        <v>151594.20833333334</v>
      </c>
      <c r="L335" s="642">
        <v>75984</v>
      </c>
      <c r="M335" s="642">
        <f t="shared" si="46"/>
        <v>3166</v>
      </c>
      <c r="N335" s="642">
        <v>72</v>
      </c>
      <c r="O335" s="642">
        <f t="shared" si="47"/>
        <v>3</v>
      </c>
      <c r="Q335" t="s">
        <v>1533</v>
      </c>
      <c r="R335" s="750">
        <f t="shared" si="50"/>
        <v>0.43726188689495932</v>
      </c>
      <c r="S335" s="750">
        <f t="shared" si="51"/>
        <v>17.76442107947334</v>
      </c>
      <c r="T335" s="750">
        <f t="shared" si="52"/>
        <v>1256.7156858781334</v>
      </c>
    </row>
    <row r="336" spans="1:20" ht="15">
      <c r="A336" s="751">
        <f t="shared" si="53"/>
        <v>45077</v>
      </c>
      <c r="B336" s="749">
        <f t="shared" si="48"/>
        <v>5</v>
      </c>
      <c r="C336" s="749">
        <f t="shared" si="49"/>
        <v>31</v>
      </c>
      <c r="D336" t="s">
        <v>1531</v>
      </c>
      <c r="E336" s="413">
        <v>68787.2358701989</v>
      </c>
      <c r="F336" s="413">
        <v>65598.031403144676</v>
      </c>
      <c r="G336" s="413">
        <v>3800.5862056563997</v>
      </c>
      <c r="I336" t="s">
        <v>1532</v>
      </c>
      <c r="J336" s="642">
        <v>3634943</v>
      </c>
      <c r="K336" s="642">
        <f t="shared" si="45"/>
        <v>151455.95833333334</v>
      </c>
      <c r="L336" s="642">
        <v>75850</v>
      </c>
      <c r="M336" s="642">
        <f t="shared" si="46"/>
        <v>3160.4166666666665</v>
      </c>
      <c r="N336" s="642">
        <v>72</v>
      </c>
      <c r="O336" s="642">
        <f t="shared" si="47"/>
        <v>3</v>
      </c>
      <c r="Q336" t="s">
        <v>1533</v>
      </c>
      <c r="R336" s="750">
        <f t="shared" si="50"/>
        <v>0.45417319085464986</v>
      </c>
      <c r="S336" s="750">
        <f t="shared" si="51"/>
        <v>20.756133865200688</v>
      </c>
      <c r="T336" s="750">
        <f t="shared" si="52"/>
        <v>1266.8620685521332</v>
      </c>
    </row>
    <row r="337" spans="1:20" ht="15">
      <c r="A337" s="751">
        <f t="shared" si="53"/>
        <v>45078</v>
      </c>
      <c r="B337" s="749">
        <f t="shared" si="48"/>
        <v>6</v>
      </c>
      <c r="C337" s="749">
        <f t="shared" si="49"/>
        <v>1</v>
      </c>
      <c r="D337" t="s">
        <v>1531</v>
      </c>
      <c r="E337" s="413">
        <v>71851.286843949507</v>
      </c>
      <c r="F337" s="413">
        <v>63209.221563297397</v>
      </c>
      <c r="G337" s="413">
        <v>3762.5862056564001</v>
      </c>
      <c r="I337" t="s">
        <v>1532</v>
      </c>
      <c r="J337" s="642">
        <v>3637208</v>
      </c>
      <c r="K337" s="642">
        <f t="shared" si="45"/>
        <v>151550.33333333334</v>
      </c>
      <c r="L337" s="642">
        <v>75944</v>
      </c>
      <c r="M337" s="642">
        <f t="shared" si="46"/>
        <v>3164.3333333333335</v>
      </c>
      <c r="N337" s="642">
        <v>72</v>
      </c>
      <c r="O337" s="642">
        <f t="shared" si="47"/>
        <v>3</v>
      </c>
      <c r="Q337" t="s">
        <v>1533</v>
      </c>
      <c r="R337" s="750">
        <f t="shared" si="50"/>
        <v>0.47410840519837966</v>
      </c>
      <c r="S337" s="750">
        <f t="shared" si="51"/>
        <v>19.975525617812302</v>
      </c>
      <c r="T337" s="750">
        <f t="shared" si="52"/>
        <v>1254.1954018854667</v>
      </c>
    </row>
    <row r="338" spans="1:20" ht="15">
      <c r="A338" s="751">
        <f t="shared" si="53"/>
        <v>45079</v>
      </c>
      <c r="B338" s="749">
        <f t="shared" si="48"/>
        <v>6</v>
      </c>
      <c r="C338" s="749">
        <f t="shared" si="49"/>
        <v>2</v>
      </c>
      <c r="D338" t="s">
        <v>1531</v>
      </c>
      <c r="E338" s="413">
        <v>68746.874087211603</v>
      </c>
      <c r="F338" s="413">
        <v>56225.195256924904</v>
      </c>
      <c r="G338" s="413">
        <v>3678.5862057600007</v>
      </c>
      <c r="I338" t="s">
        <v>1532</v>
      </c>
      <c r="J338" s="642">
        <v>3631092</v>
      </c>
      <c r="K338" s="642">
        <f t="shared" si="45"/>
        <v>151295.5</v>
      </c>
      <c r="L338" s="642">
        <v>75696</v>
      </c>
      <c r="M338" s="642">
        <f t="shared" si="46"/>
        <v>3154</v>
      </c>
      <c r="N338" s="642">
        <v>72</v>
      </c>
      <c r="O338" s="642">
        <f t="shared" si="47"/>
        <v>3</v>
      </c>
      <c r="Q338" t="s">
        <v>1533</v>
      </c>
      <c r="R338" s="750">
        <f t="shared" si="50"/>
        <v>0.45438809539749431</v>
      </c>
      <c r="S338" s="750">
        <f t="shared" si="51"/>
        <v>17.826631343349685</v>
      </c>
      <c r="T338" s="750">
        <f t="shared" si="52"/>
        <v>1226.1954019200002</v>
      </c>
    </row>
    <row r="339" spans="1:20" ht="15">
      <c r="A339" s="751">
        <f t="shared" si="53"/>
        <v>45080</v>
      </c>
      <c r="B339" s="749">
        <f t="shared" si="48"/>
        <v>6</v>
      </c>
      <c r="C339" s="749">
        <f t="shared" si="49"/>
        <v>3</v>
      </c>
      <c r="D339" t="s">
        <v>1531</v>
      </c>
      <c r="E339" s="413">
        <v>66000.454334002599</v>
      </c>
      <c r="F339" s="413">
        <v>55367.606371818387</v>
      </c>
      <c r="G339" s="413">
        <v>3366.9182056566005</v>
      </c>
      <c r="I339" t="s">
        <v>1532</v>
      </c>
      <c r="J339" s="642">
        <v>3608815</v>
      </c>
      <c r="K339" s="642">
        <f t="shared" si="45"/>
        <v>150367.29166666666</v>
      </c>
      <c r="L339" s="642">
        <v>75200</v>
      </c>
      <c r="M339" s="642">
        <f t="shared" si="46"/>
        <v>3133.3333333333335</v>
      </c>
      <c r="N339" s="642">
        <v>72</v>
      </c>
      <c r="O339" s="642">
        <f t="shared" si="47"/>
        <v>3</v>
      </c>
      <c r="Q339" t="s">
        <v>1533</v>
      </c>
      <c r="R339" s="750">
        <f t="shared" si="50"/>
        <v>0.43892826426848219</v>
      </c>
      <c r="S339" s="750">
        <f t="shared" si="51"/>
        <v>17.67051267185693</v>
      </c>
      <c r="T339" s="750">
        <f t="shared" si="52"/>
        <v>1122.3060685522003</v>
      </c>
    </row>
    <row r="340" spans="1:20" ht="15">
      <c r="A340" s="751">
        <f t="shared" si="53"/>
        <v>45081</v>
      </c>
      <c r="B340" s="749">
        <f t="shared" si="48"/>
        <v>6</v>
      </c>
      <c r="C340" s="749">
        <f t="shared" si="49"/>
        <v>4</v>
      </c>
      <c r="D340" t="s">
        <v>1531</v>
      </c>
      <c r="E340" s="413">
        <v>66461.267212502411</v>
      </c>
      <c r="F340" s="413">
        <v>39966.669513665503</v>
      </c>
      <c r="G340" s="413">
        <v>3164.2552057595008</v>
      </c>
      <c r="I340" t="s">
        <v>1532</v>
      </c>
      <c r="J340" s="642">
        <v>3563528</v>
      </c>
      <c r="K340" s="642">
        <f t="shared" si="45"/>
        <v>148480.33333333334</v>
      </c>
      <c r="L340" s="642">
        <v>73944</v>
      </c>
      <c r="M340" s="642">
        <f t="shared" si="46"/>
        <v>3081</v>
      </c>
      <c r="N340" s="642">
        <v>72</v>
      </c>
      <c r="O340" s="642">
        <f t="shared" si="47"/>
        <v>3</v>
      </c>
      <c r="Q340" t="s">
        <v>1533</v>
      </c>
      <c r="R340" s="750">
        <f t="shared" si="50"/>
        <v>0.44760990038525239</v>
      </c>
      <c r="S340" s="750">
        <f t="shared" si="51"/>
        <v>12.971979718813861</v>
      </c>
      <c r="T340" s="750">
        <f t="shared" si="52"/>
        <v>1054.751735253167</v>
      </c>
    </row>
    <row r="341" spans="1:20" ht="15">
      <c r="A341" s="751">
        <f t="shared" si="53"/>
        <v>45082</v>
      </c>
      <c r="B341" s="749">
        <f t="shared" si="48"/>
        <v>6</v>
      </c>
      <c r="C341" s="749">
        <f t="shared" si="49"/>
        <v>5</v>
      </c>
      <c r="D341" t="s">
        <v>1531</v>
      </c>
      <c r="E341" s="413">
        <v>63493.768130007404</v>
      </c>
      <c r="F341" s="413">
        <v>50501.817280727395</v>
      </c>
      <c r="G341" s="413">
        <v>3469.5862056562</v>
      </c>
      <c r="I341" t="s">
        <v>1532</v>
      </c>
      <c r="J341" s="642">
        <v>3637084</v>
      </c>
      <c r="K341" s="642">
        <f t="shared" si="45"/>
        <v>151545.16666666666</v>
      </c>
      <c r="L341" s="642">
        <v>75914</v>
      </c>
      <c r="M341" s="642">
        <f t="shared" si="46"/>
        <v>3163.0833333333335</v>
      </c>
      <c r="N341" s="642">
        <v>72</v>
      </c>
      <c r="O341" s="642">
        <f t="shared" si="47"/>
        <v>3</v>
      </c>
      <c r="Q341" t="s">
        <v>1533</v>
      </c>
      <c r="R341" s="750">
        <f t="shared" si="50"/>
        <v>0.41897587053809532</v>
      </c>
      <c r="S341" s="750">
        <f t="shared" si="51"/>
        <v>15.966009098946932</v>
      </c>
      <c r="T341" s="750">
        <f t="shared" si="52"/>
        <v>1156.5287352187333</v>
      </c>
    </row>
    <row r="342" spans="1:20" ht="15">
      <c r="A342" s="751">
        <f t="shared" si="53"/>
        <v>45083</v>
      </c>
      <c r="B342" s="749">
        <f t="shared" si="48"/>
        <v>6</v>
      </c>
      <c r="C342" s="749">
        <f t="shared" si="49"/>
        <v>6</v>
      </c>
      <c r="D342" t="s">
        <v>1531</v>
      </c>
      <c r="E342" s="413">
        <v>64022.480925274802</v>
      </c>
      <c r="F342" s="413">
        <v>56247.778883826897</v>
      </c>
      <c r="G342" s="413">
        <v>3533.5862070000003</v>
      </c>
      <c r="I342" t="s">
        <v>1532</v>
      </c>
      <c r="J342" s="642">
        <v>3636108</v>
      </c>
      <c r="K342" s="642">
        <f t="shared" si="45"/>
        <v>151504.5</v>
      </c>
      <c r="L342" s="642">
        <v>75744</v>
      </c>
      <c r="M342" s="642">
        <f t="shared" si="46"/>
        <v>3156</v>
      </c>
      <c r="N342" s="642">
        <v>72</v>
      </c>
      <c r="O342" s="642">
        <f t="shared" si="47"/>
        <v>3</v>
      </c>
      <c r="Q342" t="s">
        <v>1533</v>
      </c>
      <c r="R342" s="750">
        <f t="shared" si="50"/>
        <v>0.42257808134593233</v>
      </c>
      <c r="S342" s="750">
        <f t="shared" si="51"/>
        <v>17.822490140629561</v>
      </c>
      <c r="T342" s="750">
        <f t="shared" si="52"/>
        <v>1177.862069</v>
      </c>
    </row>
    <row r="343" spans="1:20" ht="15">
      <c r="A343" s="751">
        <f t="shared" si="53"/>
        <v>45084</v>
      </c>
      <c r="B343" s="749">
        <f t="shared" si="48"/>
        <v>6</v>
      </c>
      <c r="C343" s="749">
        <f t="shared" si="49"/>
        <v>7</v>
      </c>
      <c r="D343" t="s">
        <v>1531</v>
      </c>
      <c r="E343" s="413">
        <v>61714.533959545093</v>
      </c>
      <c r="F343" s="413">
        <v>51475.446435233796</v>
      </c>
      <c r="G343" s="413">
        <v>3383.5862057600998</v>
      </c>
      <c r="I343" t="s">
        <v>1532</v>
      </c>
      <c r="J343" s="642">
        <v>3636351</v>
      </c>
      <c r="K343" s="642">
        <f t="shared" si="45"/>
        <v>151514.625</v>
      </c>
      <c r="L343" s="642">
        <v>75832</v>
      </c>
      <c r="M343" s="642">
        <f t="shared" si="46"/>
        <v>3159.6666666666665</v>
      </c>
      <c r="N343" s="642">
        <v>72</v>
      </c>
      <c r="O343" s="642">
        <f t="shared" si="47"/>
        <v>3</v>
      </c>
      <c r="Q343" t="s">
        <v>1533</v>
      </c>
      <c r="R343" s="750">
        <f t="shared" si="50"/>
        <v>0.40731733956075261</v>
      </c>
      <c r="S343" s="750">
        <f t="shared" si="51"/>
        <v>16.291416742873867</v>
      </c>
      <c r="T343" s="750">
        <f t="shared" si="52"/>
        <v>1127.8620685866999</v>
      </c>
    </row>
    <row r="344" spans="1:20" ht="15">
      <c r="A344" s="751">
        <f t="shared" si="53"/>
        <v>45085</v>
      </c>
      <c r="B344" s="749">
        <f t="shared" si="48"/>
        <v>6</v>
      </c>
      <c r="C344" s="749">
        <f t="shared" si="49"/>
        <v>8</v>
      </c>
      <c r="D344" t="s">
        <v>1531</v>
      </c>
      <c r="E344" s="413">
        <v>59813.48085666851</v>
      </c>
      <c r="F344" s="413">
        <v>53771.530815753402</v>
      </c>
      <c r="G344" s="413">
        <v>3391.5862056563001</v>
      </c>
      <c r="I344" t="s">
        <v>1532</v>
      </c>
      <c r="J344" s="642">
        <v>3635570</v>
      </c>
      <c r="K344" s="642">
        <f t="shared" si="45"/>
        <v>151482.08333333334</v>
      </c>
      <c r="L344" s="642">
        <v>75912</v>
      </c>
      <c r="M344" s="642">
        <f t="shared" si="46"/>
        <v>3163</v>
      </c>
      <c r="N344" s="642">
        <v>72</v>
      </c>
      <c r="O344" s="642">
        <f t="shared" si="47"/>
        <v>3</v>
      </c>
      <c r="Q344" t="s">
        <v>1533</v>
      </c>
      <c r="R344" s="750">
        <f t="shared" si="50"/>
        <v>0.39485515079067218</v>
      </c>
      <c r="S344" s="750">
        <f t="shared" si="51"/>
        <v>17.000167820345684</v>
      </c>
      <c r="T344" s="750">
        <f t="shared" si="52"/>
        <v>1130.5287352187668</v>
      </c>
    </row>
    <row r="345" spans="1:20" ht="15">
      <c r="A345" s="751">
        <f t="shared" si="53"/>
        <v>45086</v>
      </c>
      <c r="B345" s="749">
        <f t="shared" si="48"/>
        <v>6</v>
      </c>
      <c r="C345" s="749">
        <f t="shared" si="49"/>
        <v>9</v>
      </c>
      <c r="D345" t="s">
        <v>1531</v>
      </c>
      <c r="E345" s="413">
        <v>61229.016509688707</v>
      </c>
      <c r="F345" s="413">
        <v>51155.266797707322</v>
      </c>
      <c r="G345" s="413">
        <v>3410.5862058630005</v>
      </c>
      <c r="I345" t="s">
        <v>1532</v>
      </c>
      <c r="J345" s="642">
        <v>3634617</v>
      </c>
      <c r="K345" s="642">
        <f t="shared" si="45"/>
        <v>151442.375</v>
      </c>
      <c r="L345" s="642">
        <v>75872</v>
      </c>
      <c r="M345" s="642">
        <f t="shared" si="46"/>
        <v>3161.3333333333335</v>
      </c>
      <c r="N345" s="642">
        <v>72</v>
      </c>
      <c r="O345" s="642">
        <f t="shared" si="47"/>
        <v>3</v>
      </c>
      <c r="Q345" t="s">
        <v>1533</v>
      </c>
      <c r="R345" s="750">
        <f t="shared" si="50"/>
        <v>0.40430570710270958</v>
      </c>
      <c r="S345" s="750">
        <f t="shared" si="51"/>
        <v>16.181547911548076</v>
      </c>
      <c r="T345" s="750">
        <f t="shared" si="52"/>
        <v>1136.8620686210002</v>
      </c>
    </row>
    <row r="346" spans="1:20" ht="15">
      <c r="A346" s="751">
        <f t="shared" si="53"/>
        <v>45087</v>
      </c>
      <c r="B346" s="749">
        <f t="shared" si="48"/>
        <v>6</v>
      </c>
      <c r="C346" s="749">
        <f t="shared" si="49"/>
        <v>10</v>
      </c>
      <c r="D346" t="s">
        <v>1531</v>
      </c>
      <c r="E346" s="413">
        <v>63940.936065388902</v>
      </c>
      <c r="F346" s="413">
        <v>44980.577461034824</v>
      </c>
      <c r="G346" s="413">
        <v>3372.5862059662004</v>
      </c>
      <c r="I346" t="s">
        <v>1532</v>
      </c>
      <c r="J346" s="642">
        <v>3635129</v>
      </c>
      <c r="K346" s="642">
        <f t="shared" si="45"/>
        <v>151463.70833333334</v>
      </c>
      <c r="L346" s="642">
        <v>75855</v>
      </c>
      <c r="M346" s="642">
        <f t="shared" si="46"/>
        <v>3160.625</v>
      </c>
      <c r="N346" s="642">
        <v>72</v>
      </c>
      <c r="O346" s="642">
        <f t="shared" si="47"/>
        <v>3</v>
      </c>
      <c r="Q346" t="s">
        <v>1533</v>
      </c>
      <c r="R346" s="750">
        <f t="shared" si="50"/>
        <v>0.42215350970194826</v>
      </c>
      <c r="S346" s="750">
        <f t="shared" si="51"/>
        <v>14.231545172563916</v>
      </c>
      <c r="T346" s="750">
        <f t="shared" si="52"/>
        <v>1124.1954019887335</v>
      </c>
    </row>
    <row r="347" spans="1:20" ht="15">
      <c r="A347" s="751">
        <f t="shared" si="53"/>
        <v>45088</v>
      </c>
      <c r="B347" s="749">
        <f t="shared" si="48"/>
        <v>6</v>
      </c>
      <c r="C347" s="749">
        <f t="shared" si="49"/>
        <v>11</v>
      </c>
      <c r="D347" t="s">
        <v>1531</v>
      </c>
      <c r="E347" s="413">
        <v>65033.946491914598</v>
      </c>
      <c r="F347" s="413">
        <v>40132.034885036315</v>
      </c>
      <c r="G347" s="413">
        <v>3324.5862058627995</v>
      </c>
      <c r="I347" t="s">
        <v>1532</v>
      </c>
      <c r="J347" s="642">
        <v>3634507</v>
      </c>
      <c r="K347" s="642">
        <f t="shared" si="45"/>
        <v>151437.79166666666</v>
      </c>
      <c r="L347" s="642">
        <v>75855</v>
      </c>
      <c r="M347" s="642">
        <f t="shared" si="46"/>
        <v>3160.625</v>
      </c>
      <c r="N347" s="642">
        <v>72</v>
      </c>
      <c r="O347" s="642">
        <f t="shared" si="47"/>
        <v>3</v>
      </c>
      <c r="Q347" t="s">
        <v>1533</v>
      </c>
      <c r="R347" s="750">
        <f t="shared" si="50"/>
        <v>0.42944330986457047</v>
      </c>
      <c r="S347" s="750">
        <f t="shared" si="51"/>
        <v>12.697499667007733</v>
      </c>
      <c r="T347" s="750">
        <f t="shared" si="52"/>
        <v>1108.1954019542666</v>
      </c>
    </row>
    <row r="348" spans="1:20" ht="15">
      <c r="A348" s="751">
        <f t="shared" si="53"/>
        <v>45089</v>
      </c>
      <c r="B348" s="749">
        <f t="shared" si="48"/>
        <v>6</v>
      </c>
      <c r="C348" s="749">
        <f t="shared" si="49"/>
        <v>12</v>
      </c>
      <c r="D348" t="s">
        <v>1531</v>
      </c>
      <c r="E348" s="413">
        <v>59613.390132917899</v>
      </c>
      <c r="F348" s="413">
        <v>51030.619181890077</v>
      </c>
      <c r="G348" s="413">
        <v>3254.5862059666006</v>
      </c>
      <c r="I348" t="s">
        <v>1532</v>
      </c>
      <c r="J348" s="642">
        <v>3635636</v>
      </c>
      <c r="K348" s="642">
        <f t="shared" si="45"/>
        <v>151484.83333333334</v>
      </c>
      <c r="L348" s="642">
        <v>75864</v>
      </c>
      <c r="M348" s="642">
        <f t="shared" si="46"/>
        <v>3161</v>
      </c>
      <c r="N348" s="642">
        <v>72</v>
      </c>
      <c r="O348" s="642">
        <f t="shared" si="47"/>
        <v>3</v>
      </c>
      <c r="Q348" t="s">
        <v>1533</v>
      </c>
      <c r="R348" s="750">
        <f t="shared" si="50"/>
        <v>0.39352711965390086</v>
      </c>
      <c r="S348" s="750">
        <f t="shared" si="51"/>
        <v>16.143821316637165</v>
      </c>
      <c r="T348" s="750">
        <f t="shared" si="52"/>
        <v>1084.8620686555334</v>
      </c>
    </row>
    <row r="349" spans="1:20" ht="15">
      <c r="A349" s="751">
        <f t="shared" si="53"/>
        <v>45090</v>
      </c>
      <c r="B349" s="749">
        <f t="shared" si="48"/>
        <v>6</v>
      </c>
      <c r="C349" s="749">
        <f t="shared" si="49"/>
        <v>13</v>
      </c>
      <c r="D349" t="s">
        <v>1531</v>
      </c>
      <c r="E349" s="413">
        <v>59960.851800872915</v>
      </c>
      <c r="F349" s="413">
        <v>54950.210981201097</v>
      </c>
      <c r="G349" s="413">
        <v>3322.5862054493991</v>
      </c>
      <c r="I349" t="s">
        <v>1532</v>
      </c>
      <c r="J349" s="642">
        <v>3633689</v>
      </c>
      <c r="K349" s="642">
        <f t="shared" si="45"/>
        <v>151403.70833333334</v>
      </c>
      <c r="L349" s="642">
        <v>75840</v>
      </c>
      <c r="M349" s="642">
        <f t="shared" si="46"/>
        <v>3160</v>
      </c>
      <c r="N349" s="642">
        <v>72</v>
      </c>
      <c r="O349" s="642">
        <f t="shared" si="47"/>
        <v>3</v>
      </c>
      <c r="Q349" t="s">
        <v>1533</v>
      </c>
      <c r="R349" s="750">
        <f t="shared" si="50"/>
        <v>0.39603291399482726</v>
      </c>
      <c r="S349" s="750">
        <f t="shared" si="51"/>
        <v>17.389307272531994</v>
      </c>
      <c r="T349" s="750">
        <f t="shared" si="52"/>
        <v>1107.5287351497998</v>
      </c>
    </row>
    <row r="350" spans="1:20" ht="15">
      <c r="A350" s="751">
        <f t="shared" si="53"/>
        <v>45091</v>
      </c>
      <c r="B350" s="749">
        <f t="shared" si="48"/>
        <v>6</v>
      </c>
      <c r="C350" s="749">
        <f t="shared" si="49"/>
        <v>14</v>
      </c>
      <c r="D350" t="s">
        <v>1531</v>
      </c>
      <c r="E350" s="413">
        <v>73955.036412988964</v>
      </c>
      <c r="F350" s="413">
        <v>64983.015276475388</v>
      </c>
      <c r="G350" s="413">
        <v>3781.5862058626999</v>
      </c>
      <c r="I350" t="s">
        <v>1532</v>
      </c>
      <c r="J350" s="642">
        <v>3633722</v>
      </c>
      <c r="K350" s="642">
        <f t="shared" si="45"/>
        <v>151405.08333333334</v>
      </c>
      <c r="L350" s="642">
        <v>75888</v>
      </c>
      <c r="M350" s="642">
        <f t="shared" si="46"/>
        <v>3162</v>
      </c>
      <c r="N350" s="642">
        <v>72</v>
      </c>
      <c r="O350" s="642">
        <f t="shared" si="47"/>
        <v>3</v>
      </c>
      <c r="Q350" t="s">
        <v>1533</v>
      </c>
      <c r="R350" s="750">
        <f t="shared" si="50"/>
        <v>0.48845808069845054</v>
      </c>
      <c r="S350" s="750">
        <f t="shared" si="51"/>
        <v>20.551238227854327</v>
      </c>
      <c r="T350" s="750">
        <f t="shared" si="52"/>
        <v>1260.5287352875666</v>
      </c>
    </row>
    <row r="351" spans="1:20" ht="15">
      <c r="A351" s="751">
        <f t="shared" si="53"/>
        <v>45092</v>
      </c>
      <c r="B351" s="749">
        <f t="shared" si="48"/>
        <v>6</v>
      </c>
      <c r="C351" s="749">
        <f t="shared" si="49"/>
        <v>15</v>
      </c>
      <c r="D351" t="s">
        <v>1531</v>
      </c>
      <c r="E351" s="413">
        <v>71527.025902794107</v>
      </c>
      <c r="F351" s="413">
        <v>61613.303210750397</v>
      </c>
      <c r="G351" s="413">
        <v>3739.5862062763008</v>
      </c>
      <c r="I351" t="s">
        <v>1532</v>
      </c>
      <c r="J351" s="642">
        <v>3633969</v>
      </c>
      <c r="K351" s="642">
        <f t="shared" si="45"/>
        <v>151415.375</v>
      </c>
      <c r="L351" s="642">
        <v>75840</v>
      </c>
      <c r="M351" s="642">
        <f t="shared" si="46"/>
        <v>3160</v>
      </c>
      <c r="N351" s="642">
        <v>72</v>
      </c>
      <c r="O351" s="642">
        <f t="shared" si="47"/>
        <v>3</v>
      </c>
      <c r="Q351" t="s">
        <v>1533</v>
      </c>
      <c r="R351" s="750">
        <f t="shared" si="50"/>
        <v>0.47238945122180692</v>
      </c>
      <c r="S351" s="750">
        <f t="shared" si="51"/>
        <v>19.497880762895694</v>
      </c>
      <c r="T351" s="750">
        <f t="shared" si="52"/>
        <v>1246.5287354254335</v>
      </c>
    </row>
    <row r="352" spans="1:20" ht="15">
      <c r="A352" s="751">
        <f t="shared" si="53"/>
        <v>45093</v>
      </c>
      <c r="B352" s="749">
        <f t="shared" si="48"/>
        <v>6</v>
      </c>
      <c r="C352" s="749">
        <f t="shared" si="49"/>
        <v>16</v>
      </c>
      <c r="D352" t="s">
        <v>1531</v>
      </c>
      <c r="E352" s="413">
        <v>65839.930531262406</v>
      </c>
      <c r="F352" s="413">
        <v>53340.872888656508</v>
      </c>
      <c r="G352" s="413">
        <v>3657.5862057596</v>
      </c>
      <c r="I352" t="s">
        <v>1532</v>
      </c>
      <c r="J352" s="642">
        <v>3633725</v>
      </c>
      <c r="K352" s="642">
        <f t="shared" si="45"/>
        <v>151405.20833333334</v>
      </c>
      <c r="L352" s="642">
        <v>75840</v>
      </c>
      <c r="M352" s="642">
        <f t="shared" si="46"/>
        <v>3160</v>
      </c>
      <c r="N352" s="642">
        <v>72</v>
      </c>
      <c r="O352" s="642">
        <f t="shared" si="47"/>
        <v>3</v>
      </c>
      <c r="Q352" t="s">
        <v>1533</v>
      </c>
      <c r="R352" s="750">
        <f t="shared" si="50"/>
        <v>0.43485908613070545</v>
      </c>
      <c r="S352" s="750">
        <f t="shared" si="51"/>
        <v>16.880023066030539</v>
      </c>
      <c r="T352" s="750">
        <f t="shared" si="52"/>
        <v>1219.1954019198668</v>
      </c>
    </row>
    <row r="353" spans="1:20" ht="15">
      <c r="A353" s="751">
        <f t="shared" si="53"/>
        <v>45094</v>
      </c>
      <c r="B353" s="749">
        <f t="shared" si="48"/>
        <v>6</v>
      </c>
      <c r="C353" s="749">
        <f t="shared" si="49"/>
        <v>17</v>
      </c>
      <c r="D353" t="s">
        <v>1531</v>
      </c>
      <c r="E353" s="413">
        <v>63258.024748505602</v>
      </c>
      <c r="F353" s="413">
        <v>44861.745386759605</v>
      </c>
      <c r="G353" s="413">
        <v>3705.5862055532007</v>
      </c>
      <c r="I353" t="s">
        <v>1532</v>
      </c>
      <c r="J353" s="642">
        <v>3633625</v>
      </c>
      <c r="K353" s="642">
        <f t="shared" si="45"/>
        <v>151401.04166666666</v>
      </c>
      <c r="L353" s="642">
        <v>75896</v>
      </c>
      <c r="M353" s="642">
        <f t="shared" si="46"/>
        <v>3162.3333333333335</v>
      </c>
      <c r="N353" s="642">
        <v>72</v>
      </c>
      <c r="O353" s="642">
        <f t="shared" si="47"/>
        <v>3</v>
      </c>
      <c r="Q353" t="s">
        <v>1533</v>
      </c>
      <c r="R353" s="750">
        <f t="shared" si="50"/>
        <v>0.41781763224442109</v>
      </c>
      <c r="S353" s="750">
        <f t="shared" si="51"/>
        <v>14.18627976813311</v>
      </c>
      <c r="T353" s="750">
        <f t="shared" si="52"/>
        <v>1235.1954018510669</v>
      </c>
    </row>
    <row r="354" spans="1:20" ht="15">
      <c r="A354" s="751">
        <f t="shared" si="53"/>
        <v>45095</v>
      </c>
      <c r="B354" s="749">
        <f t="shared" si="48"/>
        <v>6</v>
      </c>
      <c r="C354" s="749">
        <f t="shared" si="49"/>
        <v>18</v>
      </c>
      <c r="D354" t="s">
        <v>1531</v>
      </c>
      <c r="E354" s="413">
        <v>77888.858966277592</v>
      </c>
      <c r="F354" s="413">
        <v>55183.7690633112</v>
      </c>
      <c r="G354" s="413">
        <v>3960.5862057599006</v>
      </c>
      <c r="I354" t="s">
        <v>1532</v>
      </c>
      <c r="J354" s="642">
        <v>3633742</v>
      </c>
      <c r="K354" s="642">
        <f t="shared" si="45"/>
        <v>151405.91666666666</v>
      </c>
      <c r="L354" s="642">
        <v>75912</v>
      </c>
      <c r="M354" s="642">
        <f t="shared" si="46"/>
        <v>3163</v>
      </c>
      <c r="N354" s="642">
        <v>72</v>
      </c>
      <c r="O354" s="642">
        <f t="shared" si="47"/>
        <v>3</v>
      </c>
      <c r="Q354" t="s">
        <v>1533</v>
      </c>
      <c r="R354" s="750">
        <f t="shared" si="50"/>
        <v>0.51443735278692382</v>
      </c>
      <c r="S354" s="750">
        <f t="shared" si="51"/>
        <v>17.446654778157193</v>
      </c>
      <c r="T354" s="750">
        <f t="shared" si="52"/>
        <v>1320.1954019199668</v>
      </c>
    </row>
    <row r="355" spans="1:20" ht="15">
      <c r="A355" s="751">
        <f t="shared" si="53"/>
        <v>45096</v>
      </c>
      <c r="B355" s="749">
        <f t="shared" si="48"/>
        <v>6</v>
      </c>
      <c r="C355" s="749">
        <f t="shared" si="49"/>
        <v>19</v>
      </c>
      <c r="D355" t="s">
        <v>1531</v>
      </c>
      <c r="E355" s="413">
        <v>97558.045958513278</v>
      </c>
      <c r="F355" s="413">
        <v>71012.930269580786</v>
      </c>
      <c r="G355" s="413">
        <v>4088.5862059666001</v>
      </c>
      <c r="I355" t="s">
        <v>1532</v>
      </c>
      <c r="J355" s="642">
        <v>3633405</v>
      </c>
      <c r="K355" s="642">
        <f t="shared" si="45"/>
        <v>151391.875</v>
      </c>
      <c r="L355" s="642">
        <v>75936</v>
      </c>
      <c r="M355" s="642">
        <f t="shared" si="46"/>
        <v>3164</v>
      </c>
      <c r="N355" s="642">
        <v>72</v>
      </c>
      <c r="O355" s="642">
        <f t="shared" si="47"/>
        <v>3</v>
      </c>
      <c r="Q355" t="s">
        <v>1533</v>
      </c>
      <c r="R355" s="750">
        <f t="shared" si="50"/>
        <v>0.64440740930458307</v>
      </c>
      <c r="S355" s="750">
        <f t="shared" si="51"/>
        <v>22.444036115543863</v>
      </c>
      <c r="T355" s="750">
        <f t="shared" si="52"/>
        <v>1362.8620686555334</v>
      </c>
    </row>
    <row r="356" spans="1:20" ht="15">
      <c r="A356" s="751">
        <f t="shared" si="53"/>
        <v>45097</v>
      </c>
      <c r="B356" s="749">
        <f t="shared" si="48"/>
        <v>6</v>
      </c>
      <c r="C356" s="749">
        <f t="shared" si="49"/>
        <v>20</v>
      </c>
      <c r="D356" t="s">
        <v>1531</v>
      </c>
      <c r="E356" s="413">
        <v>113348.709770122</v>
      </c>
      <c r="F356" s="413">
        <v>76633.755857127093</v>
      </c>
      <c r="G356" s="413">
        <v>4195.5862057595004</v>
      </c>
      <c r="I356" t="s">
        <v>1532</v>
      </c>
      <c r="J356" s="642">
        <v>3632112</v>
      </c>
      <c r="K356" s="642">
        <f t="shared" si="45"/>
        <v>151338</v>
      </c>
      <c r="L356" s="642">
        <v>75927</v>
      </c>
      <c r="M356" s="642">
        <f t="shared" si="46"/>
        <v>3163.625</v>
      </c>
      <c r="N356" s="642">
        <v>72</v>
      </c>
      <c r="O356" s="642">
        <f t="shared" si="47"/>
        <v>3</v>
      </c>
      <c r="Q356" t="s">
        <v>1533</v>
      </c>
      <c r="R356" s="750">
        <f t="shared" si="50"/>
        <v>0.74897718861173002</v>
      </c>
      <c r="S356" s="750">
        <f t="shared" si="51"/>
        <v>24.223400642341332</v>
      </c>
      <c r="T356" s="750">
        <f t="shared" si="52"/>
        <v>1398.5287352531668</v>
      </c>
    </row>
    <row r="357" spans="1:20" ht="15">
      <c r="A357" s="751">
        <f t="shared" si="53"/>
        <v>45098</v>
      </c>
      <c r="B357" s="749">
        <f t="shared" si="48"/>
        <v>6</v>
      </c>
      <c r="C357" s="749">
        <f t="shared" si="49"/>
        <v>21</v>
      </c>
      <c r="D357" t="s">
        <v>1531</v>
      </c>
      <c r="E357" s="413">
        <v>99974.552192256684</v>
      </c>
      <c r="F357" s="413">
        <v>71596.046332235521</v>
      </c>
      <c r="G357" s="413">
        <v>3997.5862057599006</v>
      </c>
      <c r="I357" t="s">
        <v>1532</v>
      </c>
      <c r="J357" s="642">
        <v>3629680</v>
      </c>
      <c r="K357" s="642">
        <f t="shared" si="45"/>
        <v>151236.66666666666</v>
      </c>
      <c r="L357" s="642">
        <v>75879</v>
      </c>
      <c r="M357" s="642">
        <f t="shared" si="46"/>
        <v>3161.625</v>
      </c>
      <c r="N357" s="642">
        <v>72</v>
      </c>
      <c r="O357" s="642">
        <f t="shared" si="47"/>
        <v>3</v>
      </c>
      <c r="Q357" t="s">
        <v>1533</v>
      </c>
      <c r="R357" s="750">
        <f t="shared" si="50"/>
        <v>0.66104704894485478</v>
      </c>
      <c r="S357" s="750">
        <f t="shared" si="51"/>
        <v>22.645331540658844</v>
      </c>
      <c r="T357" s="750">
        <f t="shared" si="52"/>
        <v>1332.5287352533003</v>
      </c>
    </row>
    <row r="358" spans="1:20" ht="15">
      <c r="A358" s="751">
        <f t="shared" si="53"/>
        <v>45099</v>
      </c>
      <c r="B358" s="749">
        <f t="shared" si="48"/>
        <v>6</v>
      </c>
      <c r="C358" s="749">
        <f t="shared" si="49"/>
        <v>22</v>
      </c>
      <c r="D358" t="s">
        <v>1531</v>
      </c>
      <c r="E358" s="413">
        <v>84486.651549449016</v>
      </c>
      <c r="F358" s="413">
        <v>66205.180205478697</v>
      </c>
      <c r="G358" s="413">
        <v>3835.5862053463002</v>
      </c>
      <c r="I358" t="s">
        <v>1532</v>
      </c>
      <c r="J358" s="642">
        <v>3624727</v>
      </c>
      <c r="K358" s="642">
        <f t="shared" si="45"/>
        <v>151030.29166666666</v>
      </c>
      <c r="L358" s="642">
        <v>75864</v>
      </c>
      <c r="M358" s="642">
        <f t="shared" si="46"/>
        <v>3161</v>
      </c>
      <c r="N358" s="642">
        <v>72</v>
      </c>
      <c r="O358" s="642">
        <f t="shared" si="47"/>
        <v>3</v>
      </c>
      <c r="Q358" t="s">
        <v>1533</v>
      </c>
      <c r="R358" s="750">
        <f t="shared" si="50"/>
        <v>0.55940202867327016</v>
      </c>
      <c r="S358" s="750">
        <f t="shared" si="51"/>
        <v>20.944378426282409</v>
      </c>
      <c r="T358" s="750">
        <f t="shared" si="52"/>
        <v>1278.5287351154334</v>
      </c>
    </row>
    <row r="359" spans="1:20" ht="15">
      <c r="A359" s="751">
        <f t="shared" si="53"/>
        <v>45100</v>
      </c>
      <c r="B359" s="749">
        <f t="shared" si="48"/>
        <v>6</v>
      </c>
      <c r="C359" s="749">
        <f t="shared" si="49"/>
        <v>23</v>
      </c>
      <c r="D359" t="s">
        <v>1531</v>
      </c>
      <c r="E359" s="413">
        <v>71451.135060796514</v>
      </c>
      <c r="F359" s="413">
        <v>62055.494586662593</v>
      </c>
      <c r="G359" s="413">
        <v>3794.5862059657998</v>
      </c>
      <c r="I359" t="s">
        <v>1532</v>
      </c>
      <c r="J359" s="642">
        <v>3621029</v>
      </c>
      <c r="K359" s="642">
        <f t="shared" si="45"/>
        <v>150876.20833333334</v>
      </c>
      <c r="L359" s="642">
        <v>75872</v>
      </c>
      <c r="M359" s="642">
        <f t="shared" si="46"/>
        <v>3161.3333333333335</v>
      </c>
      <c r="N359" s="642">
        <v>72</v>
      </c>
      <c r="O359" s="642">
        <f t="shared" si="47"/>
        <v>3</v>
      </c>
      <c r="Q359" t="s">
        <v>1533</v>
      </c>
      <c r="R359" s="750">
        <f t="shared" si="50"/>
        <v>0.47357456719046331</v>
      </c>
      <c r="S359" s="750">
        <f t="shared" si="51"/>
        <v>19.629532239560078</v>
      </c>
      <c r="T359" s="750">
        <f t="shared" si="52"/>
        <v>1264.8620686552665</v>
      </c>
    </row>
    <row r="360" spans="1:20" ht="15">
      <c r="A360" s="751">
        <f t="shared" si="53"/>
        <v>45101</v>
      </c>
      <c r="B360" s="749">
        <f t="shared" si="48"/>
        <v>6</v>
      </c>
      <c r="C360" s="749">
        <f t="shared" si="49"/>
        <v>24</v>
      </c>
      <c r="D360" t="s">
        <v>1531</v>
      </c>
      <c r="E360" s="413">
        <v>65074.395110454119</v>
      </c>
      <c r="F360" s="413">
        <v>46455.197251746285</v>
      </c>
      <c r="G360" s="413">
        <v>3630.5862056559999</v>
      </c>
      <c r="I360" t="s">
        <v>1532</v>
      </c>
      <c r="J360" s="642">
        <v>3620644</v>
      </c>
      <c r="K360" s="642">
        <f t="shared" si="45"/>
        <v>150860.16666666666</v>
      </c>
      <c r="L360" s="642">
        <v>75896</v>
      </c>
      <c r="M360" s="642">
        <f t="shared" si="46"/>
        <v>3162.3333333333335</v>
      </c>
      <c r="N360" s="642">
        <v>72</v>
      </c>
      <c r="O360" s="642">
        <f t="shared" si="47"/>
        <v>3</v>
      </c>
      <c r="Q360" t="s">
        <v>1533</v>
      </c>
      <c r="R360" s="750">
        <f t="shared" si="50"/>
        <v>0.43135571535088757</v>
      </c>
      <c r="S360" s="750">
        <f t="shared" si="51"/>
        <v>14.690164620558537</v>
      </c>
      <c r="T360" s="750">
        <f t="shared" si="52"/>
        <v>1210.1954018853332</v>
      </c>
    </row>
    <row r="361" spans="1:20" ht="15">
      <c r="A361" s="751">
        <f>A360+1</f>
        <v>45102</v>
      </c>
      <c r="B361" s="749">
        <f t="shared" si="48"/>
        <v>6</v>
      </c>
      <c r="C361" s="749">
        <f t="shared" si="49"/>
        <v>25</v>
      </c>
      <c r="D361" t="s">
        <v>1531</v>
      </c>
      <c r="E361" s="413">
        <v>65401.469482180612</v>
      </c>
      <c r="F361" s="413">
        <v>42746.260746930784</v>
      </c>
      <c r="G361" s="413">
        <v>3512.5862056560004</v>
      </c>
      <c r="I361" t="s">
        <v>1532</v>
      </c>
      <c r="J361" s="642">
        <v>3621035</v>
      </c>
      <c r="K361" s="642">
        <f t="shared" si="45"/>
        <v>150876.45833333334</v>
      </c>
      <c r="L361" s="642">
        <v>75863</v>
      </c>
      <c r="M361" s="642">
        <f t="shared" si="46"/>
        <v>3160.9583333333335</v>
      </c>
      <c r="N361" s="642">
        <v>72</v>
      </c>
      <c r="O361" s="642">
        <f t="shared" si="47"/>
        <v>3</v>
      </c>
      <c r="Q361" t="s">
        <v>1533</v>
      </c>
      <c r="R361" s="750">
        <f t="shared" si="50"/>
        <v>0.43347696655026385</v>
      </c>
      <c r="S361" s="750">
        <f t="shared" si="51"/>
        <v>13.523196524344394</v>
      </c>
      <c r="T361" s="750">
        <f t="shared" si="52"/>
        <v>1170.8620685520002</v>
      </c>
    </row>
    <row r="362" spans="1:20" ht="15">
      <c r="A362" s="751">
        <f t="shared" ref="A362:A364" si="54">A361+1</f>
        <v>45103</v>
      </c>
      <c r="B362" s="749">
        <f t="shared" si="48"/>
        <v>6</v>
      </c>
      <c r="C362" s="749">
        <f t="shared" si="49"/>
        <v>26</v>
      </c>
      <c r="D362" t="s">
        <v>1531</v>
      </c>
      <c r="E362" s="413">
        <v>62986.93853965609</v>
      </c>
      <c r="F362" s="413">
        <v>56420.459429387505</v>
      </c>
      <c r="G362" s="413">
        <v>3633.5862057598997</v>
      </c>
      <c r="I362" t="s">
        <v>1532</v>
      </c>
      <c r="J362" s="642">
        <v>3620552</v>
      </c>
      <c r="K362" s="642">
        <f t="shared" si="45"/>
        <v>150856.33333333334</v>
      </c>
      <c r="L362" s="642">
        <v>75880</v>
      </c>
      <c r="M362" s="642">
        <f t="shared" si="46"/>
        <v>3161.6666666666665</v>
      </c>
      <c r="N362" s="642">
        <v>72</v>
      </c>
      <c r="O362" s="642">
        <f t="shared" si="47"/>
        <v>3</v>
      </c>
      <c r="Q362" t="s">
        <v>1533</v>
      </c>
      <c r="R362" s="750">
        <f t="shared" si="50"/>
        <v>0.41752929524330712</v>
      </c>
      <c r="S362" s="750">
        <f t="shared" si="51"/>
        <v>17.845163762589618</v>
      </c>
      <c r="T362" s="750">
        <f t="shared" si="52"/>
        <v>1211.1954019199666</v>
      </c>
    </row>
    <row r="363" spans="1:20" ht="15">
      <c r="A363" s="751">
        <f t="shared" si="54"/>
        <v>45104</v>
      </c>
      <c r="B363" s="749">
        <f t="shared" si="48"/>
        <v>6</v>
      </c>
      <c r="C363" s="749">
        <f t="shared" si="49"/>
        <v>27</v>
      </c>
      <c r="D363" t="s">
        <v>1531</v>
      </c>
      <c r="E363" s="413">
        <v>60842.681552710812</v>
      </c>
      <c r="F363" s="413">
        <v>54424.983851340403</v>
      </c>
      <c r="G363" s="413">
        <v>3551.5862061731004</v>
      </c>
      <c r="I363" t="s">
        <v>1532</v>
      </c>
      <c r="J363" s="642">
        <v>3620054</v>
      </c>
      <c r="K363" s="642">
        <f t="shared" si="45"/>
        <v>150835.58333333334</v>
      </c>
      <c r="L363" s="642">
        <v>75864</v>
      </c>
      <c r="M363" s="642">
        <f t="shared" si="46"/>
        <v>3161</v>
      </c>
      <c r="N363" s="642">
        <v>72</v>
      </c>
      <c r="O363" s="642">
        <f t="shared" si="47"/>
        <v>3</v>
      </c>
      <c r="Q363" t="s">
        <v>1533</v>
      </c>
      <c r="R363" s="750">
        <f t="shared" si="50"/>
        <v>0.40337087713748454</v>
      </c>
      <c r="S363" s="750">
        <f t="shared" si="51"/>
        <v>17.217647532850492</v>
      </c>
      <c r="T363" s="750">
        <f t="shared" si="52"/>
        <v>1183.8620687243667</v>
      </c>
    </row>
    <row r="364" spans="1:20" ht="15">
      <c r="A364" s="751">
        <f t="shared" si="54"/>
        <v>45105</v>
      </c>
      <c r="B364" s="749">
        <f t="shared" si="48"/>
        <v>6</v>
      </c>
      <c r="C364" s="749">
        <f t="shared" si="49"/>
        <v>28</v>
      </c>
      <c r="D364" t="s">
        <v>1531</v>
      </c>
      <c r="E364" s="413">
        <v>61017.29093954491</v>
      </c>
      <c r="F364" s="413">
        <v>53920.935062499004</v>
      </c>
      <c r="G364" s="413">
        <v>3583.5862056564001</v>
      </c>
      <c r="I364" t="s">
        <v>1532</v>
      </c>
      <c r="J364" s="642">
        <v>3620181</v>
      </c>
      <c r="K364" s="642">
        <f t="shared" si="45"/>
        <v>150840.875</v>
      </c>
      <c r="L364" s="642">
        <v>75855</v>
      </c>
      <c r="M364" s="642">
        <f t="shared" si="46"/>
        <v>3160.625</v>
      </c>
      <c r="N364" s="642">
        <v>72</v>
      </c>
      <c r="O364" s="642">
        <f t="shared" si="47"/>
        <v>3</v>
      </c>
      <c r="Q364" t="s">
        <v>1533</v>
      </c>
      <c r="R364" s="750">
        <f t="shared" si="50"/>
        <v>0.40451429985105103</v>
      </c>
      <c r="S364" s="750">
        <f t="shared" si="51"/>
        <v>17.060212794146413</v>
      </c>
      <c r="T364" s="750">
        <f t="shared" si="52"/>
        <v>1194.5287352188</v>
      </c>
    </row>
    <row r="365" spans="1:20" ht="15">
      <c r="A365" s="751">
        <f>A364+1</f>
        <v>45106</v>
      </c>
      <c r="B365" s="749">
        <f t="shared" si="48"/>
        <v>6</v>
      </c>
      <c r="C365" s="749">
        <f t="shared" si="49"/>
        <v>29</v>
      </c>
      <c r="D365" t="s">
        <v>1531</v>
      </c>
      <c r="E365" s="413">
        <v>58798.593825760596</v>
      </c>
      <c r="F365" s="413">
        <v>51196.183419309011</v>
      </c>
      <c r="G365" s="413">
        <v>3276.8275848781996</v>
      </c>
      <c r="I365" t="s">
        <v>1532</v>
      </c>
      <c r="J365" s="642">
        <v>3620068</v>
      </c>
      <c r="K365" s="642">
        <f t="shared" si="45"/>
        <v>150836.16666666666</v>
      </c>
      <c r="L365" s="642">
        <v>75856</v>
      </c>
      <c r="M365" s="642">
        <f t="shared" si="46"/>
        <v>3160.6666666666665</v>
      </c>
      <c r="N365" s="642">
        <v>72</v>
      </c>
      <c r="O365" s="642">
        <f t="shared" si="47"/>
        <v>3</v>
      </c>
      <c r="Q365" t="s">
        <v>1533</v>
      </c>
      <c r="R365" s="750">
        <f t="shared" si="50"/>
        <v>0.38981760890078704</v>
      </c>
      <c r="S365" s="750">
        <f t="shared" si="51"/>
        <v>16.197906586999267</v>
      </c>
      <c r="T365" s="750">
        <f t="shared" si="52"/>
        <v>1092.2758616260664</v>
      </c>
    </row>
    <row r="366" spans="1:20" ht="15">
      <c r="A366" s="751">
        <f t="shared" ref="A366" si="55">A365+1</f>
        <v>45107</v>
      </c>
      <c r="B366" s="749">
        <f t="shared" si="48"/>
        <v>6</v>
      </c>
      <c r="C366" s="749">
        <f t="shared" si="49"/>
        <v>30</v>
      </c>
      <c r="D366" t="s">
        <v>1531</v>
      </c>
      <c r="E366" s="413">
        <v>57626.660297580085</v>
      </c>
      <c r="F366" s="413">
        <v>46800.144076377008</v>
      </c>
      <c r="G366" s="413">
        <v>3250.8275848780991</v>
      </c>
      <c r="I366" t="s">
        <v>1532</v>
      </c>
      <c r="J366" s="642">
        <v>3612697</v>
      </c>
      <c r="K366" s="642">
        <f t="shared" si="45"/>
        <v>150529.04166666666</v>
      </c>
      <c r="L366" s="642">
        <v>75747</v>
      </c>
      <c r="M366" s="642">
        <f t="shared" si="46"/>
        <v>3156.125</v>
      </c>
      <c r="N366" s="642">
        <v>72</v>
      </c>
      <c r="O366" s="642">
        <f t="shared" si="47"/>
        <v>3</v>
      </c>
      <c r="Q366" t="s">
        <v>1533</v>
      </c>
      <c r="R366" s="750">
        <f t="shared" si="50"/>
        <v>0.38282752390857083</v>
      </c>
      <c r="S366" s="750">
        <f t="shared" si="51"/>
        <v>14.828355681849422</v>
      </c>
      <c r="T366" s="750">
        <f t="shared" si="52"/>
        <v>1083.6091949593663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9B19-FD84-4155-9901-C5E60CA0061C}">
  <sheetPr>
    <tabColor theme="5" tint="0.39997558519241921"/>
  </sheetPr>
  <dimension ref="A1:R76"/>
  <sheetViews>
    <sheetView topLeftCell="A34" workbookViewId="0">
      <selection activeCell="D47" sqref="D47"/>
    </sheetView>
  </sheetViews>
  <sheetFormatPr defaultRowHeight="12.75"/>
  <cols>
    <col min="1" max="1" width="36.7109375" customWidth="1"/>
    <col min="2" max="2" width="10.140625" customWidth="1"/>
    <col min="3" max="3" width="10" customWidth="1"/>
    <col min="4" max="4" width="9.85546875" customWidth="1"/>
    <col min="5" max="5" width="10" customWidth="1"/>
    <col min="6" max="6" width="10.140625" bestFit="1" customWidth="1"/>
    <col min="7" max="7" width="9.42578125" customWidth="1"/>
    <col min="12" max="12" width="12.85546875" bestFit="1" customWidth="1"/>
    <col min="13" max="13" width="15" bestFit="1" customWidth="1"/>
    <col min="14" max="14" width="12.85546875" bestFit="1" customWidth="1"/>
    <col min="15" max="15" width="11.42578125" bestFit="1" customWidth="1"/>
    <col min="16" max="16" width="10.28515625" bestFit="1" customWidth="1"/>
    <col min="17" max="17" width="12.85546875" bestFit="1" customWidth="1"/>
    <col min="18" max="18" width="11.28515625" bestFit="1" customWidth="1"/>
  </cols>
  <sheetData>
    <row r="1" spans="1:17">
      <c r="A1" t="s">
        <v>1535</v>
      </c>
    </row>
    <row r="2" spans="1:17">
      <c r="A2" t="s">
        <v>1536</v>
      </c>
    </row>
    <row r="4" spans="1:17">
      <c r="A4" t="s">
        <v>1661</v>
      </c>
    </row>
    <row r="5" spans="1:17">
      <c r="A5" t="s">
        <v>1662</v>
      </c>
    </row>
    <row r="7" spans="1:17">
      <c r="B7" s="752">
        <v>44914</v>
      </c>
      <c r="C7" s="752">
        <v>44915</v>
      </c>
      <c r="D7" s="752">
        <v>44916</v>
      </c>
      <c r="E7" s="752">
        <v>44917</v>
      </c>
      <c r="F7" s="752">
        <v>44918</v>
      </c>
      <c r="G7" t="s">
        <v>120</v>
      </c>
    </row>
    <row r="9" spans="1:17">
      <c r="A9" t="s">
        <v>1537</v>
      </c>
    </row>
    <row r="10" spans="1:17">
      <c r="A10" t="s">
        <v>1538</v>
      </c>
      <c r="B10">
        <v>-53652</v>
      </c>
      <c r="C10">
        <v>-57190</v>
      </c>
      <c r="D10">
        <v>-68373</v>
      </c>
      <c r="E10">
        <v>-77084</v>
      </c>
      <c r="F10">
        <v>-63907</v>
      </c>
      <c r="G10">
        <v>-320206</v>
      </c>
    </row>
    <row r="11" spans="1:17">
      <c r="A11" t="s">
        <v>1539</v>
      </c>
      <c r="B11">
        <v>8880</v>
      </c>
      <c r="C11">
        <v>9500</v>
      </c>
      <c r="D11">
        <v>14070</v>
      </c>
      <c r="E11">
        <v>19420</v>
      </c>
      <c r="F11">
        <v>14030</v>
      </c>
      <c r="G11">
        <v>65900</v>
      </c>
    </row>
    <row r="12" spans="1:17">
      <c r="A12" t="s">
        <v>1540</v>
      </c>
      <c r="B12">
        <v>1240</v>
      </c>
      <c r="C12">
        <v>1390</v>
      </c>
      <c r="D12">
        <v>1790</v>
      </c>
      <c r="E12">
        <v>1960</v>
      </c>
      <c r="F12">
        <v>1610</v>
      </c>
      <c r="G12">
        <v>7990</v>
      </c>
      <c r="L12" s="413"/>
      <c r="N12" s="732"/>
      <c r="Q12" s="413"/>
    </row>
    <row r="13" spans="1:17">
      <c r="A13" t="s">
        <v>1541</v>
      </c>
      <c r="B13">
        <v>29560</v>
      </c>
      <c r="C13">
        <v>29620</v>
      </c>
      <c r="D13">
        <v>32310</v>
      </c>
      <c r="E13">
        <v>32650</v>
      </c>
      <c r="F13">
        <v>22390</v>
      </c>
      <c r="G13">
        <v>146530</v>
      </c>
      <c r="L13" s="732"/>
      <c r="N13" s="732"/>
    </row>
    <row r="14" spans="1:17">
      <c r="A14" t="s">
        <v>1542</v>
      </c>
      <c r="B14">
        <v>220</v>
      </c>
      <c r="C14">
        <v>410</v>
      </c>
      <c r="D14">
        <v>1140</v>
      </c>
      <c r="E14">
        <v>1400</v>
      </c>
      <c r="F14">
        <v>1380</v>
      </c>
      <c r="G14">
        <v>4550</v>
      </c>
      <c r="L14" s="732"/>
      <c r="N14" s="732"/>
      <c r="Q14" s="732"/>
    </row>
    <row r="15" spans="1:17">
      <c r="A15" t="s">
        <v>1543</v>
      </c>
      <c r="B15">
        <v>6900</v>
      </c>
      <c r="C15">
        <v>6310</v>
      </c>
      <c r="D15">
        <v>8430</v>
      </c>
      <c r="E15">
        <v>9590</v>
      </c>
      <c r="F15">
        <v>8530</v>
      </c>
      <c r="G15">
        <v>39760</v>
      </c>
      <c r="L15" s="732"/>
      <c r="N15" s="732"/>
    </row>
    <row r="16" spans="1:17">
      <c r="A16" t="s">
        <v>1544</v>
      </c>
      <c r="B16">
        <v>250</v>
      </c>
      <c r="C16">
        <v>250</v>
      </c>
      <c r="D16">
        <v>260</v>
      </c>
      <c r="E16">
        <v>250</v>
      </c>
      <c r="F16">
        <v>260</v>
      </c>
      <c r="G16">
        <v>1270</v>
      </c>
      <c r="L16" s="732"/>
      <c r="N16" s="732"/>
    </row>
    <row r="17" spans="1:14">
      <c r="A17" t="s">
        <v>1545</v>
      </c>
      <c r="B17">
        <v>1030</v>
      </c>
      <c r="C17">
        <v>1140</v>
      </c>
      <c r="D17">
        <v>1490</v>
      </c>
      <c r="E17">
        <v>1500</v>
      </c>
      <c r="F17">
        <v>1280</v>
      </c>
      <c r="G17">
        <v>6440</v>
      </c>
      <c r="L17" s="732"/>
      <c r="N17" s="732"/>
    </row>
    <row r="18" spans="1:14">
      <c r="A18" t="s">
        <v>1546</v>
      </c>
      <c r="B18">
        <v>1410</v>
      </c>
      <c r="C18">
        <v>1520</v>
      </c>
      <c r="D18">
        <v>1900</v>
      </c>
      <c r="E18">
        <v>1910</v>
      </c>
      <c r="F18">
        <v>1560</v>
      </c>
      <c r="G18">
        <v>8300</v>
      </c>
      <c r="L18" s="732"/>
      <c r="N18" s="732"/>
    </row>
    <row r="19" spans="1:14">
      <c r="A19" t="s">
        <v>1547</v>
      </c>
      <c r="B19">
        <v>40180</v>
      </c>
      <c r="C19">
        <v>43690</v>
      </c>
      <c r="D19">
        <v>50980</v>
      </c>
      <c r="E19">
        <v>52960</v>
      </c>
      <c r="F19">
        <v>46980</v>
      </c>
      <c r="G19">
        <v>234790</v>
      </c>
      <c r="L19" s="732"/>
      <c r="N19" s="732"/>
    </row>
    <row r="20" spans="1:14">
      <c r="A20" t="s">
        <v>1548</v>
      </c>
      <c r="B20">
        <v>186790</v>
      </c>
      <c r="C20">
        <v>196770</v>
      </c>
      <c r="D20">
        <v>234420</v>
      </c>
      <c r="E20">
        <v>247630</v>
      </c>
      <c r="F20">
        <v>223940</v>
      </c>
      <c r="G20">
        <v>1089550</v>
      </c>
      <c r="L20" s="732"/>
      <c r="N20" s="732"/>
    </row>
    <row r="21" spans="1:14">
      <c r="A21" t="s">
        <v>1549</v>
      </c>
      <c r="B21">
        <v>164940</v>
      </c>
      <c r="C21">
        <v>188330</v>
      </c>
      <c r="D21">
        <v>226860</v>
      </c>
      <c r="E21">
        <v>252120</v>
      </c>
      <c r="F21">
        <v>202410</v>
      </c>
      <c r="G21">
        <v>1034660</v>
      </c>
      <c r="L21" s="732"/>
      <c r="N21" s="732"/>
    </row>
    <row r="22" spans="1:14">
      <c r="A22" t="s">
        <v>1550</v>
      </c>
      <c r="B22">
        <v>3340</v>
      </c>
      <c r="C22">
        <v>3630</v>
      </c>
      <c r="D22">
        <v>5200</v>
      </c>
      <c r="E22">
        <v>5210</v>
      </c>
      <c r="F22">
        <v>4190</v>
      </c>
      <c r="G22">
        <v>21570</v>
      </c>
      <c r="L22" s="732"/>
      <c r="N22" s="732"/>
    </row>
    <row r="23" spans="1:14">
      <c r="A23" t="s">
        <v>1551</v>
      </c>
      <c r="B23">
        <v>99460</v>
      </c>
      <c r="C23">
        <v>103230</v>
      </c>
      <c r="D23">
        <v>130340</v>
      </c>
      <c r="E23">
        <v>131300</v>
      </c>
      <c r="F23">
        <v>116090</v>
      </c>
      <c r="G23">
        <v>580420</v>
      </c>
      <c r="L23" s="732"/>
      <c r="N23" s="732"/>
    </row>
    <row r="24" spans="1:14">
      <c r="A24" t="s">
        <v>1552</v>
      </c>
      <c r="B24">
        <v>6080</v>
      </c>
      <c r="C24">
        <v>6940</v>
      </c>
      <c r="D24">
        <v>8380</v>
      </c>
      <c r="E24">
        <v>8510</v>
      </c>
      <c r="F24">
        <v>7060</v>
      </c>
      <c r="G24">
        <v>36970</v>
      </c>
      <c r="L24" s="732"/>
      <c r="N24" s="732"/>
    </row>
    <row r="25" spans="1:14">
      <c r="A25" t="s">
        <v>1553</v>
      </c>
      <c r="B25">
        <v>1510</v>
      </c>
      <c r="C25">
        <v>1670</v>
      </c>
      <c r="D25">
        <v>2110</v>
      </c>
      <c r="E25">
        <v>2250</v>
      </c>
      <c r="F25">
        <v>1870</v>
      </c>
      <c r="G25">
        <v>9410</v>
      </c>
      <c r="L25" s="732"/>
      <c r="N25" s="732"/>
    </row>
    <row r="26" spans="1:14">
      <c r="A26" t="s">
        <v>1554</v>
      </c>
      <c r="B26">
        <v>1960</v>
      </c>
      <c r="C26">
        <v>2140</v>
      </c>
      <c r="D26">
        <v>2840</v>
      </c>
      <c r="E26">
        <v>2910</v>
      </c>
      <c r="F26">
        <v>2430</v>
      </c>
      <c r="G26">
        <v>12280</v>
      </c>
      <c r="L26" s="732"/>
      <c r="N26" s="732"/>
    </row>
    <row r="27" spans="1:14">
      <c r="A27" t="s">
        <v>1555</v>
      </c>
      <c r="B27">
        <v>1730</v>
      </c>
      <c r="C27">
        <v>1940</v>
      </c>
      <c r="D27">
        <v>2380</v>
      </c>
      <c r="E27">
        <v>2530</v>
      </c>
      <c r="F27">
        <v>2190</v>
      </c>
      <c r="G27">
        <v>10770</v>
      </c>
    </row>
    <row r="28" spans="1:14">
      <c r="A28" t="s">
        <v>1556</v>
      </c>
      <c r="B28">
        <v>516990</v>
      </c>
      <c r="C28">
        <v>516760</v>
      </c>
      <c r="D28">
        <v>610990</v>
      </c>
      <c r="E28">
        <v>652590</v>
      </c>
      <c r="F28">
        <v>587000</v>
      </c>
      <c r="G28">
        <v>2884330</v>
      </c>
    </row>
    <row r="29" spans="1:14">
      <c r="A29" t="s">
        <v>1557</v>
      </c>
      <c r="B29">
        <v>216580</v>
      </c>
      <c r="C29">
        <v>253540</v>
      </c>
      <c r="D29">
        <v>288600</v>
      </c>
      <c r="E29">
        <v>284250</v>
      </c>
      <c r="F29">
        <v>255090</v>
      </c>
      <c r="G29">
        <v>1298060</v>
      </c>
    </row>
    <row r="30" spans="1:14">
      <c r="A30" t="s">
        <v>1558</v>
      </c>
      <c r="B30">
        <v>1180</v>
      </c>
      <c r="C30">
        <v>1350</v>
      </c>
      <c r="D30">
        <v>1540</v>
      </c>
      <c r="E30">
        <v>1570</v>
      </c>
      <c r="F30">
        <v>1370</v>
      </c>
      <c r="G30">
        <v>7010</v>
      </c>
    </row>
    <row r="31" spans="1:14">
      <c r="A31" t="s">
        <v>1559</v>
      </c>
      <c r="B31">
        <v>3630</v>
      </c>
      <c r="C31">
        <v>3740</v>
      </c>
      <c r="D31">
        <v>4350</v>
      </c>
      <c r="E31">
        <v>4930</v>
      </c>
      <c r="F31">
        <v>4560</v>
      </c>
      <c r="G31">
        <v>21210</v>
      </c>
    </row>
    <row r="32" spans="1:14">
      <c r="A32" t="s">
        <v>1560</v>
      </c>
      <c r="B32">
        <v>690</v>
      </c>
      <c r="C32">
        <v>840</v>
      </c>
      <c r="D32">
        <v>1490</v>
      </c>
      <c r="E32">
        <v>2320</v>
      </c>
      <c r="F32">
        <v>1840</v>
      </c>
      <c r="G32">
        <v>7180</v>
      </c>
    </row>
    <row r="33" spans="1:7">
      <c r="A33" t="s">
        <v>1561</v>
      </c>
      <c r="B33">
        <v>444200</v>
      </c>
      <c r="C33">
        <v>464070</v>
      </c>
      <c r="D33">
        <v>528780</v>
      </c>
      <c r="E33">
        <v>505730</v>
      </c>
      <c r="F33">
        <v>499050</v>
      </c>
      <c r="G33">
        <v>2441830</v>
      </c>
    </row>
    <row r="34" spans="1:7">
      <c r="A34" t="s">
        <v>1562</v>
      </c>
      <c r="B34">
        <v>820</v>
      </c>
      <c r="C34">
        <v>860</v>
      </c>
      <c r="D34">
        <v>1240</v>
      </c>
      <c r="E34">
        <v>1260</v>
      </c>
      <c r="F34">
        <v>990</v>
      </c>
      <c r="G34">
        <v>5170</v>
      </c>
    </row>
    <row r="35" spans="1:7">
      <c r="A35" t="s">
        <v>1563</v>
      </c>
      <c r="B35" s="425">
        <v>22580</v>
      </c>
      <c r="C35" s="425">
        <v>21560</v>
      </c>
      <c r="D35" s="425">
        <v>21710</v>
      </c>
      <c r="E35" s="425">
        <v>20450</v>
      </c>
      <c r="F35" s="425">
        <v>9550</v>
      </c>
      <c r="G35" s="425">
        <v>95850</v>
      </c>
    </row>
    <row r="36" spans="1:7">
      <c r="A36" t="s">
        <v>1564</v>
      </c>
      <c r="B36">
        <v>1708498</v>
      </c>
      <c r="C36">
        <v>1804010</v>
      </c>
      <c r="D36">
        <v>2115227</v>
      </c>
      <c r="E36">
        <v>2170116</v>
      </c>
      <c r="F36">
        <v>1953743</v>
      </c>
      <c r="G36">
        <v>9751594</v>
      </c>
    </row>
    <row r="39" spans="1:7">
      <c r="A39" t="s">
        <v>1565</v>
      </c>
    </row>
    <row r="40" spans="1:7">
      <c r="A40" t="s">
        <v>1566</v>
      </c>
      <c r="B40">
        <v>1132</v>
      </c>
      <c r="C40">
        <v>1239</v>
      </c>
      <c r="D40">
        <v>1251</v>
      </c>
      <c r="E40">
        <v>1211</v>
      </c>
      <c r="F40">
        <v>990</v>
      </c>
      <c r="G40">
        <v>5823</v>
      </c>
    </row>
    <row r="41" spans="1:7">
      <c r="A41" t="s">
        <v>1567</v>
      </c>
      <c r="B41">
        <v>801</v>
      </c>
      <c r="C41">
        <v>827</v>
      </c>
      <c r="D41">
        <v>661</v>
      </c>
      <c r="E41">
        <v>223</v>
      </c>
      <c r="F41">
        <v>746</v>
      </c>
      <c r="G41">
        <v>3258</v>
      </c>
    </row>
    <row r="42" spans="1:7">
      <c r="A42" t="s">
        <v>1568</v>
      </c>
      <c r="B42">
        <v>12403</v>
      </c>
      <c r="C42">
        <v>10273</v>
      </c>
      <c r="D42">
        <v>6208</v>
      </c>
      <c r="E42">
        <v>5051</v>
      </c>
      <c r="F42">
        <v>5122</v>
      </c>
      <c r="G42">
        <v>39057</v>
      </c>
    </row>
    <row r="43" spans="1:7">
      <c r="A43" t="s">
        <v>813</v>
      </c>
      <c r="B43">
        <v>5379</v>
      </c>
      <c r="C43">
        <v>6641</v>
      </c>
      <c r="D43">
        <v>8806</v>
      </c>
      <c r="E43">
        <v>8695</v>
      </c>
      <c r="F43">
        <v>7824</v>
      </c>
      <c r="G43">
        <v>37345</v>
      </c>
    </row>
    <row r="44" spans="1:7">
      <c r="A44" t="s">
        <v>1569</v>
      </c>
      <c r="B44">
        <v>21672</v>
      </c>
      <c r="C44">
        <v>21949</v>
      </c>
      <c r="D44">
        <v>22756</v>
      </c>
      <c r="E44">
        <v>23694</v>
      </c>
      <c r="F44">
        <v>14439</v>
      </c>
      <c r="G44">
        <v>104510</v>
      </c>
    </row>
    <row r="45" spans="1:7">
      <c r="A45" t="s">
        <v>1570</v>
      </c>
      <c r="B45">
        <v>1905</v>
      </c>
      <c r="C45">
        <v>3367</v>
      </c>
      <c r="D45">
        <v>2864</v>
      </c>
      <c r="E45">
        <v>2866</v>
      </c>
      <c r="F45">
        <v>3456</v>
      </c>
      <c r="G45">
        <v>14458</v>
      </c>
    </row>
    <row r="46" spans="1:7">
      <c r="A46" t="s">
        <v>904</v>
      </c>
      <c r="B46">
        <v>1415</v>
      </c>
      <c r="C46">
        <v>1533</v>
      </c>
      <c r="D46">
        <v>1660</v>
      </c>
      <c r="E46">
        <v>1734</v>
      </c>
      <c r="F46">
        <v>1644</v>
      </c>
      <c r="G46">
        <v>7986</v>
      </c>
    </row>
    <row r="47" spans="1:7">
      <c r="A47" t="s">
        <v>1571</v>
      </c>
      <c r="B47">
        <v>12881</v>
      </c>
      <c r="C47">
        <v>13522</v>
      </c>
      <c r="D47">
        <v>15454</v>
      </c>
      <c r="E47">
        <v>16314</v>
      </c>
      <c r="F47">
        <v>15153</v>
      </c>
      <c r="G47">
        <v>73324</v>
      </c>
    </row>
    <row r="48" spans="1:7">
      <c r="A48" t="s">
        <v>1663</v>
      </c>
      <c r="B48">
        <v>3782</v>
      </c>
      <c r="C48">
        <v>2390</v>
      </c>
      <c r="D48">
        <v>1229</v>
      </c>
      <c r="E48">
        <v>2771</v>
      </c>
      <c r="F48">
        <v>2307</v>
      </c>
      <c r="G48">
        <v>12479</v>
      </c>
    </row>
    <row r="49" spans="1:18">
      <c r="A49" t="s">
        <v>1572</v>
      </c>
      <c r="B49">
        <v>18404</v>
      </c>
      <c r="C49">
        <v>19671</v>
      </c>
      <c r="D49">
        <v>21168</v>
      </c>
      <c r="E49">
        <v>21560</v>
      </c>
      <c r="F49">
        <v>19844</v>
      </c>
      <c r="G49">
        <v>100647</v>
      </c>
      <c r="N49" s="642"/>
      <c r="O49" s="642"/>
      <c r="Q49" s="642"/>
    </row>
    <row r="50" spans="1:18">
      <c r="A50" t="s">
        <v>1573</v>
      </c>
      <c r="B50">
        <v>1425</v>
      </c>
      <c r="C50">
        <v>1806</v>
      </c>
      <c r="D50">
        <v>1878</v>
      </c>
      <c r="E50">
        <v>1947</v>
      </c>
      <c r="F50">
        <v>1463</v>
      </c>
      <c r="G50">
        <v>8519</v>
      </c>
      <c r="N50" s="642"/>
      <c r="O50" s="642"/>
      <c r="Q50" s="642"/>
    </row>
    <row r="51" spans="1:18">
      <c r="A51" t="s">
        <v>1574</v>
      </c>
      <c r="B51">
        <v>5181</v>
      </c>
      <c r="C51">
        <v>5471</v>
      </c>
      <c r="D51">
        <v>6140</v>
      </c>
      <c r="E51">
        <v>6290</v>
      </c>
      <c r="F51">
        <v>5822</v>
      </c>
      <c r="G51">
        <v>28904</v>
      </c>
      <c r="N51" s="642"/>
      <c r="O51" s="642"/>
      <c r="Q51" s="642"/>
    </row>
    <row r="52" spans="1:18">
      <c r="A52" t="s">
        <v>1575</v>
      </c>
      <c r="B52">
        <v>17643</v>
      </c>
      <c r="C52">
        <v>8165</v>
      </c>
      <c r="D52">
        <v>4860</v>
      </c>
      <c r="E52">
        <v>4779</v>
      </c>
      <c r="F52">
        <v>7181</v>
      </c>
      <c r="G52">
        <v>42628</v>
      </c>
      <c r="N52" s="642"/>
      <c r="O52" s="642"/>
      <c r="Q52" s="642"/>
    </row>
    <row r="53" spans="1:18">
      <c r="A53" t="s">
        <v>831</v>
      </c>
      <c r="B53">
        <v>3597</v>
      </c>
      <c r="C53">
        <v>3759</v>
      </c>
      <c r="D53">
        <v>4144</v>
      </c>
      <c r="E53">
        <v>4129</v>
      </c>
      <c r="F53">
        <v>4138</v>
      </c>
      <c r="G53">
        <v>19767</v>
      </c>
      <c r="N53" s="642"/>
      <c r="O53" s="642"/>
      <c r="Q53" s="642"/>
    </row>
    <row r="54" spans="1:18">
      <c r="A54" t="s">
        <v>1576</v>
      </c>
      <c r="B54">
        <v>1</v>
      </c>
      <c r="C54">
        <v>1</v>
      </c>
      <c r="D54">
        <v>1</v>
      </c>
      <c r="E54">
        <v>1</v>
      </c>
      <c r="F54">
        <v>1</v>
      </c>
      <c r="G54">
        <v>5</v>
      </c>
      <c r="N54" s="642"/>
      <c r="O54" s="642"/>
      <c r="Q54" s="642"/>
    </row>
    <row r="55" spans="1:18">
      <c r="A55" t="s">
        <v>768</v>
      </c>
      <c r="B55">
        <v>1110</v>
      </c>
      <c r="C55">
        <v>1076</v>
      </c>
      <c r="D55">
        <v>1023</v>
      </c>
      <c r="E55">
        <v>1276</v>
      </c>
      <c r="F55">
        <v>1146</v>
      </c>
      <c r="G55">
        <v>5631</v>
      </c>
      <c r="N55" s="642"/>
      <c r="O55" s="642"/>
      <c r="Q55" s="642"/>
      <c r="R55" s="732"/>
    </row>
    <row r="56" spans="1:18">
      <c r="A56" t="s">
        <v>1577</v>
      </c>
      <c r="B56">
        <v>1188</v>
      </c>
      <c r="C56">
        <v>1115</v>
      </c>
      <c r="D56">
        <v>1168</v>
      </c>
      <c r="E56">
        <v>1162</v>
      </c>
      <c r="F56">
        <v>870</v>
      </c>
      <c r="G56">
        <v>5503</v>
      </c>
      <c r="N56" s="642"/>
      <c r="O56" s="642"/>
      <c r="Q56" s="642"/>
    </row>
    <row r="57" spans="1:18">
      <c r="A57" t="s">
        <v>1578</v>
      </c>
      <c r="B57">
        <v>2340</v>
      </c>
      <c r="C57">
        <v>2263</v>
      </c>
      <c r="D57">
        <v>2538</v>
      </c>
      <c r="E57">
        <v>2552</v>
      </c>
      <c r="F57">
        <v>2202</v>
      </c>
      <c r="G57">
        <v>11895</v>
      </c>
      <c r="N57" s="642"/>
      <c r="O57" s="642"/>
      <c r="Q57" s="642"/>
    </row>
    <row r="58" spans="1:18">
      <c r="A58" t="s">
        <v>1579</v>
      </c>
      <c r="B58">
        <v>71541</v>
      </c>
      <c r="C58">
        <v>78619</v>
      </c>
      <c r="D58">
        <v>82697</v>
      </c>
      <c r="E58">
        <v>79161</v>
      </c>
      <c r="F58">
        <v>77978</v>
      </c>
      <c r="G58">
        <v>389996</v>
      </c>
      <c r="N58" s="642"/>
      <c r="O58" s="642"/>
      <c r="Q58" s="642"/>
    </row>
    <row r="59" spans="1:18">
      <c r="A59" t="s">
        <v>1580</v>
      </c>
      <c r="B59">
        <v>812</v>
      </c>
      <c r="C59">
        <v>800</v>
      </c>
      <c r="D59">
        <v>815</v>
      </c>
      <c r="E59">
        <v>912</v>
      </c>
      <c r="F59">
        <v>793</v>
      </c>
      <c r="G59">
        <v>4132</v>
      </c>
      <c r="N59" s="642"/>
      <c r="O59" s="642"/>
      <c r="Q59" s="642"/>
    </row>
    <row r="60" spans="1:18">
      <c r="A60" t="s">
        <v>767</v>
      </c>
      <c r="B60">
        <v>2389</v>
      </c>
      <c r="C60">
        <v>2461</v>
      </c>
      <c r="D60">
        <v>2759</v>
      </c>
      <c r="E60">
        <v>2830</v>
      </c>
      <c r="F60">
        <v>2595</v>
      </c>
      <c r="G60">
        <v>13034</v>
      </c>
      <c r="N60" s="642"/>
      <c r="O60" s="642"/>
      <c r="Q60" s="642"/>
    </row>
    <row r="61" spans="1:18">
      <c r="A61" t="s">
        <v>1581</v>
      </c>
      <c r="B61">
        <v>555</v>
      </c>
      <c r="C61">
        <v>680</v>
      </c>
      <c r="D61">
        <v>539</v>
      </c>
      <c r="E61">
        <v>601</v>
      </c>
      <c r="F61">
        <v>660</v>
      </c>
      <c r="G61">
        <v>3035</v>
      </c>
      <c r="N61" s="642"/>
      <c r="O61" s="642"/>
      <c r="Q61" s="642"/>
    </row>
    <row r="62" spans="1:18">
      <c r="A62" t="s">
        <v>1582</v>
      </c>
      <c r="B62">
        <v>2793</v>
      </c>
      <c r="C62">
        <v>2473</v>
      </c>
      <c r="D62">
        <v>2534</v>
      </c>
      <c r="E62">
        <v>2746</v>
      </c>
      <c r="F62">
        <v>2502</v>
      </c>
      <c r="G62">
        <v>13048</v>
      </c>
      <c r="N62" s="642"/>
      <c r="O62" s="642"/>
      <c r="Q62" s="642"/>
    </row>
    <row r="63" spans="1:18">
      <c r="A63" t="s">
        <v>1583</v>
      </c>
      <c r="B63">
        <v>5313</v>
      </c>
      <c r="C63">
        <v>5218</v>
      </c>
      <c r="D63">
        <v>5421</v>
      </c>
      <c r="E63">
        <v>5656</v>
      </c>
      <c r="F63">
        <v>5517</v>
      </c>
      <c r="G63">
        <v>27125</v>
      </c>
      <c r="N63" s="642"/>
      <c r="O63" s="642"/>
      <c r="Q63" s="642"/>
    </row>
    <row r="64" spans="1:18">
      <c r="A64" t="s">
        <v>1033</v>
      </c>
      <c r="B64">
        <v>3947</v>
      </c>
      <c r="C64">
        <v>4332</v>
      </c>
      <c r="D64">
        <v>5399</v>
      </c>
      <c r="E64">
        <v>5261</v>
      </c>
      <c r="F64">
        <v>4534</v>
      </c>
      <c r="G64">
        <v>23473</v>
      </c>
      <c r="N64" s="642"/>
      <c r="O64" s="642"/>
      <c r="Q64" s="642"/>
    </row>
    <row r="65" spans="1:17">
      <c r="A65" t="s">
        <v>1584</v>
      </c>
      <c r="B65">
        <v>1434</v>
      </c>
      <c r="C65">
        <v>1384</v>
      </c>
      <c r="D65">
        <v>1578</v>
      </c>
      <c r="E65">
        <v>1181</v>
      </c>
      <c r="F65">
        <v>506</v>
      </c>
      <c r="G65">
        <v>6083</v>
      </c>
      <c r="N65" s="642"/>
      <c r="O65" s="642"/>
      <c r="Q65" s="642"/>
    </row>
    <row r="66" spans="1:17">
      <c r="A66" t="s">
        <v>1585</v>
      </c>
      <c r="B66">
        <v>19923</v>
      </c>
      <c r="C66">
        <v>18804</v>
      </c>
      <c r="D66">
        <v>18312</v>
      </c>
      <c r="E66">
        <v>17072</v>
      </c>
      <c r="F66">
        <v>7167</v>
      </c>
      <c r="G66">
        <v>81278</v>
      </c>
      <c r="N66" s="642"/>
      <c r="O66" s="642"/>
      <c r="Q66" s="642"/>
    </row>
    <row r="67" spans="1:17">
      <c r="A67" t="s">
        <v>1586</v>
      </c>
      <c r="B67">
        <v>1888</v>
      </c>
      <c r="C67">
        <v>2116</v>
      </c>
      <c r="D67">
        <v>1978</v>
      </c>
      <c r="E67">
        <v>2185</v>
      </c>
      <c r="F67">
        <v>1757</v>
      </c>
      <c r="G67">
        <v>9924</v>
      </c>
      <c r="N67" s="642"/>
      <c r="O67" s="642"/>
      <c r="Q67" s="642"/>
    </row>
    <row r="68" spans="1:17">
      <c r="A68" t="s">
        <v>1587</v>
      </c>
      <c r="B68">
        <v>11743</v>
      </c>
      <c r="C68">
        <v>12208</v>
      </c>
      <c r="D68">
        <v>13808</v>
      </c>
      <c r="E68">
        <v>13768</v>
      </c>
      <c r="F68">
        <v>12780</v>
      </c>
      <c r="G68">
        <v>64307</v>
      </c>
      <c r="N68" s="642"/>
      <c r="O68" s="642"/>
      <c r="Q68" s="642"/>
    </row>
    <row r="69" spans="1:17">
      <c r="A69" t="s">
        <v>1588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N69" s="642"/>
      <c r="O69" s="642"/>
      <c r="Q69" s="642"/>
    </row>
    <row r="70" spans="1:17">
      <c r="A70" t="s">
        <v>1589</v>
      </c>
      <c r="B70">
        <v>1828</v>
      </c>
      <c r="C70">
        <v>1804</v>
      </c>
      <c r="D70">
        <v>1591</v>
      </c>
      <c r="E70">
        <v>1742</v>
      </c>
      <c r="F70">
        <v>952</v>
      </c>
      <c r="G70">
        <v>7917</v>
      </c>
      <c r="N70" s="642"/>
      <c r="O70" s="642"/>
      <c r="Q70" s="642"/>
    </row>
    <row r="71" spans="1:17">
      <c r="A71" t="s">
        <v>1590</v>
      </c>
      <c r="B71">
        <v>2900</v>
      </c>
      <c r="C71">
        <v>3202</v>
      </c>
      <c r="D71">
        <v>3832</v>
      </c>
      <c r="E71">
        <v>3286</v>
      </c>
      <c r="F71">
        <v>3162</v>
      </c>
      <c r="G71">
        <v>16382</v>
      </c>
      <c r="N71" s="642"/>
      <c r="O71" s="642"/>
      <c r="Q71" s="642"/>
    </row>
    <row r="72" spans="1:17">
      <c r="A72" t="s">
        <v>1591</v>
      </c>
      <c r="B72">
        <v>2055</v>
      </c>
      <c r="C72">
        <v>2182</v>
      </c>
      <c r="D72">
        <v>2537</v>
      </c>
      <c r="E72">
        <v>2439</v>
      </c>
      <c r="F72">
        <v>1891</v>
      </c>
      <c r="G72">
        <v>11104</v>
      </c>
      <c r="N72" s="642"/>
      <c r="O72" s="642"/>
      <c r="Q72" s="642"/>
    </row>
    <row r="73" spans="1:17">
      <c r="A73" t="s">
        <v>1592</v>
      </c>
      <c r="B73">
        <v>6083</v>
      </c>
      <c r="C73">
        <v>6213</v>
      </c>
      <c r="D73">
        <v>5931</v>
      </c>
      <c r="E73">
        <v>5001</v>
      </c>
      <c r="F73">
        <v>4452</v>
      </c>
      <c r="G73">
        <v>27680</v>
      </c>
      <c r="N73" s="642"/>
      <c r="O73" s="642"/>
      <c r="Q73" s="642"/>
    </row>
    <row r="74" spans="1:17">
      <c r="A74" t="s">
        <v>1593</v>
      </c>
      <c r="B74">
        <v>54977</v>
      </c>
      <c r="C74">
        <v>56431</v>
      </c>
      <c r="D74">
        <v>66391</v>
      </c>
      <c r="E74">
        <v>66887</v>
      </c>
      <c r="F74">
        <v>60774</v>
      </c>
      <c r="G74">
        <v>305460</v>
      </c>
    </row>
    <row r="75" spans="1:17">
      <c r="A75" t="s">
        <v>1594</v>
      </c>
      <c r="B75" s="425">
        <v>2355</v>
      </c>
      <c r="C75" s="425">
        <v>2497</v>
      </c>
      <c r="D75" s="425">
        <v>2737</v>
      </c>
      <c r="E75" s="425">
        <v>2359</v>
      </c>
      <c r="F75" s="425">
        <v>2181</v>
      </c>
      <c r="G75" s="425">
        <v>12129</v>
      </c>
    </row>
    <row r="76" spans="1:17">
      <c r="A76" t="s">
        <v>1595</v>
      </c>
      <c r="B76">
        <v>304795</v>
      </c>
      <c r="C76">
        <v>306492</v>
      </c>
      <c r="D76">
        <v>322668</v>
      </c>
      <c r="E76">
        <v>319342</v>
      </c>
      <c r="F76">
        <v>284549</v>
      </c>
      <c r="G76">
        <v>1537846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8A72-607F-4BCB-875E-0FC97A2A0DB8}">
  <sheetPr>
    <tabColor rgb="FF92D050"/>
  </sheetPr>
  <dimension ref="A2:V37"/>
  <sheetViews>
    <sheetView zoomScaleNormal="100" workbookViewId="0">
      <selection activeCell="D5" sqref="D5"/>
    </sheetView>
  </sheetViews>
  <sheetFormatPr defaultRowHeight="12.75"/>
  <cols>
    <col min="1" max="1" width="3.85546875" customWidth="1"/>
    <col min="2" max="2" width="33.42578125" bestFit="1" customWidth="1"/>
    <col min="3" max="3" width="2.42578125" customWidth="1"/>
    <col min="4" max="4" width="11.140625" customWidth="1"/>
    <col min="5" max="6" width="11.140625" bestFit="1" customWidth="1"/>
    <col min="7" max="8" width="11.140625" customWidth="1"/>
    <col min="9" max="9" width="11.140625" bestFit="1" customWidth="1"/>
    <col min="10" max="11" width="11.140625" customWidth="1"/>
    <col min="12" max="12" width="11.140625" bestFit="1" customWidth="1"/>
    <col min="13" max="13" width="11.140625" customWidth="1"/>
    <col min="14" max="15" width="11.140625" bestFit="1" customWidth="1"/>
    <col min="16" max="16" width="12.140625" bestFit="1" customWidth="1"/>
    <col min="17" max="17" width="2.7109375" customWidth="1"/>
    <col min="18" max="18" width="12.85546875" customWidth="1"/>
    <col min="19" max="20" width="12.7109375" customWidth="1"/>
    <col min="21" max="22" width="13.42578125" customWidth="1"/>
  </cols>
  <sheetData>
    <row r="2" spans="1:22">
      <c r="D2" s="1" t="s">
        <v>1245</v>
      </c>
      <c r="E2" s="1" t="s">
        <v>1245</v>
      </c>
      <c r="F2" s="1" t="s">
        <v>1245</v>
      </c>
      <c r="G2" s="1"/>
      <c r="H2" s="1" t="s">
        <v>1244</v>
      </c>
      <c r="I2" s="1" t="s">
        <v>1244</v>
      </c>
      <c r="J2" s="1" t="s">
        <v>1244</v>
      </c>
      <c r="K2" s="1" t="s">
        <v>1244</v>
      </c>
      <c r="L2" s="1" t="s">
        <v>1244</v>
      </c>
      <c r="M2" s="1"/>
      <c r="N2" s="1"/>
      <c r="O2" s="1" t="s">
        <v>1245</v>
      </c>
    </row>
    <row r="3" spans="1:22" ht="25.5">
      <c r="A3" s="642"/>
      <c r="B3" s="642"/>
      <c r="C3" s="642"/>
      <c r="D3" s="661" t="s">
        <v>1216</v>
      </c>
      <c r="E3" s="661" t="s">
        <v>1217</v>
      </c>
      <c r="F3" s="661" t="s">
        <v>1218</v>
      </c>
      <c r="G3" s="661" t="s">
        <v>1219</v>
      </c>
      <c r="H3" s="661" t="s">
        <v>1220</v>
      </c>
      <c r="I3" s="661" t="s">
        <v>1221</v>
      </c>
      <c r="J3" s="661" t="s">
        <v>1210</v>
      </c>
      <c r="K3" s="661" t="s">
        <v>1211</v>
      </c>
      <c r="L3" s="661" t="s">
        <v>1212</v>
      </c>
      <c r="M3" s="661" t="s">
        <v>1213</v>
      </c>
      <c r="N3" s="661" t="s">
        <v>1214</v>
      </c>
      <c r="O3" s="661" t="s">
        <v>1215</v>
      </c>
      <c r="P3" s="642" t="s">
        <v>1222</v>
      </c>
      <c r="R3" s="647" t="s">
        <v>1246</v>
      </c>
      <c r="S3" s="644" t="s">
        <v>1242</v>
      </c>
      <c r="T3" s="647" t="s">
        <v>1247</v>
      </c>
      <c r="U3" s="644" t="s">
        <v>1243</v>
      </c>
      <c r="V3" s="110" t="s">
        <v>1250</v>
      </c>
    </row>
    <row r="4" spans="1:22">
      <c r="A4" s="642" t="s">
        <v>1223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</row>
    <row r="5" spans="1:22">
      <c r="A5" s="642"/>
      <c r="B5" s="642" t="s">
        <v>1224</v>
      </c>
      <c r="C5" s="642"/>
      <c r="D5" s="642">
        <f>'Winter Therm - Usage'!D9</f>
        <v>2729499.8391499999</v>
      </c>
      <c r="E5" s="642">
        <f>'Winter Therm - Usage'!E9</f>
        <v>2068281.8205299999</v>
      </c>
      <c r="F5" s="642">
        <f>'Winter Therm - Usage'!F9</f>
        <v>2218628.3139500003</v>
      </c>
      <c r="G5" s="642">
        <f>'Winter Therm - Usage'!G9</f>
        <v>3176209.2553699999</v>
      </c>
      <c r="H5" s="642">
        <f>'Winter Therm - Usage'!H9</f>
        <v>12573348.636219999</v>
      </c>
      <c r="I5" s="642">
        <f>'Winter Therm - Usage'!I9</f>
        <v>24982337.494570002</v>
      </c>
      <c r="J5" s="642">
        <f>'Winter Therm - Usage'!J9</f>
        <v>25296874.002070002</v>
      </c>
      <c r="K5" s="642">
        <f>'Winter Therm - Usage'!K9</f>
        <v>19579656.427620001</v>
      </c>
      <c r="L5" s="642">
        <f>'Winter Therm - Usage'!L9</f>
        <v>21312464.65312</v>
      </c>
      <c r="M5" s="642">
        <f>'Winter Therm - Usage'!M9</f>
        <v>13177748.55212</v>
      </c>
      <c r="N5" s="642">
        <f>'Winter Therm - Usage'!N9</f>
        <v>6751392.6318100002</v>
      </c>
      <c r="O5" s="642">
        <f>'Winter Therm - Usage'!O9</f>
        <v>2676831.2311499999</v>
      </c>
      <c r="P5" s="642">
        <f>'Winter Therm - Usage'!P9</f>
        <v>136543272.85767999</v>
      </c>
      <c r="R5" s="645">
        <f>SUM(H5:L5)</f>
        <v>103744681.21359999</v>
      </c>
      <c r="S5" s="645">
        <f>AVERAGE(H5:L5)</f>
        <v>20748936.24272</v>
      </c>
      <c r="T5" s="645">
        <f>SUM(D5:F5,O5)</f>
        <v>9693241.2047799993</v>
      </c>
      <c r="U5" s="645">
        <f>AVERAGE(D5:F5,O5)</f>
        <v>2423310.3011949998</v>
      </c>
      <c r="V5" s="645">
        <f>S5-U5</f>
        <v>18325625.941525001</v>
      </c>
    </row>
    <row r="6" spans="1:22">
      <c r="A6" s="642"/>
      <c r="B6" s="642" t="s">
        <v>1225</v>
      </c>
      <c r="C6" s="642"/>
      <c r="D6" s="642">
        <f>'Winter Therm - Usage'!D10</f>
        <v>2098127.4567399998</v>
      </c>
      <c r="E6" s="642">
        <f>'Winter Therm - Usage'!E10</f>
        <v>1792359.1224499999</v>
      </c>
      <c r="F6" s="642">
        <f>'Winter Therm - Usage'!F10</f>
        <v>1913754.1286800001</v>
      </c>
      <c r="G6" s="642">
        <f>'Winter Therm - Usage'!G10</f>
        <v>2498518.2574199997</v>
      </c>
      <c r="H6" s="642">
        <f>'Winter Therm - Usage'!H10</f>
        <v>5757831.3806600003</v>
      </c>
      <c r="I6" s="642">
        <f>'Winter Therm - Usage'!I10</f>
        <v>10072961.77258</v>
      </c>
      <c r="J6" s="642">
        <f>'Winter Therm - Usage'!J10</f>
        <v>10456249.258370001</v>
      </c>
      <c r="K6" s="642">
        <f>'Winter Therm - Usage'!K10</f>
        <v>7801489.8826400004</v>
      </c>
      <c r="L6" s="642">
        <f>'Winter Therm - Usage'!L10</f>
        <v>9200012.3178899996</v>
      </c>
      <c r="M6" s="642">
        <f>'Winter Therm - Usage'!M10</f>
        <v>5828853.3735499997</v>
      </c>
      <c r="N6" s="642">
        <f>'Winter Therm - Usage'!N10</f>
        <v>3846945.57265</v>
      </c>
      <c r="O6" s="642">
        <f>'Winter Therm - Usage'!O10</f>
        <v>2151569.25232</v>
      </c>
      <c r="P6" s="642">
        <f>'Winter Therm - Usage'!P10</f>
        <v>63418671.77595</v>
      </c>
      <c r="R6" s="645">
        <f>SUM(H6:L6)</f>
        <v>43288544.61214</v>
      </c>
      <c r="S6" s="645">
        <f t="shared" ref="S6:S8" si="0">AVERAGE(H6:L6)</f>
        <v>8657708.9224280007</v>
      </c>
      <c r="T6" s="645">
        <f t="shared" ref="T6:T8" si="1">SUM(D6:F6,O6)</f>
        <v>7955809.96019</v>
      </c>
      <c r="U6" s="645">
        <f t="shared" ref="U6:U7" si="2">AVERAGE(D6:F6,O6)</f>
        <v>1988952.4900475</v>
      </c>
      <c r="V6" s="645">
        <f>S6-U6</f>
        <v>6668756.4323805012</v>
      </c>
    </row>
    <row r="7" spans="1:22">
      <c r="A7" s="642"/>
      <c r="B7" s="642" t="s">
        <v>1226</v>
      </c>
      <c r="C7" s="642"/>
      <c r="D7" s="642">
        <f>'Winter Therm - Usage'!D11</f>
        <v>43650.04</v>
      </c>
      <c r="E7" s="642">
        <f>'Winter Therm - Usage'!E11</f>
        <v>40663.730000000003</v>
      </c>
      <c r="F7" s="642">
        <f>'Winter Therm - Usage'!F11</f>
        <v>42123.652000000002</v>
      </c>
      <c r="G7" s="642">
        <f>'Winter Therm - Usage'!G11</f>
        <v>50784.091</v>
      </c>
      <c r="H7" s="642">
        <f>'Winter Therm - Usage'!H11</f>
        <v>163544.92800000001</v>
      </c>
      <c r="I7" s="642">
        <f>'Winter Therm - Usage'!I11</f>
        <v>253047.31400000001</v>
      </c>
      <c r="J7" s="642">
        <f>'Winter Therm - Usage'!J11</f>
        <v>472432.00400000002</v>
      </c>
      <c r="K7" s="642">
        <f>'Winter Therm - Usage'!K11</f>
        <v>229126.19899999999</v>
      </c>
      <c r="L7" s="642">
        <f>'Winter Therm - Usage'!L11</f>
        <v>349483.20600000001</v>
      </c>
      <c r="M7" s="642">
        <f>'Winter Therm - Usage'!M11</f>
        <v>243960.85699999999</v>
      </c>
      <c r="N7" s="642">
        <f>'Winter Therm - Usage'!N11</f>
        <v>192768.14300000001</v>
      </c>
      <c r="O7" s="642">
        <f>'Winter Therm - Usage'!O11</f>
        <v>149591.60800000001</v>
      </c>
      <c r="P7" s="642">
        <f>'Winter Therm - Usage'!P11</f>
        <v>2231175.7719999999</v>
      </c>
      <c r="R7" s="645">
        <f t="shared" ref="R7:R8" si="3">SUM(H7:L7)</f>
        <v>1467633.6510000001</v>
      </c>
      <c r="S7" s="645">
        <f t="shared" si="0"/>
        <v>293526.73019999999</v>
      </c>
      <c r="T7" s="645">
        <f t="shared" si="1"/>
        <v>276029.03000000003</v>
      </c>
      <c r="U7" s="645">
        <f t="shared" si="2"/>
        <v>69007.257500000007</v>
      </c>
      <c r="V7" s="645">
        <f>S7-U7</f>
        <v>224519.47269999998</v>
      </c>
    </row>
    <row r="8" spans="1:22">
      <c r="A8" s="642"/>
      <c r="B8" s="642" t="s">
        <v>1227</v>
      </c>
      <c r="C8" s="642"/>
      <c r="D8" s="643">
        <f>'Winter Therm - Usage'!D12</f>
        <v>2422810</v>
      </c>
      <c r="E8" s="643">
        <f>'Winter Therm - Usage'!E12</f>
        <v>2139256</v>
      </c>
      <c r="F8" s="643">
        <f>'Winter Therm - Usage'!F12</f>
        <v>2116204</v>
      </c>
      <c r="G8" s="643">
        <f>'Winter Therm - Usage'!G12</f>
        <v>2189947</v>
      </c>
      <c r="H8" s="643">
        <f>'Winter Therm - Usage'!H12</f>
        <v>2469519</v>
      </c>
      <c r="I8" s="643">
        <f>'Winter Therm - Usage'!I12</f>
        <v>3578929</v>
      </c>
      <c r="J8" s="643">
        <f>'Winter Therm - Usage'!J12</f>
        <v>3591717</v>
      </c>
      <c r="K8" s="643">
        <f>'Winter Therm - Usage'!K12</f>
        <v>3528113</v>
      </c>
      <c r="L8" s="643">
        <f>'Winter Therm - Usage'!L12</f>
        <v>3299634</v>
      </c>
      <c r="M8" s="643">
        <f>'Winter Therm - Usage'!M12</f>
        <v>3194133</v>
      </c>
      <c r="N8" s="643">
        <f>'Winter Therm - Usage'!N12</f>
        <v>2720728</v>
      </c>
      <c r="O8" s="643">
        <f>'Winter Therm - Usage'!O12</f>
        <v>2247224</v>
      </c>
      <c r="P8" s="643">
        <f>'Winter Therm - Usage'!P12</f>
        <v>33498214</v>
      </c>
      <c r="R8" s="646">
        <f t="shared" si="3"/>
        <v>16467912</v>
      </c>
      <c r="S8" s="646">
        <f t="shared" si="0"/>
        <v>3293582.4</v>
      </c>
      <c r="T8" s="646">
        <f t="shared" si="1"/>
        <v>8925494</v>
      </c>
      <c r="U8" s="646">
        <f>AVERAGE(D8:F8,O8)</f>
        <v>2231373.5</v>
      </c>
      <c r="V8" s="646">
        <v>0</v>
      </c>
    </row>
    <row r="9" spans="1:22">
      <c r="A9" s="642" t="s">
        <v>1229</v>
      </c>
      <c r="B9" s="642"/>
      <c r="C9" s="642"/>
      <c r="D9" s="642">
        <f t="shared" ref="D9:P9" si="4">SUM(D5:D8)</f>
        <v>7294087.3358899998</v>
      </c>
      <c r="E9" s="642">
        <f t="shared" si="4"/>
        <v>6040560.6729799993</v>
      </c>
      <c r="F9" s="642">
        <f t="shared" si="4"/>
        <v>6290710.0946300002</v>
      </c>
      <c r="G9" s="642">
        <f t="shared" si="4"/>
        <v>7915458.6037900001</v>
      </c>
      <c r="H9" s="642">
        <f t="shared" si="4"/>
        <v>20964243.944879998</v>
      </c>
      <c r="I9" s="642">
        <f t="shared" si="4"/>
        <v>38887275.581150003</v>
      </c>
      <c r="J9" s="642">
        <f t="shared" si="4"/>
        <v>39817272.264440008</v>
      </c>
      <c r="K9" s="642">
        <f t="shared" si="4"/>
        <v>31138385.509260003</v>
      </c>
      <c r="L9" s="642">
        <f t="shared" si="4"/>
        <v>34161594.17701</v>
      </c>
      <c r="M9" s="642">
        <f t="shared" si="4"/>
        <v>22444695.782669999</v>
      </c>
      <c r="N9" s="642">
        <f t="shared" si="4"/>
        <v>13511834.34746</v>
      </c>
      <c r="O9" s="642">
        <f t="shared" si="4"/>
        <v>7225216.0914700003</v>
      </c>
      <c r="P9" s="642">
        <f t="shared" si="4"/>
        <v>235691334.40562999</v>
      </c>
      <c r="R9" s="645">
        <f>SUM(R5:R8)</f>
        <v>164968771.47673997</v>
      </c>
      <c r="S9" s="645">
        <f>SUM(S5:S8)</f>
        <v>32993754.295348</v>
      </c>
      <c r="T9" s="645">
        <f>SUM(T5:T8)</f>
        <v>26850574.194970001</v>
      </c>
      <c r="U9" s="645">
        <f>SUM(U5:U8)</f>
        <v>6712643.5487425001</v>
      </c>
      <c r="V9" s="645">
        <f>SUM(V5:V8)</f>
        <v>25218901.846605502</v>
      </c>
    </row>
    <row r="10" spans="1:22">
      <c r="A10" s="642"/>
      <c r="B10" s="642"/>
      <c r="C10" s="642"/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R10" s="645"/>
      <c r="S10" s="645"/>
      <c r="T10" s="645"/>
      <c r="U10" s="645"/>
      <c r="V10" s="645"/>
    </row>
    <row r="11" spans="1:22">
      <c r="A11" s="642" t="s">
        <v>1230</v>
      </c>
      <c r="B11" s="642"/>
      <c r="C11" s="642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R11" s="645"/>
      <c r="S11" s="645"/>
      <c r="T11" s="645"/>
      <c r="U11" s="645"/>
      <c r="V11" s="645"/>
    </row>
    <row r="12" spans="1:22">
      <c r="A12" s="642"/>
      <c r="B12" s="642" t="s">
        <v>1231</v>
      </c>
      <c r="C12" s="642"/>
      <c r="D12" s="642">
        <f>'Winter Therm - Usage'!D17</f>
        <v>28195</v>
      </c>
      <c r="E12" s="642">
        <f>'Winter Therm - Usage'!E17</f>
        <v>27019</v>
      </c>
      <c r="F12" s="642">
        <f>'Winter Therm - Usage'!F17</f>
        <v>40067</v>
      </c>
      <c r="G12" s="642">
        <f>'Winter Therm - Usage'!G17</f>
        <v>116668</v>
      </c>
      <c r="H12" s="642">
        <f>'Winter Therm - Usage'!H17</f>
        <v>404062</v>
      </c>
      <c r="I12" s="642">
        <f>'Winter Therm - Usage'!I17</f>
        <v>472976</v>
      </c>
      <c r="J12" s="642">
        <f>'Winter Therm - Usage'!J17</f>
        <v>379785</v>
      </c>
      <c r="K12" s="642">
        <f>'Winter Therm - Usage'!K17</f>
        <v>358809</v>
      </c>
      <c r="L12" s="642">
        <f>'Winter Therm - Usage'!L17</f>
        <v>314000</v>
      </c>
      <c r="M12" s="642">
        <f>'Winter Therm - Usage'!M17</f>
        <v>213744</v>
      </c>
      <c r="N12" s="642">
        <f>'Winter Therm - Usage'!N17</f>
        <v>53319</v>
      </c>
      <c r="O12" s="642">
        <f>'Winter Therm - Usage'!O17</f>
        <v>21341</v>
      </c>
      <c r="P12" s="642">
        <f>'Winter Therm - Usage'!P17</f>
        <v>2429985</v>
      </c>
      <c r="R12" s="645">
        <f>SUM(H12:L12)</f>
        <v>1929632</v>
      </c>
      <c r="S12" s="645">
        <f>AVERAGE(H12:L12)</f>
        <v>385926.40000000002</v>
      </c>
      <c r="T12" s="645">
        <f>SUM(D12:F12,O12)</f>
        <v>116622</v>
      </c>
      <c r="U12" s="645">
        <f>AVERAGE(D12:F12,O12)</f>
        <v>29155.5</v>
      </c>
      <c r="V12" s="645">
        <f>S12-U12</f>
        <v>356770.9</v>
      </c>
    </row>
    <row r="13" spans="1:22">
      <c r="A13" s="642"/>
      <c r="B13" s="642" t="s">
        <v>1232</v>
      </c>
      <c r="C13" s="642"/>
      <c r="D13" s="642">
        <f>'Winter Therm - Usage'!D18</f>
        <v>-28195</v>
      </c>
      <c r="E13" s="642">
        <f>'Winter Therm - Usage'!E18</f>
        <v>-27019</v>
      </c>
      <c r="F13" s="642">
        <f>'Winter Therm - Usage'!F18</f>
        <v>-40067</v>
      </c>
      <c r="G13" s="642">
        <f>'Winter Therm - Usage'!G18</f>
        <v>-116668</v>
      </c>
      <c r="H13" s="642">
        <f>'Winter Therm - Usage'!H18</f>
        <v>-404062</v>
      </c>
      <c r="I13" s="642">
        <f>'Winter Therm - Usage'!I18</f>
        <v>-472976</v>
      </c>
      <c r="J13" s="642">
        <f>'Winter Therm - Usage'!J18</f>
        <v>-379785</v>
      </c>
      <c r="K13" s="642">
        <f>'Winter Therm - Usage'!K18</f>
        <v>-358809</v>
      </c>
      <c r="L13" s="642">
        <f>'Winter Therm - Usage'!L18</f>
        <v>-314000</v>
      </c>
      <c r="M13" s="642">
        <f>'Winter Therm - Usage'!M18</f>
        <v>-213744</v>
      </c>
      <c r="N13" s="642">
        <f>'Winter Therm - Usage'!N18</f>
        <v>-53319</v>
      </c>
      <c r="O13" s="642">
        <f>'Winter Therm - Usage'!O18</f>
        <v>-21341</v>
      </c>
      <c r="P13" s="642">
        <f>'Winter Therm - Usage'!P18</f>
        <v>-2429985</v>
      </c>
      <c r="R13" s="645">
        <f t="shared" ref="R13:R15" si="5">SUM(H13:L13)</f>
        <v>-1929632</v>
      </c>
      <c r="S13" s="645">
        <f t="shared" ref="S13:S15" si="6">AVERAGE(H13:L13)</f>
        <v>-385926.40000000002</v>
      </c>
      <c r="T13" s="645">
        <f t="shared" ref="T13:T15" si="7">SUM(D13:F13,O13)</f>
        <v>-116622</v>
      </c>
      <c r="U13" s="645">
        <f t="shared" ref="U13:U15" si="8">AVERAGE(D13:F13,O13)</f>
        <v>-29155.5</v>
      </c>
      <c r="V13" s="645">
        <f t="shared" ref="V13:V14" si="9">S13-U13</f>
        <v>-356770.9</v>
      </c>
    </row>
    <row r="14" spans="1:22">
      <c r="A14" s="642"/>
      <c r="B14" s="642" t="s">
        <v>1233</v>
      </c>
      <c r="C14" s="642"/>
      <c r="D14" s="642">
        <f>'Winter Therm - Usage'!D20</f>
        <v>-84226</v>
      </c>
      <c r="E14" s="642">
        <f>'Winter Therm - Usage'!E20</f>
        <v>-83243</v>
      </c>
      <c r="F14" s="642">
        <f>'Winter Therm - Usage'!F20</f>
        <v>-87026</v>
      </c>
      <c r="G14" s="642">
        <f>'Winter Therm - Usage'!G20</f>
        <v>-105118</v>
      </c>
      <c r="H14" s="642">
        <f>'Winter Therm - Usage'!H20</f>
        <v>0</v>
      </c>
      <c r="I14" s="642">
        <f>'Winter Therm - Usage'!I20</f>
        <v>0</v>
      </c>
      <c r="J14" s="642">
        <f>'Winter Therm - Usage'!J20</f>
        <v>0</v>
      </c>
      <c r="K14" s="642">
        <f>'Winter Therm - Usage'!K20</f>
        <v>0</v>
      </c>
      <c r="L14" s="642">
        <f>'Winter Therm - Usage'!L20</f>
        <v>0</v>
      </c>
      <c r="M14" s="642">
        <f>'Winter Therm - Usage'!M20</f>
        <v>0</v>
      </c>
      <c r="N14" s="642">
        <f>'Winter Therm - Usage'!N20</f>
        <v>0</v>
      </c>
      <c r="O14" s="642">
        <f>'Winter Therm - Usage'!O20</f>
        <v>0</v>
      </c>
      <c r="P14" s="642">
        <f>'Winter Therm - Usage'!P20</f>
        <v>-359613</v>
      </c>
      <c r="R14" s="645">
        <f t="shared" si="5"/>
        <v>0</v>
      </c>
      <c r="S14" s="645">
        <f t="shared" si="6"/>
        <v>0</v>
      </c>
      <c r="T14" s="645">
        <f t="shared" si="7"/>
        <v>-254495</v>
      </c>
      <c r="U14" s="645">
        <f t="shared" si="8"/>
        <v>-63623.75</v>
      </c>
      <c r="V14" s="645">
        <f t="shared" si="9"/>
        <v>63623.75</v>
      </c>
    </row>
    <row r="15" spans="1:22">
      <c r="A15" s="642"/>
      <c r="B15" s="642" t="s">
        <v>1234</v>
      </c>
      <c r="C15" s="642"/>
      <c r="D15" s="643">
        <f>'Winter Therm - Usage'!D21</f>
        <v>18353</v>
      </c>
      <c r="E15" s="643">
        <f>'Winter Therm - Usage'!E21</f>
        <v>-1171</v>
      </c>
      <c r="F15" s="643">
        <f>'Winter Therm - Usage'!F21</f>
        <v>2257</v>
      </c>
      <c r="G15" s="643">
        <f>'Winter Therm - Usage'!G21</f>
        <v>16559</v>
      </c>
      <c r="H15" s="643">
        <f>'Winter Therm - Usage'!H21</f>
        <v>18915</v>
      </c>
      <c r="I15" s="643">
        <f>'Winter Therm - Usage'!I21</f>
        <v>-37731</v>
      </c>
      <c r="J15" s="643">
        <f>'Winter Therm - Usage'!J21</f>
        <v>1020</v>
      </c>
      <c r="K15" s="643">
        <f>'Winter Therm - Usage'!K21</f>
        <v>23175</v>
      </c>
      <c r="L15" s="643">
        <f>'Winter Therm - Usage'!L21</f>
        <v>-24195</v>
      </c>
      <c r="M15" s="643">
        <f>'Winter Therm - Usage'!M21</f>
        <v>0</v>
      </c>
      <c r="N15" s="643">
        <f>'Winter Therm - Usage'!N21</f>
        <v>0</v>
      </c>
      <c r="O15" s="643">
        <f>'Winter Therm - Usage'!O21</f>
        <v>-4663</v>
      </c>
      <c r="P15" s="643">
        <f>'Winter Therm - Usage'!P21</f>
        <v>12519</v>
      </c>
      <c r="R15" s="646">
        <f t="shared" si="5"/>
        <v>-18816</v>
      </c>
      <c r="S15" s="646">
        <f t="shared" si="6"/>
        <v>-3763.2</v>
      </c>
      <c r="T15" s="646">
        <f t="shared" si="7"/>
        <v>14776</v>
      </c>
      <c r="U15" s="646">
        <f t="shared" si="8"/>
        <v>3694</v>
      </c>
      <c r="V15" s="646">
        <v>0</v>
      </c>
    </row>
    <row r="16" spans="1:22">
      <c r="A16" s="642" t="s">
        <v>1236</v>
      </c>
      <c r="B16" s="642"/>
      <c r="C16" s="642"/>
      <c r="D16" s="642">
        <f t="shared" ref="D16:P16" si="10">SUM(D12:D15)</f>
        <v>-65873</v>
      </c>
      <c r="E16" s="642">
        <f t="shared" si="10"/>
        <v>-84414</v>
      </c>
      <c r="F16" s="642">
        <f t="shared" si="10"/>
        <v>-84769</v>
      </c>
      <c r="G16" s="642">
        <f t="shared" si="10"/>
        <v>-88559</v>
      </c>
      <c r="H16" s="642">
        <f t="shared" si="10"/>
        <v>18915</v>
      </c>
      <c r="I16" s="642">
        <f t="shared" si="10"/>
        <v>-37731</v>
      </c>
      <c r="J16" s="642">
        <f t="shared" si="10"/>
        <v>1020</v>
      </c>
      <c r="K16" s="642">
        <f t="shared" si="10"/>
        <v>23175</v>
      </c>
      <c r="L16" s="642">
        <f t="shared" si="10"/>
        <v>-24195</v>
      </c>
      <c r="M16" s="642">
        <f t="shared" si="10"/>
        <v>0</v>
      </c>
      <c r="N16" s="642">
        <f t="shared" si="10"/>
        <v>0</v>
      </c>
      <c r="O16" s="642">
        <f t="shared" si="10"/>
        <v>-4663</v>
      </c>
      <c r="P16" s="642">
        <f t="shared" si="10"/>
        <v>-347094</v>
      </c>
      <c r="R16" s="645">
        <f>SUM(R12:R15)</f>
        <v>-18816</v>
      </c>
      <c r="S16" s="645">
        <f t="shared" ref="S16:V16" si="11">SUM(S12:S15)</f>
        <v>-3763.2</v>
      </c>
      <c r="T16" s="645">
        <f t="shared" si="11"/>
        <v>-239719</v>
      </c>
      <c r="U16" s="645">
        <f t="shared" si="11"/>
        <v>-59929.75</v>
      </c>
      <c r="V16" s="645">
        <f t="shared" si="11"/>
        <v>63623.75</v>
      </c>
    </row>
    <row r="17" spans="1:22">
      <c r="A17" s="642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R17" s="645"/>
      <c r="S17" s="645"/>
      <c r="T17" s="645"/>
      <c r="U17" s="645"/>
      <c r="V17" s="645"/>
    </row>
    <row r="18" spans="1:22">
      <c r="A18" s="642" t="s">
        <v>1237</v>
      </c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R18" s="645"/>
      <c r="S18" s="645"/>
      <c r="T18" s="645"/>
      <c r="U18" s="645"/>
      <c r="V18" s="645"/>
    </row>
    <row r="19" spans="1:22">
      <c r="A19" s="642"/>
      <c r="B19" s="642" t="s">
        <v>1224</v>
      </c>
      <c r="C19" s="642"/>
      <c r="D19" s="642">
        <f>'Winter Therm - Usage'!D26</f>
        <v>-499606</v>
      </c>
      <c r="E19" s="642">
        <f>'Winter Therm - Usage'!E26</f>
        <v>-77584</v>
      </c>
      <c r="F19" s="642">
        <f>'Winter Therm - Usage'!F26</f>
        <v>394408</v>
      </c>
      <c r="G19" s="642">
        <f>'Winter Therm - Usage'!G26</f>
        <v>2530096</v>
      </c>
      <c r="H19" s="642">
        <f>'Winter Therm - Usage'!H26</f>
        <v>8615078</v>
      </c>
      <c r="I19" s="642">
        <f>'Winter Therm - Usage'!I26</f>
        <v>1662373</v>
      </c>
      <c r="J19" s="642">
        <f>'Winter Therm - Usage'!J26</f>
        <v>-2694989</v>
      </c>
      <c r="K19" s="642">
        <f>'Winter Therm - Usage'!K26</f>
        <v>409695</v>
      </c>
      <c r="L19" s="642">
        <f>'Winter Therm - Usage'!L26</f>
        <v>-4793017</v>
      </c>
      <c r="M19" s="642">
        <f>'Winter Therm - Usage'!M26</f>
        <v>-2312814</v>
      </c>
      <c r="N19" s="642">
        <f>'Winter Therm - Usage'!N26</f>
        <v>-3403893</v>
      </c>
      <c r="O19" s="642">
        <f>'Winter Therm - Usage'!O26</f>
        <v>-310423</v>
      </c>
      <c r="P19" s="642">
        <f>'Winter Therm - Usage'!P26</f>
        <v>-480676</v>
      </c>
      <c r="R19" s="645">
        <f>SUM(H19:L19)</f>
        <v>3199140</v>
      </c>
      <c r="S19" s="645">
        <f>AVERAGE(H19:L19)</f>
        <v>639828</v>
      </c>
      <c r="T19" s="645">
        <f>SUM(D19:F19,O19)</f>
        <v>-493205</v>
      </c>
      <c r="U19" s="645">
        <f>AVERAGE(D19:F19,O19)</f>
        <v>-123301.25</v>
      </c>
      <c r="V19" s="645">
        <f>S19-U19</f>
        <v>763129.25</v>
      </c>
    </row>
    <row r="20" spans="1:22">
      <c r="A20" s="642"/>
      <c r="B20" s="642" t="s">
        <v>1225</v>
      </c>
      <c r="C20" s="642"/>
      <c r="D20" s="642">
        <f>'Winter Therm - Usage'!D27</f>
        <v>-130024</v>
      </c>
      <c r="E20" s="642">
        <f>'Winter Therm - Usage'!E27</f>
        <v>21293</v>
      </c>
      <c r="F20" s="642">
        <f>'Winter Therm - Usage'!F27</f>
        <v>321674</v>
      </c>
      <c r="G20" s="642">
        <f>'Winter Therm - Usage'!G27</f>
        <v>1768589</v>
      </c>
      <c r="H20" s="642">
        <f>'Winter Therm - Usage'!H27</f>
        <v>2660335</v>
      </c>
      <c r="I20" s="642">
        <f>'Winter Therm - Usage'!I27</f>
        <v>40885</v>
      </c>
      <c r="J20" s="642">
        <f>'Winter Therm - Usage'!J27</f>
        <v>-937438</v>
      </c>
      <c r="K20" s="642">
        <f>'Winter Therm - Usage'!K27</f>
        <v>-18152</v>
      </c>
      <c r="L20" s="642">
        <f>'Winter Therm - Usage'!L27</f>
        <v>-1601914</v>
      </c>
      <c r="M20" s="642">
        <f>'Winter Therm - Usage'!M27</f>
        <v>-926467</v>
      </c>
      <c r="N20" s="642">
        <f>'Winter Therm - Usage'!N27</f>
        <v>-1292391</v>
      </c>
      <c r="O20" s="642">
        <f>'Winter Therm - Usage'!O27</f>
        <v>31135</v>
      </c>
      <c r="P20" s="642">
        <f>'Winter Therm - Usage'!P27</f>
        <v>-62475</v>
      </c>
      <c r="R20" s="645">
        <f t="shared" ref="R20:R22" si="12">SUM(H20:L20)</f>
        <v>143716</v>
      </c>
      <c r="S20" s="645">
        <f t="shared" ref="S20:S22" si="13">AVERAGE(H20:L20)</f>
        <v>28743.200000000001</v>
      </c>
      <c r="T20" s="645">
        <f t="shared" ref="T20:T22" si="14">SUM(D20:F20,O20)</f>
        <v>244078</v>
      </c>
      <c r="U20" s="645">
        <f t="shared" ref="U20:U22" si="15">AVERAGE(D20:F20,O20)</f>
        <v>61019.5</v>
      </c>
      <c r="V20" s="645">
        <f t="shared" ref="V20:V21" si="16">S20-U20</f>
        <v>-32276.3</v>
      </c>
    </row>
    <row r="21" spans="1:22">
      <c r="A21" s="642"/>
      <c r="B21" s="642" t="s">
        <v>1226</v>
      </c>
      <c r="C21" s="642"/>
      <c r="D21" s="642">
        <f>'Winter Therm - Usage'!D28</f>
        <v>0</v>
      </c>
      <c r="E21" s="642">
        <f>'Winter Therm - Usage'!E28</f>
        <v>0</v>
      </c>
      <c r="F21" s="642">
        <f>'Winter Therm - Usage'!F28</f>
        <v>0</v>
      </c>
      <c r="G21" s="642">
        <f>'Winter Therm - Usage'!G28</f>
        <v>0</v>
      </c>
      <c r="H21" s="642">
        <f>'Winter Therm - Usage'!H28</f>
        <v>0</v>
      </c>
      <c r="I21" s="642">
        <f>'Winter Therm - Usage'!I28</f>
        <v>0</v>
      </c>
      <c r="J21" s="642">
        <f>'Winter Therm - Usage'!J28</f>
        <v>0</v>
      </c>
      <c r="K21" s="642">
        <f>'Winter Therm - Usage'!K28</f>
        <v>0</v>
      </c>
      <c r="L21" s="642">
        <f>'Winter Therm - Usage'!L28</f>
        <v>0</v>
      </c>
      <c r="M21" s="642">
        <f>'Winter Therm - Usage'!M28</f>
        <v>0</v>
      </c>
      <c r="N21" s="642">
        <f>'Winter Therm - Usage'!N28</f>
        <v>0</v>
      </c>
      <c r="O21" s="642">
        <f>'Winter Therm - Usage'!O28</f>
        <v>0</v>
      </c>
      <c r="P21" s="642">
        <f>'Winter Therm - Usage'!P28</f>
        <v>0</v>
      </c>
      <c r="R21" s="645">
        <f t="shared" si="12"/>
        <v>0</v>
      </c>
      <c r="S21" s="645">
        <f t="shared" si="13"/>
        <v>0</v>
      </c>
      <c r="T21" s="645">
        <f t="shared" si="14"/>
        <v>0</v>
      </c>
      <c r="U21" s="645">
        <f t="shared" si="15"/>
        <v>0</v>
      </c>
      <c r="V21" s="645">
        <f t="shared" si="16"/>
        <v>0</v>
      </c>
    </row>
    <row r="22" spans="1:22">
      <c r="A22" s="642"/>
      <c r="B22" s="642" t="s">
        <v>1227</v>
      </c>
      <c r="C22" s="642"/>
      <c r="D22" s="643">
        <f>'Winter Therm - Usage'!D29</f>
        <v>-301907</v>
      </c>
      <c r="E22" s="643">
        <f>'Winter Therm - Usage'!E29</f>
        <v>-21881</v>
      </c>
      <c r="F22" s="643">
        <f>'Winter Therm - Usage'!F29</f>
        <v>71486</v>
      </c>
      <c r="G22" s="643">
        <f>'Winter Therm - Usage'!G29</f>
        <v>263013</v>
      </c>
      <c r="H22" s="643">
        <f>'Winter Therm - Usage'!H29</f>
        <v>1090495</v>
      </c>
      <c r="I22" s="643">
        <f>'Winter Therm - Usage'!I29</f>
        <v>50519</v>
      </c>
      <c r="J22" s="643">
        <f>'Winter Therm - Usage'!J29</f>
        <v>-64624</v>
      </c>
      <c r="K22" s="643">
        <f>'Winter Therm - Usage'!K29</f>
        <v>-251654</v>
      </c>
      <c r="L22" s="643">
        <f>'Winter Therm - Usage'!L29</f>
        <v>-81306</v>
      </c>
      <c r="M22" s="643">
        <f>'Winter Therm - Usage'!M29</f>
        <v>-473405</v>
      </c>
      <c r="N22" s="643">
        <f>'Winter Therm - Usage'!N29</f>
        <v>-473504</v>
      </c>
      <c r="O22" s="643">
        <f>'Winter Therm - Usage'!O29</f>
        <v>-226376</v>
      </c>
      <c r="P22" s="643">
        <f>'Winter Therm - Usage'!P29</f>
        <v>-419144</v>
      </c>
      <c r="R22" s="646">
        <f t="shared" si="12"/>
        <v>743430</v>
      </c>
      <c r="S22" s="646">
        <f t="shared" si="13"/>
        <v>148686</v>
      </c>
      <c r="T22" s="646">
        <f t="shared" si="14"/>
        <v>-478678</v>
      </c>
      <c r="U22" s="646">
        <f t="shared" si="15"/>
        <v>-119669.5</v>
      </c>
      <c r="V22" s="646">
        <v>0</v>
      </c>
    </row>
    <row r="23" spans="1:22">
      <c r="A23" s="642" t="s">
        <v>1237</v>
      </c>
      <c r="B23" s="642"/>
      <c r="C23" s="642"/>
      <c r="D23" s="642">
        <f t="shared" ref="D23:P23" si="17">SUM(D19:D22)</f>
        <v>-931537</v>
      </c>
      <c r="E23" s="642">
        <f t="shared" si="17"/>
        <v>-78172</v>
      </c>
      <c r="F23" s="642">
        <f t="shared" si="17"/>
        <v>787568</v>
      </c>
      <c r="G23" s="642">
        <f t="shared" si="17"/>
        <v>4561698</v>
      </c>
      <c r="H23" s="642">
        <f t="shared" si="17"/>
        <v>12365908</v>
      </c>
      <c r="I23" s="642">
        <f t="shared" si="17"/>
        <v>1753777</v>
      </c>
      <c r="J23" s="642">
        <f t="shared" si="17"/>
        <v>-3697051</v>
      </c>
      <c r="K23" s="642">
        <f t="shared" si="17"/>
        <v>139889</v>
      </c>
      <c r="L23" s="642">
        <f t="shared" si="17"/>
        <v>-6476237</v>
      </c>
      <c r="M23" s="642">
        <f t="shared" si="17"/>
        <v>-3712686</v>
      </c>
      <c r="N23" s="642">
        <f t="shared" si="17"/>
        <v>-5169788</v>
      </c>
      <c r="O23" s="642">
        <f t="shared" si="17"/>
        <v>-505664</v>
      </c>
      <c r="P23" s="642">
        <f t="shared" si="17"/>
        <v>-962295</v>
      </c>
      <c r="R23" s="645">
        <f>SUM(R19:R22)</f>
        <v>4086286</v>
      </c>
      <c r="S23" s="645">
        <f>SUM(S19:S22)</f>
        <v>817257.2</v>
      </c>
      <c r="T23" s="645">
        <f>SUM(T19:T22)</f>
        <v>-727805</v>
      </c>
      <c r="U23" s="645">
        <f>SUM(U19:U22)</f>
        <v>-181951.25</v>
      </c>
      <c r="V23" s="645">
        <f>SUM(V19:V22)</f>
        <v>730852.95</v>
      </c>
    </row>
    <row r="24" spans="1:22">
      <c r="A24" s="642"/>
      <c r="B24" s="642"/>
      <c r="C24" s="642"/>
      <c r="D24" s="642"/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R24" s="645"/>
      <c r="S24" s="645"/>
      <c r="T24" s="645"/>
      <c r="U24" s="645"/>
      <c r="V24" s="645"/>
    </row>
    <row r="25" spans="1:22">
      <c r="A25" s="642" t="s">
        <v>1238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R25" s="645"/>
      <c r="S25" s="645"/>
      <c r="T25" s="645"/>
      <c r="U25" s="645"/>
      <c r="V25" s="645"/>
    </row>
    <row r="26" spans="1:22">
      <c r="A26" s="642"/>
      <c r="B26" s="642" t="s">
        <v>1224</v>
      </c>
      <c r="C26" s="642"/>
      <c r="D26" s="642">
        <f>'Winter Therm - Usage'!D34</f>
        <v>110461.79056138241</v>
      </c>
      <c r="E26" s="642">
        <f>'Winter Therm - Usage'!E34</f>
        <v>224059.21521861845</v>
      </c>
      <c r="F26" s="642">
        <f>'Winter Therm - Usage'!F34</f>
        <v>1283059.7837096089</v>
      </c>
      <c r="G26" s="642">
        <f>'Winter Therm - Usage'!G34</f>
        <v>3270598.980974765</v>
      </c>
      <c r="H26" s="642">
        <f>'Winter Therm - Usage'!H34</f>
        <v>-4357812.3051981917</v>
      </c>
      <c r="I26" s="642">
        <f>'Winter Therm - Usage'!I34</f>
        <v>-3121155.6605032519</v>
      </c>
      <c r="J26" s="642">
        <f>'Winter Therm - Usage'!J34</f>
        <v>909514.80857899517</v>
      </c>
      <c r="K26" s="642">
        <f>'Winter Therm - Usage'!K34</f>
        <v>34211.219874539631</v>
      </c>
      <c r="L26" s="642">
        <f>'Winter Therm - Usage'!L34</f>
        <v>-1541263.0024621235</v>
      </c>
      <c r="M26" s="642">
        <f>'Winter Therm - Usage'!M34</f>
        <v>-272311.10661162407</v>
      </c>
      <c r="N26" s="642">
        <f>'Winter Therm - Usage'!N34</f>
        <v>2606107.9500851412</v>
      </c>
      <c r="O26" s="642">
        <f>'Winter Therm - Usage'!O34</f>
        <v>898663.51403228845</v>
      </c>
      <c r="P26" s="642">
        <f>'Winter Therm - Usage'!P34</f>
        <v>44135.188260147814</v>
      </c>
      <c r="R26" s="645">
        <f>SUM(H26:L26)</f>
        <v>-8076504.9397100331</v>
      </c>
      <c r="S26" s="645">
        <f>AVERAGE(H26:L26)</f>
        <v>-1615300.9879420067</v>
      </c>
      <c r="T26" s="645">
        <f>SUM(D26:F26,O26)</f>
        <v>2516244.3035218986</v>
      </c>
      <c r="U26" s="645">
        <f>AVERAGE(D26:F26,O26)</f>
        <v>629061.07588047464</v>
      </c>
      <c r="V26" s="645">
        <f>S26-U26</f>
        <v>-2244362.0638224813</v>
      </c>
    </row>
    <row r="27" spans="1:22">
      <c r="A27" s="642"/>
      <c r="B27" s="642" t="s">
        <v>1225</v>
      </c>
      <c r="C27" s="642"/>
      <c r="D27" s="642">
        <f>'Winter Therm - Usage'!D35</f>
        <v>41771.347090371724</v>
      </c>
      <c r="E27" s="642">
        <f>'Winter Therm - Usage'!E35</f>
        <v>85546.910385503084</v>
      </c>
      <c r="F27" s="642">
        <f>'Winter Therm - Usage'!F35</f>
        <v>485363.54328664078</v>
      </c>
      <c r="G27" s="642">
        <f>'Winter Therm - Usage'!G35</f>
        <v>1207064.7488657867</v>
      </c>
      <c r="H27" s="642">
        <f>'Winter Therm - Usage'!H35</f>
        <v>-1572297.5306826578</v>
      </c>
      <c r="I27" s="642">
        <f>'Winter Therm - Usage'!I35</f>
        <v>-1148473.5537471878</v>
      </c>
      <c r="J27" s="642">
        <f>'Winter Therm - Usage'!J35</f>
        <v>346219.28398181841</v>
      </c>
      <c r="K27" s="642">
        <f>'Winter Therm - Usage'!K35</f>
        <v>12717.642537801546</v>
      </c>
      <c r="L27" s="642">
        <f>'Winter Therm - Usage'!L35</f>
        <v>-587973.58321161661</v>
      </c>
      <c r="M27" s="642">
        <f>'Winter Therm - Usage'!M35</f>
        <v>-108552.52819926146</v>
      </c>
      <c r="N27" s="642">
        <f>'Winter Therm - Usage'!N35</f>
        <v>998929.97210398538</v>
      </c>
      <c r="O27" s="642">
        <f>'Winter Therm - Usage'!O35</f>
        <v>358922.49707086378</v>
      </c>
      <c r="P27" s="642">
        <f>'Winter Therm - Usage'!P35</f>
        <v>119238.74948204728</v>
      </c>
      <c r="R27" s="645">
        <f t="shared" ref="R27:R29" si="18">SUM(H27:L27)</f>
        <v>-2949807.7411218425</v>
      </c>
      <c r="S27" s="645">
        <f t="shared" ref="S27:S29" si="19">AVERAGE(H27:L27)</f>
        <v>-589961.54822436848</v>
      </c>
      <c r="T27" s="645">
        <f t="shared" ref="T27:T29" si="20">SUM(D27:F27,O27)</f>
        <v>971604.29783337936</v>
      </c>
      <c r="U27" s="645">
        <f t="shared" ref="U27:U29" si="21">AVERAGE(D27:F27,O27)</f>
        <v>242901.07445834484</v>
      </c>
      <c r="V27" s="645">
        <f t="shared" ref="V27:V29" si="22">S27-U27</f>
        <v>-832862.62268271332</v>
      </c>
    </row>
    <row r="28" spans="1:22">
      <c r="A28" s="642"/>
      <c r="B28" s="642" t="s">
        <v>1226</v>
      </c>
      <c r="C28" s="642"/>
      <c r="D28" s="642">
        <f>'Winter Therm - Usage'!D36</f>
        <v>0</v>
      </c>
      <c r="E28" s="642">
        <f>'Winter Therm - Usage'!E36</f>
        <v>0</v>
      </c>
      <c r="F28" s="642">
        <f>'Winter Therm - Usage'!F36</f>
        <v>0</v>
      </c>
      <c r="G28" s="642">
        <f>'Winter Therm - Usage'!G36</f>
        <v>0</v>
      </c>
      <c r="H28" s="642">
        <f>'Winter Therm - Usage'!H36</f>
        <v>0</v>
      </c>
      <c r="I28" s="642">
        <f>'Winter Therm - Usage'!I36</f>
        <v>0</v>
      </c>
      <c r="J28" s="642">
        <f>'Winter Therm - Usage'!J36</f>
        <v>0</v>
      </c>
      <c r="K28" s="642">
        <f>'Winter Therm - Usage'!K36</f>
        <v>0</v>
      </c>
      <c r="L28" s="642">
        <f>'Winter Therm - Usage'!L36</f>
        <v>0</v>
      </c>
      <c r="M28" s="642">
        <f>'Winter Therm - Usage'!M36</f>
        <v>0</v>
      </c>
      <c r="N28" s="642">
        <f>'Winter Therm - Usage'!N36</f>
        <v>0</v>
      </c>
      <c r="O28" s="642">
        <f>'Winter Therm - Usage'!O36</f>
        <v>0</v>
      </c>
      <c r="P28" s="642">
        <f>'Winter Therm - Usage'!P36</f>
        <v>0</v>
      </c>
      <c r="R28" s="645">
        <f t="shared" si="18"/>
        <v>0</v>
      </c>
      <c r="S28" s="645">
        <f t="shared" si="19"/>
        <v>0</v>
      </c>
      <c r="T28" s="645">
        <f t="shared" si="20"/>
        <v>0</v>
      </c>
      <c r="U28" s="645">
        <f t="shared" si="21"/>
        <v>0</v>
      </c>
      <c r="V28" s="645">
        <f t="shared" si="22"/>
        <v>0</v>
      </c>
    </row>
    <row r="29" spans="1:22">
      <c r="A29" s="642"/>
      <c r="B29" s="642" t="s">
        <v>1227</v>
      </c>
      <c r="C29" s="642"/>
      <c r="D29" s="643">
        <f>'Winter Therm - Usage'!D37</f>
        <v>0</v>
      </c>
      <c r="E29" s="643">
        <f>'Winter Therm - Usage'!E37</f>
        <v>0</v>
      </c>
      <c r="F29" s="643">
        <f>'Winter Therm - Usage'!F37</f>
        <v>0</v>
      </c>
      <c r="G29" s="643">
        <f>'Winter Therm - Usage'!G37</f>
        <v>0</v>
      </c>
      <c r="H29" s="643">
        <f>'Winter Therm - Usage'!H37</f>
        <v>0</v>
      </c>
      <c r="I29" s="643">
        <f>'Winter Therm - Usage'!I37</f>
        <v>0</v>
      </c>
      <c r="J29" s="643">
        <f>'Winter Therm - Usage'!J37</f>
        <v>0</v>
      </c>
      <c r="K29" s="643">
        <f>'Winter Therm - Usage'!K37</f>
        <v>0</v>
      </c>
      <c r="L29" s="643">
        <f>'Winter Therm - Usage'!L37</f>
        <v>0</v>
      </c>
      <c r="M29" s="643">
        <f>'Winter Therm - Usage'!M37</f>
        <v>0</v>
      </c>
      <c r="N29" s="643">
        <f>'Winter Therm - Usage'!N37</f>
        <v>0</v>
      </c>
      <c r="O29" s="643">
        <f>'Winter Therm - Usage'!O37</f>
        <v>0</v>
      </c>
      <c r="P29" s="643">
        <f>'Winter Therm - Usage'!P37</f>
        <v>0</v>
      </c>
      <c r="R29" s="646">
        <f t="shared" si="18"/>
        <v>0</v>
      </c>
      <c r="S29" s="646">
        <f t="shared" si="19"/>
        <v>0</v>
      </c>
      <c r="T29" s="646">
        <f t="shared" si="20"/>
        <v>0</v>
      </c>
      <c r="U29" s="646">
        <f t="shared" si="21"/>
        <v>0</v>
      </c>
      <c r="V29" s="646">
        <f t="shared" si="22"/>
        <v>0</v>
      </c>
    </row>
    <row r="30" spans="1:22">
      <c r="A30" s="642" t="s">
        <v>1239</v>
      </c>
      <c r="B30" s="642"/>
      <c r="C30" s="642"/>
      <c r="D30" s="642">
        <f t="shared" ref="D30:P30" si="23">SUM(D26:D29)</f>
        <v>152233.13765175414</v>
      </c>
      <c r="E30" s="642">
        <f t="shared" si="23"/>
        <v>309606.12560412154</v>
      </c>
      <c r="F30" s="642">
        <f t="shared" si="23"/>
        <v>1768423.3269962496</v>
      </c>
      <c r="G30" s="642">
        <f t="shared" si="23"/>
        <v>4477663.7298405515</v>
      </c>
      <c r="H30" s="642">
        <f t="shared" si="23"/>
        <v>-5930109.8358808495</v>
      </c>
      <c r="I30" s="642">
        <f t="shared" si="23"/>
        <v>-4269629.2142504398</v>
      </c>
      <c r="J30" s="642">
        <f t="shared" si="23"/>
        <v>1255734.0925608135</v>
      </c>
      <c r="K30" s="642">
        <f t="shared" si="23"/>
        <v>46928.862412341179</v>
      </c>
      <c r="L30" s="642">
        <f t="shared" si="23"/>
        <v>-2129236.5856737401</v>
      </c>
      <c r="M30" s="642">
        <f t="shared" si="23"/>
        <v>-380863.63481088553</v>
      </c>
      <c r="N30" s="642">
        <f t="shared" si="23"/>
        <v>3605037.9221891267</v>
      </c>
      <c r="O30" s="642">
        <f t="shared" si="23"/>
        <v>1257586.0111031523</v>
      </c>
      <c r="P30" s="642">
        <f t="shared" si="23"/>
        <v>163373.93774219509</v>
      </c>
      <c r="R30" s="645">
        <f>SUM(R26:R29)</f>
        <v>-11026312.680831876</v>
      </c>
      <c r="S30" s="645">
        <f>SUM(S26:S29)</f>
        <v>-2205262.536166375</v>
      </c>
      <c r="T30" s="645">
        <f>SUM(T26:T29)</f>
        <v>3487848.6013552779</v>
      </c>
      <c r="U30" s="645">
        <f>SUM(U26:U29)</f>
        <v>871962.15033881948</v>
      </c>
      <c r="V30" s="645">
        <f>SUM(V26:V29)</f>
        <v>-3077224.6865051948</v>
      </c>
    </row>
    <row r="31" spans="1:22">
      <c r="A31" s="642"/>
      <c r="B31" s="642"/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R31" s="645"/>
      <c r="S31" s="645"/>
      <c r="T31" s="645"/>
      <c r="U31" s="645"/>
      <c r="V31" s="645"/>
    </row>
    <row r="32" spans="1:22">
      <c r="A32" s="642" t="s">
        <v>1240</v>
      </c>
      <c r="B32" s="642"/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R32" s="645"/>
      <c r="S32" s="645"/>
      <c r="T32" s="645"/>
      <c r="U32" s="645"/>
      <c r="V32" s="645"/>
    </row>
    <row r="33" spans="1:22">
      <c r="A33" s="642"/>
      <c r="B33" s="642" t="s">
        <v>1224</v>
      </c>
      <c r="C33" s="642"/>
      <c r="D33" s="642">
        <f>'Winter Therm - Usage'!D42</f>
        <v>2340355.6297113821</v>
      </c>
      <c r="E33" s="642">
        <f>'Winter Therm - Usage'!E42</f>
        <v>2214757.0357486182</v>
      </c>
      <c r="F33" s="642">
        <f>'Winter Therm - Usage'!F42</f>
        <v>3896096.0976596093</v>
      </c>
      <c r="G33" s="642">
        <f>'Winter Therm - Usage'!G42</f>
        <v>8976904.2363447659</v>
      </c>
      <c r="H33" s="642">
        <f>'Winter Therm - Usage'!H42</f>
        <v>16830614.331021808</v>
      </c>
      <c r="I33" s="642">
        <f>'Winter Therm - Usage'!I42</f>
        <v>23523554.834066749</v>
      </c>
      <c r="J33" s="642">
        <f>'Winter Therm - Usage'!J42</f>
        <v>23511399.810648996</v>
      </c>
      <c r="K33" s="642">
        <f>'Winter Therm - Usage'!K42</f>
        <v>20023562.64749454</v>
      </c>
      <c r="L33" s="642">
        <f>'Winter Therm - Usage'!L42</f>
        <v>14978184.650657877</v>
      </c>
      <c r="M33" s="642">
        <f>'Winter Therm - Usage'!M42</f>
        <v>10592623.445508376</v>
      </c>
      <c r="N33" s="642">
        <f>'Winter Therm - Usage'!N42</f>
        <v>5953607.5818951409</v>
      </c>
      <c r="O33" s="642">
        <f>'Winter Therm - Usage'!O42</f>
        <v>3265071.7451822883</v>
      </c>
      <c r="P33" s="642">
        <f>'Winter Therm - Usage'!P42</f>
        <v>136106732.04594013</v>
      </c>
      <c r="R33" s="645">
        <f>SUM(H33:L33)</f>
        <v>98867316.273889974</v>
      </c>
      <c r="S33" s="645">
        <f>AVERAGE(H33:L33)</f>
        <v>19773463.254777994</v>
      </c>
      <c r="T33" s="645">
        <f>SUM(D33:F33,O33)</f>
        <v>11716280.508301897</v>
      </c>
      <c r="U33" s="645">
        <f>AVERAGE(D33:F33,O33)</f>
        <v>2929070.1270754742</v>
      </c>
      <c r="V33" s="645">
        <f>S33-U33</f>
        <v>16844393.127702519</v>
      </c>
    </row>
    <row r="34" spans="1:22">
      <c r="A34" s="642"/>
      <c r="B34" s="642" t="s">
        <v>1225</v>
      </c>
      <c r="C34" s="642"/>
      <c r="D34" s="642">
        <f>'Winter Therm - Usage'!D43</f>
        <v>2038069.8038303715</v>
      </c>
      <c r="E34" s="642">
        <f>'Winter Therm - Usage'!E43</f>
        <v>1926218.0328355031</v>
      </c>
      <c r="F34" s="642">
        <f>'Winter Therm - Usage'!F43</f>
        <v>2760858.6719666407</v>
      </c>
      <c r="G34" s="642">
        <f>'Winter Therm - Usage'!G43</f>
        <v>5590840.0062857866</v>
      </c>
      <c r="H34" s="642">
        <f>'Winter Therm - Usage'!H43</f>
        <v>7249930.8499773433</v>
      </c>
      <c r="I34" s="642">
        <f>'Winter Therm - Usage'!I43</f>
        <v>9438349.2188328113</v>
      </c>
      <c r="J34" s="642">
        <f>'Winter Therm - Usage'!J43</f>
        <v>10244815.54235182</v>
      </c>
      <c r="K34" s="642">
        <f>'Winter Therm - Usage'!K43</f>
        <v>8154864.525177802</v>
      </c>
      <c r="L34" s="642">
        <f>'Winter Therm - Usage'!L43</f>
        <v>7324124.734678383</v>
      </c>
      <c r="M34" s="642">
        <f>'Winter Therm - Usage'!M43</f>
        <v>5007577.8453507386</v>
      </c>
      <c r="N34" s="642">
        <f>'Winter Therm - Usage'!N43</f>
        <v>3606803.5447539855</v>
      </c>
      <c r="O34" s="642">
        <f>'Winter Therm - Usage'!O43</f>
        <v>2562967.7493908638</v>
      </c>
      <c r="P34" s="642">
        <f>'Winter Therm - Usage'!P43</f>
        <v>65905420.525432058</v>
      </c>
      <c r="R34" s="645">
        <f t="shared" ref="R34:R36" si="24">SUM(H34:L34)</f>
        <v>42412084.871018156</v>
      </c>
      <c r="S34" s="645">
        <f t="shared" ref="S34:S36" si="25">AVERAGE(H34:L34)</f>
        <v>8482416.9742036313</v>
      </c>
      <c r="T34" s="645">
        <f t="shared" ref="T34:T36" si="26">SUM(D34:F34,O34)</f>
        <v>9288114.2580233775</v>
      </c>
      <c r="U34" s="645">
        <f t="shared" ref="U34:U36" si="27">AVERAGE(D34:F34,O34)</f>
        <v>2322028.5645058444</v>
      </c>
      <c r="V34" s="645">
        <f t="shared" ref="V34:V35" si="28">S34-U34</f>
        <v>6160388.4096977869</v>
      </c>
    </row>
    <row r="35" spans="1:22">
      <c r="A35" s="642"/>
      <c r="B35" s="642" t="s">
        <v>1226</v>
      </c>
      <c r="C35" s="642"/>
      <c r="D35" s="642">
        <f>'Winter Therm - Usage'!D44</f>
        <v>127876.04000000001</v>
      </c>
      <c r="E35" s="642">
        <f>'Winter Therm - Usage'!E44</f>
        <v>123906.73000000001</v>
      </c>
      <c r="F35" s="642">
        <f>'Winter Therm - Usage'!F44</f>
        <v>129149.652</v>
      </c>
      <c r="G35" s="642">
        <f>'Winter Therm - Usage'!G44</f>
        <v>155902.09100000001</v>
      </c>
      <c r="H35" s="642">
        <f>'Winter Therm - Usage'!H44</f>
        <v>163544.92800000001</v>
      </c>
      <c r="I35" s="642">
        <f>'Winter Therm - Usage'!I44</f>
        <v>253047.31400000001</v>
      </c>
      <c r="J35" s="642">
        <f>'Winter Therm - Usage'!J44</f>
        <v>472432.00400000002</v>
      </c>
      <c r="K35" s="642">
        <f>'Winter Therm - Usage'!K44</f>
        <v>229126.19899999999</v>
      </c>
      <c r="L35" s="642">
        <f>'Winter Therm - Usage'!L44</f>
        <v>349483.20600000001</v>
      </c>
      <c r="M35" s="642">
        <f>'Winter Therm - Usage'!M44</f>
        <v>243960.85699999999</v>
      </c>
      <c r="N35" s="642">
        <f>'Winter Therm - Usage'!N44</f>
        <v>192768.14300000001</v>
      </c>
      <c r="O35" s="642">
        <f>'Winter Therm - Usage'!O44</f>
        <v>149591.60800000001</v>
      </c>
      <c r="P35" s="642">
        <f>'Winter Therm - Usage'!P44</f>
        <v>2590788.7719999999</v>
      </c>
      <c r="R35" s="645">
        <f t="shared" si="24"/>
        <v>1467633.6510000001</v>
      </c>
      <c r="S35" s="645">
        <f t="shared" si="25"/>
        <v>293526.73019999999</v>
      </c>
      <c r="T35" s="645">
        <f t="shared" si="26"/>
        <v>530524.03</v>
      </c>
      <c r="U35" s="645">
        <f t="shared" si="27"/>
        <v>132631.00750000001</v>
      </c>
      <c r="V35" s="645">
        <f t="shared" si="28"/>
        <v>160895.72269999998</v>
      </c>
    </row>
    <row r="36" spans="1:22">
      <c r="A36" s="642"/>
      <c r="B36" s="642" t="s">
        <v>1227</v>
      </c>
      <c r="C36" s="642"/>
      <c r="D36" s="643">
        <f>'Winter Therm - Usage'!D45</f>
        <v>2026835</v>
      </c>
      <c r="E36" s="643">
        <f>'Winter Therm - Usage'!E45</f>
        <v>2005942</v>
      </c>
      <c r="F36" s="643">
        <f>'Winter Therm - Usage'!F45</f>
        <v>2062854</v>
      </c>
      <c r="G36" s="643">
        <f>'Winter Therm - Usage'!G45</f>
        <v>2247733</v>
      </c>
      <c r="H36" s="643">
        <f>'Winter Therm - Usage'!H45</f>
        <v>3174867</v>
      </c>
      <c r="I36" s="643">
        <f>'Winter Therm - Usage'!I45</f>
        <v>3118741</v>
      </c>
      <c r="J36" s="643">
        <f>'Winter Therm - Usage'!J45</f>
        <v>3148328</v>
      </c>
      <c r="K36" s="643">
        <f>'Winter Therm - Usage'!K45</f>
        <v>2940825</v>
      </c>
      <c r="L36" s="643">
        <f>'Winter Therm - Usage'!L45</f>
        <v>2880133</v>
      </c>
      <c r="M36" s="643">
        <f>'Winter Therm - Usage'!M45</f>
        <v>2506984</v>
      </c>
      <c r="N36" s="643">
        <f>'Winter Therm - Usage'!N45</f>
        <v>2193905</v>
      </c>
      <c r="O36" s="643">
        <f>'Winter Therm - Usage'!O45</f>
        <v>1994844</v>
      </c>
      <c r="P36" s="643">
        <f>'Winter Therm - Usage'!P45</f>
        <v>30301991</v>
      </c>
      <c r="R36" s="646">
        <f t="shared" si="24"/>
        <v>15262894</v>
      </c>
      <c r="S36" s="646">
        <f t="shared" si="25"/>
        <v>3052578.8</v>
      </c>
      <c r="T36" s="646">
        <f t="shared" si="26"/>
        <v>8090475</v>
      </c>
      <c r="U36" s="646">
        <f t="shared" si="27"/>
        <v>2022618.75</v>
      </c>
      <c r="V36" s="646">
        <v>0</v>
      </c>
    </row>
    <row r="37" spans="1:22">
      <c r="A37" s="642" t="s">
        <v>1241</v>
      </c>
      <c r="B37" s="642"/>
      <c r="C37" s="642"/>
      <c r="D37" s="642">
        <f t="shared" ref="D37:P37" si="29">SUM(D33:D36)</f>
        <v>6533136.4735417534</v>
      </c>
      <c r="E37" s="642">
        <f t="shared" si="29"/>
        <v>6270823.7985841213</v>
      </c>
      <c r="F37" s="642">
        <f t="shared" si="29"/>
        <v>8848958.4216262512</v>
      </c>
      <c r="G37" s="642">
        <f t="shared" si="29"/>
        <v>16971379.333630554</v>
      </c>
      <c r="H37" s="642">
        <f t="shared" si="29"/>
        <v>27418957.108999152</v>
      </c>
      <c r="I37" s="642">
        <f t="shared" si="29"/>
        <v>36333692.366899565</v>
      </c>
      <c r="J37" s="642">
        <f t="shared" si="29"/>
        <v>37376975.35700082</v>
      </c>
      <c r="K37" s="642">
        <f t="shared" si="29"/>
        <v>31348378.371672343</v>
      </c>
      <c r="L37" s="642">
        <f t="shared" si="29"/>
        <v>25531925.591336261</v>
      </c>
      <c r="M37" s="642">
        <f t="shared" si="29"/>
        <v>18351146.147859115</v>
      </c>
      <c r="N37" s="642">
        <f t="shared" si="29"/>
        <v>11947084.269649126</v>
      </c>
      <c r="O37" s="642">
        <f t="shared" si="29"/>
        <v>7972475.1025731517</v>
      </c>
      <c r="P37" s="642">
        <f t="shared" si="29"/>
        <v>234904932.34337217</v>
      </c>
      <c r="R37" s="645">
        <f>SUM(R33:R36)</f>
        <v>158009928.79590812</v>
      </c>
      <c r="S37" s="645">
        <f t="shared" ref="S37:V37" si="30">SUM(S33:S36)</f>
        <v>31601985.759181626</v>
      </c>
      <c r="T37" s="645">
        <f t="shared" si="30"/>
        <v>29625393.796325274</v>
      </c>
      <c r="U37" s="645">
        <f t="shared" si="30"/>
        <v>7406348.4490813185</v>
      </c>
      <c r="V37" s="645">
        <f t="shared" si="30"/>
        <v>23165677.260100305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9126-E641-44D5-8A12-FA9B6D009F40}">
  <sheetPr>
    <tabColor rgb="FF92D050"/>
  </sheetPr>
  <dimension ref="A1:P47"/>
  <sheetViews>
    <sheetView topLeftCell="A10" zoomScaleNormal="100" workbookViewId="0">
      <selection activeCell="I29" sqref="I29"/>
    </sheetView>
  </sheetViews>
  <sheetFormatPr defaultColWidth="8.7109375" defaultRowHeight="12.75"/>
  <cols>
    <col min="1" max="1" width="3.140625" style="642" customWidth="1"/>
    <col min="2" max="2" width="32" style="642" bestFit="1" customWidth="1"/>
    <col min="3" max="3" width="4.85546875" style="642" customWidth="1"/>
    <col min="4" max="15" width="15.85546875" style="642" bestFit="1" customWidth="1"/>
    <col min="16" max="16" width="16.85546875" style="642" bestFit="1" customWidth="1"/>
    <col min="17" max="16384" width="8.7109375" style="642"/>
  </cols>
  <sheetData>
    <row r="1" spans="1:16">
      <c r="A1" s="661" t="s">
        <v>1658</v>
      </c>
    </row>
    <row r="2" spans="1:16">
      <c r="A2" s="642" t="s">
        <v>1208</v>
      </c>
    </row>
    <row r="3" spans="1:16">
      <c r="A3" s="661" t="s">
        <v>1651</v>
      </c>
    </row>
    <row r="4" spans="1:16">
      <c r="A4" s="642" t="s">
        <v>1209</v>
      </c>
    </row>
    <row r="7" spans="1:16">
      <c r="D7" s="661" t="s">
        <v>1216</v>
      </c>
      <c r="E7" s="661" t="s">
        <v>1217</v>
      </c>
      <c r="F7" s="661" t="s">
        <v>1218</v>
      </c>
      <c r="G7" s="661" t="s">
        <v>1219</v>
      </c>
      <c r="H7" s="661" t="s">
        <v>1220</v>
      </c>
      <c r="I7" s="661" t="s">
        <v>1221</v>
      </c>
      <c r="J7" s="661" t="s">
        <v>1210</v>
      </c>
      <c r="K7" s="661" t="s">
        <v>1211</v>
      </c>
      <c r="L7" s="661" t="s">
        <v>1212</v>
      </c>
      <c r="M7" s="661" t="s">
        <v>1213</v>
      </c>
      <c r="N7" s="661" t="s">
        <v>1214</v>
      </c>
      <c r="O7" s="661" t="s">
        <v>1215</v>
      </c>
      <c r="P7" s="642" t="s">
        <v>1222</v>
      </c>
    </row>
    <row r="8" spans="1:16">
      <c r="A8" s="642" t="s">
        <v>1223</v>
      </c>
    </row>
    <row r="9" spans="1:16">
      <c r="B9" s="642" t="s">
        <v>1224</v>
      </c>
      <c r="D9" s="662">
        <v>2729499.8391499999</v>
      </c>
      <c r="E9" s="662">
        <v>2068281.8205299999</v>
      </c>
      <c r="F9" s="662">
        <v>2218628.3139500003</v>
      </c>
      <c r="G9" s="662">
        <v>3176209.2553699999</v>
      </c>
      <c r="H9" s="662">
        <v>12573348.636219999</v>
      </c>
      <c r="I9" s="662">
        <v>24982337.494570002</v>
      </c>
      <c r="J9" s="662">
        <v>25296874.002070002</v>
      </c>
      <c r="K9" s="662">
        <v>19579656.427620001</v>
      </c>
      <c r="L9" s="662">
        <v>21312464.65312</v>
      </c>
      <c r="M9" s="662">
        <v>13177748.55212</v>
      </c>
      <c r="N9" s="662">
        <v>6751392.6318100002</v>
      </c>
      <c r="O9" s="662">
        <v>2676831.2311499999</v>
      </c>
      <c r="P9" s="662">
        <v>136543272.85767999</v>
      </c>
    </row>
    <row r="10" spans="1:16">
      <c r="B10" s="642" t="s">
        <v>1225</v>
      </c>
      <c r="D10" s="662">
        <v>2098127.4567399998</v>
      </c>
      <c r="E10" s="662">
        <v>1792359.1224499999</v>
      </c>
      <c r="F10" s="662">
        <v>1913754.1286800001</v>
      </c>
      <c r="G10" s="662">
        <v>2498518.2574199997</v>
      </c>
      <c r="H10" s="662">
        <v>5757831.3806600003</v>
      </c>
      <c r="I10" s="662">
        <v>10072961.77258</v>
      </c>
      <c r="J10" s="662">
        <v>10456249.258370001</v>
      </c>
      <c r="K10" s="662">
        <v>7801489.8826400004</v>
      </c>
      <c r="L10" s="662">
        <v>9200012.3178899996</v>
      </c>
      <c r="M10" s="662">
        <v>5828853.3735499997</v>
      </c>
      <c r="N10" s="662">
        <v>3846945.57265</v>
      </c>
      <c r="O10" s="662">
        <v>2151569.25232</v>
      </c>
      <c r="P10" s="662">
        <v>63418671.77595</v>
      </c>
    </row>
    <row r="11" spans="1:16">
      <c r="B11" s="642" t="s">
        <v>1226</v>
      </c>
      <c r="D11" s="662">
        <v>43650.04</v>
      </c>
      <c r="E11" s="662">
        <v>40663.730000000003</v>
      </c>
      <c r="F11" s="662">
        <v>42123.652000000002</v>
      </c>
      <c r="G11" s="662">
        <v>50784.091</v>
      </c>
      <c r="H11" s="662">
        <v>163544.92800000001</v>
      </c>
      <c r="I11" s="662">
        <v>253047.31400000001</v>
      </c>
      <c r="J11" s="662">
        <v>472432.00400000002</v>
      </c>
      <c r="K11" s="662">
        <v>229126.19899999999</v>
      </c>
      <c r="L11" s="662">
        <v>349483.20600000001</v>
      </c>
      <c r="M11" s="662">
        <v>243960.85699999999</v>
      </c>
      <c r="N11" s="662">
        <v>192768.14300000001</v>
      </c>
      <c r="O11" s="662">
        <v>149591.60800000001</v>
      </c>
      <c r="P11" s="662">
        <v>2231175.7719999999</v>
      </c>
    </row>
    <row r="12" spans="1:16">
      <c r="B12" s="642" t="s">
        <v>1227</v>
      </c>
      <c r="D12" s="662">
        <v>2422810</v>
      </c>
      <c r="E12" s="662">
        <v>2139256</v>
      </c>
      <c r="F12" s="662">
        <v>2116204</v>
      </c>
      <c r="G12" s="662">
        <v>2189947</v>
      </c>
      <c r="H12" s="662">
        <v>2469519</v>
      </c>
      <c r="I12" s="662">
        <v>3578929</v>
      </c>
      <c r="J12" s="662">
        <v>3591717</v>
      </c>
      <c r="K12" s="662">
        <v>3528113</v>
      </c>
      <c r="L12" s="662">
        <v>3299634</v>
      </c>
      <c r="M12" s="662">
        <v>3194133</v>
      </c>
      <c r="N12" s="662">
        <v>2720728</v>
      </c>
      <c r="O12" s="662">
        <v>2247224</v>
      </c>
      <c r="P12" s="662">
        <v>33498214</v>
      </c>
    </row>
    <row r="13" spans="1:16">
      <c r="B13" s="642" t="s">
        <v>1228</v>
      </c>
      <c r="D13" s="663">
        <v>3507772</v>
      </c>
      <c r="E13" s="663">
        <v>3516975</v>
      </c>
      <c r="F13" s="663">
        <v>4117879</v>
      </c>
      <c r="G13" s="663">
        <v>4622374</v>
      </c>
      <c r="H13" s="663">
        <v>5337536</v>
      </c>
      <c r="I13" s="663">
        <v>5764518</v>
      </c>
      <c r="J13" s="663">
        <v>5981968</v>
      </c>
      <c r="K13" s="663">
        <v>3708919</v>
      </c>
      <c r="L13" s="663">
        <v>4618333</v>
      </c>
      <c r="M13" s="663">
        <v>5044992</v>
      </c>
      <c r="N13" s="663">
        <v>5581680</v>
      </c>
      <c r="O13" s="663">
        <v>3757233</v>
      </c>
      <c r="P13" s="663">
        <v>55560179</v>
      </c>
    </row>
    <row r="14" spans="1:16">
      <c r="A14" s="642" t="s">
        <v>1229</v>
      </c>
      <c r="D14" s="662">
        <v>10801859.335889999</v>
      </c>
      <c r="E14" s="662">
        <v>9557535.6729799993</v>
      </c>
      <c r="F14" s="662">
        <v>10408589.094629999</v>
      </c>
      <c r="G14" s="662">
        <v>12537832.60379</v>
      </c>
      <c r="H14" s="662">
        <v>26301779.944879998</v>
      </c>
      <c r="I14" s="662">
        <v>44651793.581150003</v>
      </c>
      <c r="J14" s="662">
        <v>45799240.264440008</v>
      </c>
      <c r="K14" s="662">
        <v>34847304.509259999</v>
      </c>
      <c r="L14" s="662">
        <v>38779927.17701</v>
      </c>
      <c r="M14" s="662">
        <v>27489687.782669999</v>
      </c>
      <c r="N14" s="662">
        <v>19093514.347460002</v>
      </c>
      <c r="O14" s="662">
        <v>10982449.091469999</v>
      </c>
      <c r="P14" s="662">
        <v>291251513.40562999</v>
      </c>
    </row>
    <row r="15" spans="1:16">
      <c r="D15" s="662"/>
      <c r="E15" s="662"/>
      <c r="F15" s="662"/>
      <c r="G15" s="662"/>
      <c r="H15" s="662"/>
      <c r="I15" s="662"/>
      <c r="J15" s="662"/>
      <c r="K15" s="662"/>
      <c r="L15" s="662"/>
      <c r="M15" s="662"/>
      <c r="N15" s="662"/>
      <c r="O15" s="662"/>
      <c r="P15" s="662"/>
    </row>
    <row r="16" spans="1:16">
      <c r="A16" s="642" t="s">
        <v>1230</v>
      </c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662"/>
      <c r="P16" s="662"/>
    </row>
    <row r="17" spans="1:16">
      <c r="B17" s="642" t="s">
        <v>1231</v>
      </c>
      <c r="D17" s="662">
        <v>28195</v>
      </c>
      <c r="E17" s="662">
        <v>27019</v>
      </c>
      <c r="F17" s="662">
        <v>40067</v>
      </c>
      <c r="G17" s="662">
        <v>116668</v>
      </c>
      <c r="H17" s="662">
        <v>404062</v>
      </c>
      <c r="I17" s="662">
        <v>472976</v>
      </c>
      <c r="J17" s="662">
        <v>379785</v>
      </c>
      <c r="K17" s="662">
        <v>358809</v>
      </c>
      <c r="L17" s="662">
        <v>314000</v>
      </c>
      <c r="M17" s="662">
        <v>213744</v>
      </c>
      <c r="N17" s="662">
        <v>53319</v>
      </c>
      <c r="O17" s="662">
        <v>21341</v>
      </c>
      <c r="P17" s="662">
        <v>2429985</v>
      </c>
    </row>
    <row r="18" spans="1:16">
      <c r="B18" s="642" t="s">
        <v>1233</v>
      </c>
      <c r="D18" s="662">
        <v>-28195</v>
      </c>
      <c r="E18" s="662">
        <v>-27019</v>
      </c>
      <c r="F18" s="662">
        <v>-40067</v>
      </c>
      <c r="G18" s="662">
        <v>-116668</v>
      </c>
      <c r="H18" s="662">
        <v>-404062</v>
      </c>
      <c r="I18" s="662">
        <v>-472976</v>
      </c>
      <c r="J18" s="662">
        <v>-379785</v>
      </c>
      <c r="K18" s="662">
        <v>-358809</v>
      </c>
      <c r="L18" s="662">
        <v>-314000</v>
      </c>
      <c r="M18" s="662">
        <v>-213744</v>
      </c>
      <c r="N18" s="662">
        <v>-53319</v>
      </c>
      <c r="O18" s="662">
        <v>-21341</v>
      </c>
      <c r="P18" s="662">
        <v>-2429985</v>
      </c>
    </row>
    <row r="19" spans="1:16">
      <c r="B19" s="642" t="s">
        <v>1659</v>
      </c>
      <c r="D19" s="662">
        <v>84226</v>
      </c>
      <c r="E19" s="662">
        <v>83243</v>
      </c>
      <c r="F19" s="662">
        <v>87026</v>
      </c>
      <c r="G19" s="662">
        <v>105118</v>
      </c>
      <c r="H19" s="662">
        <v>0</v>
      </c>
      <c r="I19" s="662">
        <v>0</v>
      </c>
      <c r="J19" s="662">
        <v>0</v>
      </c>
      <c r="K19" s="662">
        <v>0</v>
      </c>
      <c r="L19" s="662">
        <v>0</v>
      </c>
      <c r="M19" s="662">
        <v>0</v>
      </c>
      <c r="N19" s="662">
        <v>0</v>
      </c>
      <c r="O19" s="662">
        <v>0</v>
      </c>
      <c r="P19" s="662">
        <v>359613</v>
      </c>
    </row>
    <row r="20" spans="1:16">
      <c r="B20" s="642" t="s">
        <v>1660</v>
      </c>
      <c r="D20" s="662">
        <v>-84226</v>
      </c>
      <c r="E20" s="662">
        <v>-83243</v>
      </c>
      <c r="F20" s="662">
        <v>-87026</v>
      </c>
      <c r="G20" s="662">
        <v>-105118</v>
      </c>
      <c r="H20" s="662">
        <v>0</v>
      </c>
      <c r="I20" s="662">
        <v>0</v>
      </c>
      <c r="J20" s="662">
        <v>0</v>
      </c>
      <c r="K20" s="662">
        <v>0</v>
      </c>
      <c r="L20" s="662">
        <v>0</v>
      </c>
      <c r="M20" s="662">
        <v>0</v>
      </c>
      <c r="N20" s="662">
        <v>0</v>
      </c>
      <c r="O20" s="662">
        <v>0</v>
      </c>
      <c r="P20" s="662">
        <v>-359613</v>
      </c>
    </row>
    <row r="21" spans="1:16">
      <c r="B21" s="642" t="s">
        <v>1234</v>
      </c>
      <c r="D21" s="662">
        <v>18353</v>
      </c>
      <c r="E21" s="662">
        <v>-1171</v>
      </c>
      <c r="F21" s="662">
        <v>2257</v>
      </c>
      <c r="G21" s="662">
        <v>16559</v>
      </c>
      <c r="H21" s="662">
        <v>18915</v>
      </c>
      <c r="I21" s="662">
        <v>-37731</v>
      </c>
      <c r="J21" s="662">
        <v>1020</v>
      </c>
      <c r="K21" s="662">
        <v>23175</v>
      </c>
      <c r="L21" s="662">
        <v>-24195</v>
      </c>
      <c r="M21" s="662">
        <v>0</v>
      </c>
      <c r="N21" s="662">
        <v>0</v>
      </c>
      <c r="O21" s="662">
        <v>-4663</v>
      </c>
      <c r="P21" s="662">
        <v>12519</v>
      </c>
    </row>
    <row r="22" spans="1:16">
      <c r="B22" s="642" t="s">
        <v>1235</v>
      </c>
      <c r="D22" s="663">
        <v>395463</v>
      </c>
      <c r="E22" s="663">
        <v>-167336</v>
      </c>
      <c r="F22" s="663">
        <v>-114912</v>
      </c>
      <c r="G22" s="663">
        <v>-522107</v>
      </c>
      <c r="H22" s="663">
        <v>-754743</v>
      </c>
      <c r="I22" s="663">
        <v>-252325</v>
      </c>
      <c r="J22" s="663">
        <v>1459390</v>
      </c>
      <c r="K22" s="663">
        <v>-878045</v>
      </c>
      <c r="L22" s="663">
        <v>72744</v>
      </c>
      <c r="M22" s="663">
        <v>135298</v>
      </c>
      <c r="N22" s="663">
        <v>510003</v>
      </c>
      <c r="O22" s="663">
        <v>535139</v>
      </c>
      <c r="P22" s="663">
        <v>418569</v>
      </c>
    </row>
    <row r="23" spans="1:16">
      <c r="A23" s="642" t="s">
        <v>1236</v>
      </c>
      <c r="D23" s="662">
        <v>413816</v>
      </c>
      <c r="E23" s="662">
        <v>-168507</v>
      </c>
      <c r="F23" s="662">
        <v>-112655</v>
      </c>
      <c r="G23" s="662">
        <v>-505548</v>
      </c>
      <c r="H23" s="662">
        <v>-735828</v>
      </c>
      <c r="I23" s="662">
        <v>-290056</v>
      </c>
      <c r="J23" s="662">
        <v>1460410</v>
      </c>
      <c r="K23" s="662">
        <v>-854870</v>
      </c>
      <c r="L23" s="662">
        <v>48549</v>
      </c>
      <c r="M23" s="662">
        <v>135298</v>
      </c>
      <c r="N23" s="662">
        <v>510003</v>
      </c>
      <c r="O23" s="662">
        <v>530476</v>
      </c>
      <c r="P23" s="662">
        <v>431088</v>
      </c>
    </row>
    <row r="24" spans="1:16"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</row>
    <row r="25" spans="1:16">
      <c r="A25" s="642" t="s">
        <v>1237</v>
      </c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662"/>
      <c r="P25" s="662"/>
    </row>
    <row r="26" spans="1:16">
      <c r="B26" s="642" t="s">
        <v>1224</v>
      </c>
      <c r="D26" s="662">
        <v>-499606</v>
      </c>
      <c r="E26" s="662">
        <v>-77584</v>
      </c>
      <c r="F26" s="662">
        <v>394408</v>
      </c>
      <c r="G26" s="662">
        <v>2530096</v>
      </c>
      <c r="H26" s="662">
        <v>8615078</v>
      </c>
      <c r="I26" s="662">
        <v>1662373</v>
      </c>
      <c r="J26" s="662">
        <v>-2694989</v>
      </c>
      <c r="K26" s="662">
        <v>409695</v>
      </c>
      <c r="L26" s="662">
        <v>-4793017</v>
      </c>
      <c r="M26" s="662">
        <v>-2312814</v>
      </c>
      <c r="N26" s="662">
        <v>-3403893</v>
      </c>
      <c r="O26" s="662">
        <v>-310423</v>
      </c>
      <c r="P26" s="662">
        <v>-480676</v>
      </c>
    </row>
    <row r="27" spans="1:16">
      <c r="B27" s="642" t="s">
        <v>1225</v>
      </c>
      <c r="D27" s="662">
        <v>-130024</v>
      </c>
      <c r="E27" s="662">
        <v>21293</v>
      </c>
      <c r="F27" s="662">
        <v>321674</v>
      </c>
      <c r="G27" s="662">
        <v>1768589</v>
      </c>
      <c r="H27" s="662">
        <v>2660335</v>
      </c>
      <c r="I27" s="662">
        <v>40885</v>
      </c>
      <c r="J27" s="662">
        <v>-937438</v>
      </c>
      <c r="K27" s="662">
        <v>-18152</v>
      </c>
      <c r="L27" s="662">
        <v>-1601914</v>
      </c>
      <c r="M27" s="662">
        <v>-926467</v>
      </c>
      <c r="N27" s="662">
        <v>-1292391</v>
      </c>
      <c r="O27" s="662">
        <v>31135</v>
      </c>
      <c r="P27" s="662">
        <v>-62475</v>
      </c>
    </row>
    <row r="28" spans="1:16">
      <c r="B28" s="642" t="s">
        <v>1226</v>
      </c>
      <c r="D28" s="662">
        <v>0</v>
      </c>
      <c r="E28" s="662">
        <v>0</v>
      </c>
      <c r="F28" s="662">
        <v>0</v>
      </c>
      <c r="G28" s="662">
        <v>0</v>
      </c>
      <c r="H28" s="662">
        <v>0</v>
      </c>
      <c r="I28" s="662">
        <v>0</v>
      </c>
      <c r="J28" s="662">
        <v>0</v>
      </c>
      <c r="K28" s="662">
        <v>0</v>
      </c>
      <c r="L28" s="662">
        <v>0</v>
      </c>
      <c r="M28" s="662">
        <v>0</v>
      </c>
      <c r="N28" s="662">
        <v>0</v>
      </c>
      <c r="O28" s="662">
        <v>0</v>
      </c>
      <c r="P28" s="662">
        <v>0</v>
      </c>
    </row>
    <row r="29" spans="1:16">
      <c r="B29" s="642" t="s">
        <v>1227</v>
      </c>
      <c r="D29" s="662">
        <v>-301907</v>
      </c>
      <c r="E29" s="662">
        <v>-21881</v>
      </c>
      <c r="F29" s="662">
        <v>71486</v>
      </c>
      <c r="G29" s="662">
        <v>263013</v>
      </c>
      <c r="H29" s="662">
        <v>1090495</v>
      </c>
      <c r="I29" s="662">
        <v>50519</v>
      </c>
      <c r="J29" s="662">
        <v>-64624</v>
      </c>
      <c r="K29" s="662">
        <v>-251654</v>
      </c>
      <c r="L29" s="662">
        <v>-81306</v>
      </c>
      <c r="M29" s="662">
        <v>-473405</v>
      </c>
      <c r="N29" s="662">
        <v>-473504</v>
      </c>
      <c r="O29" s="662">
        <v>-226376</v>
      </c>
      <c r="P29" s="662">
        <v>-419144</v>
      </c>
    </row>
    <row r="30" spans="1:16">
      <c r="B30" s="642" t="s">
        <v>1228</v>
      </c>
      <c r="D30" s="663">
        <v>-395463</v>
      </c>
      <c r="E30" s="663">
        <v>167336</v>
      </c>
      <c r="F30" s="663">
        <v>114912</v>
      </c>
      <c r="G30" s="663">
        <v>522107</v>
      </c>
      <c r="H30" s="663">
        <v>754743</v>
      </c>
      <c r="I30" s="663">
        <v>252325</v>
      </c>
      <c r="J30" s="663">
        <v>-1459390</v>
      </c>
      <c r="K30" s="663">
        <v>878045</v>
      </c>
      <c r="L30" s="663">
        <v>-72744</v>
      </c>
      <c r="M30" s="663">
        <v>-135298</v>
      </c>
      <c r="N30" s="663">
        <v>-510003</v>
      </c>
      <c r="O30" s="663">
        <v>-535139</v>
      </c>
      <c r="P30" s="663">
        <v>-418569</v>
      </c>
    </row>
    <row r="31" spans="1:16">
      <c r="A31" s="642" t="s">
        <v>1237</v>
      </c>
      <c r="D31" s="662">
        <v>-1327000</v>
      </c>
      <c r="E31" s="662">
        <v>89164</v>
      </c>
      <c r="F31" s="662">
        <v>902480</v>
      </c>
      <c r="G31" s="662">
        <v>5083805</v>
      </c>
      <c r="H31" s="662">
        <v>13120651</v>
      </c>
      <c r="I31" s="662">
        <v>2006102</v>
      </c>
      <c r="J31" s="662">
        <v>-5156441</v>
      </c>
      <c r="K31" s="662">
        <v>1017934</v>
      </c>
      <c r="L31" s="662">
        <v>-6548981</v>
      </c>
      <c r="M31" s="662">
        <v>-3847984</v>
      </c>
      <c r="N31" s="662">
        <v>-5679791</v>
      </c>
      <c r="O31" s="662">
        <v>-1040803</v>
      </c>
      <c r="P31" s="662">
        <v>-1380864</v>
      </c>
    </row>
    <row r="32" spans="1:16">
      <c r="D32" s="662"/>
      <c r="E32" s="662"/>
      <c r="F32" s="662"/>
      <c r="G32" s="662"/>
      <c r="H32" s="662"/>
      <c r="I32" s="662"/>
      <c r="J32" s="662"/>
      <c r="K32" s="662"/>
      <c r="L32" s="662"/>
      <c r="M32" s="662"/>
      <c r="N32" s="662"/>
      <c r="O32" s="662"/>
      <c r="P32" s="662"/>
    </row>
    <row r="33" spans="1:16">
      <c r="A33" s="642" t="s">
        <v>1238</v>
      </c>
      <c r="D33" s="662"/>
      <c r="E33" s="662"/>
      <c r="F33" s="662"/>
      <c r="G33" s="662"/>
      <c r="H33" s="662"/>
      <c r="I33" s="662"/>
      <c r="J33" s="662"/>
      <c r="K33" s="662"/>
      <c r="L33" s="662"/>
      <c r="M33" s="662"/>
      <c r="N33" s="662"/>
      <c r="O33" s="662"/>
      <c r="P33" s="662"/>
    </row>
    <row r="34" spans="1:16">
      <c r="B34" s="642" t="s">
        <v>1224</v>
      </c>
      <c r="D34" s="662">
        <v>110461.79056138241</v>
      </c>
      <c r="E34" s="662">
        <v>224059.21521861845</v>
      </c>
      <c r="F34" s="662">
        <v>1283059.7837096089</v>
      </c>
      <c r="G34" s="662">
        <v>3270598.980974765</v>
      </c>
      <c r="H34" s="662">
        <v>-4357812.3051981917</v>
      </c>
      <c r="I34" s="662">
        <v>-3121155.6605032519</v>
      </c>
      <c r="J34" s="662">
        <v>909514.80857899517</v>
      </c>
      <c r="K34" s="662">
        <v>34211.219874539631</v>
      </c>
      <c r="L34" s="662">
        <v>-1541263.0024621235</v>
      </c>
      <c r="M34" s="662">
        <v>-272311.10661162407</v>
      </c>
      <c r="N34" s="662">
        <v>2606107.9500851412</v>
      </c>
      <c r="O34" s="662">
        <v>898663.51403228845</v>
      </c>
      <c r="P34" s="662">
        <v>44135.188260147814</v>
      </c>
    </row>
    <row r="35" spans="1:16">
      <c r="B35" s="642" t="s">
        <v>1225</v>
      </c>
      <c r="D35" s="662">
        <v>41771.347090371724</v>
      </c>
      <c r="E35" s="662">
        <v>85546.910385503084</v>
      </c>
      <c r="F35" s="662">
        <v>485363.54328664078</v>
      </c>
      <c r="G35" s="662">
        <v>1207064.7488657867</v>
      </c>
      <c r="H35" s="662">
        <v>-1572297.5306826578</v>
      </c>
      <c r="I35" s="662">
        <v>-1148473.5537471878</v>
      </c>
      <c r="J35" s="662">
        <v>346219.28398181841</v>
      </c>
      <c r="K35" s="662">
        <v>12717.642537801546</v>
      </c>
      <c r="L35" s="662">
        <v>-587973.58321161661</v>
      </c>
      <c r="M35" s="662">
        <v>-108552.52819926146</v>
      </c>
      <c r="N35" s="662">
        <v>998929.97210398538</v>
      </c>
      <c r="O35" s="662">
        <v>358922.49707086378</v>
      </c>
      <c r="P35" s="662">
        <v>119238.74948204728</v>
      </c>
    </row>
    <row r="36" spans="1:16">
      <c r="B36" s="642" t="s">
        <v>1226</v>
      </c>
      <c r="D36" s="662">
        <v>0</v>
      </c>
      <c r="E36" s="662">
        <v>0</v>
      </c>
      <c r="F36" s="662">
        <v>0</v>
      </c>
      <c r="G36" s="662">
        <v>0</v>
      </c>
      <c r="H36" s="662">
        <v>0</v>
      </c>
      <c r="I36" s="662">
        <v>0</v>
      </c>
      <c r="J36" s="662">
        <v>0</v>
      </c>
      <c r="K36" s="662">
        <v>0</v>
      </c>
      <c r="L36" s="662">
        <v>0</v>
      </c>
      <c r="M36" s="662">
        <v>0</v>
      </c>
      <c r="N36" s="662">
        <v>0</v>
      </c>
      <c r="O36" s="662">
        <v>0</v>
      </c>
      <c r="P36" s="662">
        <v>0</v>
      </c>
    </row>
    <row r="37" spans="1:16">
      <c r="B37" s="642" t="s">
        <v>1227</v>
      </c>
      <c r="D37" s="662">
        <v>0</v>
      </c>
      <c r="E37" s="662">
        <v>0</v>
      </c>
      <c r="F37" s="662">
        <v>0</v>
      </c>
      <c r="G37" s="662">
        <v>0</v>
      </c>
      <c r="H37" s="662">
        <v>0</v>
      </c>
      <c r="I37" s="662">
        <v>0</v>
      </c>
      <c r="J37" s="662">
        <v>0</v>
      </c>
      <c r="K37" s="662">
        <v>0</v>
      </c>
      <c r="L37" s="662">
        <v>0</v>
      </c>
      <c r="M37" s="662">
        <v>0</v>
      </c>
      <c r="N37" s="662">
        <v>0</v>
      </c>
      <c r="O37" s="662">
        <v>0</v>
      </c>
      <c r="P37" s="662">
        <v>0</v>
      </c>
    </row>
    <row r="38" spans="1:16">
      <c r="B38" s="642" t="s">
        <v>1228</v>
      </c>
      <c r="D38" s="663">
        <v>0</v>
      </c>
      <c r="E38" s="663">
        <v>0</v>
      </c>
      <c r="F38" s="663">
        <v>0</v>
      </c>
      <c r="G38" s="663">
        <v>0</v>
      </c>
      <c r="H38" s="663">
        <v>0</v>
      </c>
      <c r="I38" s="663">
        <v>0</v>
      </c>
      <c r="J38" s="663">
        <v>0</v>
      </c>
      <c r="K38" s="663">
        <v>0</v>
      </c>
      <c r="L38" s="663">
        <v>0</v>
      </c>
      <c r="M38" s="663">
        <v>0</v>
      </c>
      <c r="N38" s="663">
        <v>0</v>
      </c>
      <c r="O38" s="663">
        <v>0</v>
      </c>
      <c r="P38" s="663">
        <v>0</v>
      </c>
    </row>
    <row r="39" spans="1:16">
      <c r="A39" s="642" t="s">
        <v>1239</v>
      </c>
      <c r="D39" s="662">
        <v>152233.13765175414</v>
      </c>
      <c r="E39" s="662">
        <v>309606.12560412154</v>
      </c>
      <c r="F39" s="662">
        <v>1768423.3269962496</v>
      </c>
      <c r="G39" s="662">
        <v>4477663.7298405515</v>
      </c>
      <c r="H39" s="662">
        <v>-5930109.8358808495</v>
      </c>
      <c r="I39" s="662">
        <v>-4269629.2142504398</v>
      </c>
      <c r="J39" s="662">
        <v>1255734.0925608135</v>
      </c>
      <c r="K39" s="662">
        <v>46928.862412341179</v>
      </c>
      <c r="L39" s="662">
        <v>-2129236.5856737401</v>
      </c>
      <c r="M39" s="662">
        <v>-380863.63481088553</v>
      </c>
      <c r="N39" s="662">
        <v>3605037.9221891267</v>
      </c>
      <c r="O39" s="662">
        <v>1257586.0111031523</v>
      </c>
      <c r="P39" s="662">
        <v>163373.93774219509</v>
      </c>
    </row>
    <row r="40" spans="1:16">
      <c r="D40" s="662"/>
      <c r="E40" s="662"/>
      <c r="F40" s="662"/>
      <c r="G40" s="662"/>
      <c r="H40" s="662"/>
      <c r="I40" s="662"/>
      <c r="J40" s="662"/>
      <c r="K40" s="662"/>
      <c r="L40" s="662"/>
      <c r="M40" s="662"/>
      <c r="N40" s="662"/>
      <c r="O40" s="662"/>
      <c r="P40" s="662"/>
    </row>
    <row r="41" spans="1:16">
      <c r="A41" s="642" t="s">
        <v>1240</v>
      </c>
      <c r="D41" s="662"/>
      <c r="E41" s="662"/>
      <c r="F41" s="662"/>
      <c r="G41" s="662"/>
      <c r="H41" s="662"/>
      <c r="I41" s="662"/>
      <c r="J41" s="662"/>
      <c r="K41" s="662"/>
      <c r="L41" s="662"/>
      <c r="M41" s="662"/>
      <c r="N41" s="662"/>
      <c r="O41" s="662"/>
      <c r="P41" s="662"/>
    </row>
    <row r="42" spans="1:16">
      <c r="B42" s="642" t="s">
        <v>1224</v>
      </c>
      <c r="D42" s="662">
        <v>2340355.6297113821</v>
      </c>
      <c r="E42" s="662">
        <v>2214757.0357486182</v>
      </c>
      <c r="F42" s="662">
        <v>3896096.0976596093</v>
      </c>
      <c r="G42" s="662">
        <v>8976904.2363447659</v>
      </c>
      <c r="H42" s="662">
        <v>16830614.331021808</v>
      </c>
      <c r="I42" s="662">
        <v>23523554.834066749</v>
      </c>
      <c r="J42" s="662">
        <v>23511399.810648996</v>
      </c>
      <c r="K42" s="662">
        <v>20023562.64749454</v>
      </c>
      <c r="L42" s="662">
        <v>14978184.650657877</v>
      </c>
      <c r="M42" s="662">
        <v>10592623.445508376</v>
      </c>
      <c r="N42" s="662">
        <v>5953607.5818951409</v>
      </c>
      <c r="O42" s="662">
        <v>3265071.7451822883</v>
      </c>
      <c r="P42" s="662">
        <v>136106732.04594013</v>
      </c>
    </row>
    <row r="43" spans="1:16">
      <c r="B43" s="642" t="s">
        <v>1225</v>
      </c>
      <c r="D43" s="662">
        <v>2038069.8038303715</v>
      </c>
      <c r="E43" s="662">
        <v>1926218.0328355031</v>
      </c>
      <c r="F43" s="662">
        <v>2760858.6719666407</v>
      </c>
      <c r="G43" s="662">
        <v>5590840.0062857866</v>
      </c>
      <c r="H43" s="662">
        <v>7249930.8499773433</v>
      </c>
      <c r="I43" s="662">
        <v>9438349.2188328113</v>
      </c>
      <c r="J43" s="662">
        <v>10244815.54235182</v>
      </c>
      <c r="K43" s="662">
        <v>8154864.525177802</v>
      </c>
      <c r="L43" s="662">
        <v>7324124.734678383</v>
      </c>
      <c r="M43" s="662">
        <v>5007577.8453507386</v>
      </c>
      <c r="N43" s="662">
        <v>3606803.5447539855</v>
      </c>
      <c r="O43" s="662">
        <v>2562967.7493908638</v>
      </c>
      <c r="P43" s="662">
        <v>65905420.525432058</v>
      </c>
    </row>
    <row r="44" spans="1:16">
      <c r="B44" s="642" t="s">
        <v>1226</v>
      </c>
      <c r="D44" s="662">
        <v>127876.04000000001</v>
      </c>
      <c r="E44" s="662">
        <v>123906.73000000001</v>
      </c>
      <c r="F44" s="662">
        <v>129149.652</v>
      </c>
      <c r="G44" s="662">
        <v>155902.09100000001</v>
      </c>
      <c r="H44" s="662">
        <v>163544.92800000001</v>
      </c>
      <c r="I44" s="662">
        <v>253047.31400000001</v>
      </c>
      <c r="J44" s="662">
        <v>472432.00400000002</v>
      </c>
      <c r="K44" s="662">
        <v>229126.19899999999</v>
      </c>
      <c r="L44" s="662">
        <v>349483.20600000001</v>
      </c>
      <c r="M44" s="662">
        <v>243960.85699999999</v>
      </c>
      <c r="N44" s="662">
        <v>192768.14300000001</v>
      </c>
      <c r="O44" s="662">
        <v>149591.60800000001</v>
      </c>
      <c r="P44" s="662">
        <v>2590788.7719999999</v>
      </c>
    </row>
    <row r="45" spans="1:16">
      <c r="B45" s="642" t="s">
        <v>1227</v>
      </c>
      <c r="D45" s="662">
        <v>2026835</v>
      </c>
      <c r="E45" s="662">
        <v>2005942</v>
      </c>
      <c r="F45" s="662">
        <v>2062854</v>
      </c>
      <c r="G45" s="662">
        <v>2247733</v>
      </c>
      <c r="H45" s="662">
        <v>3174867</v>
      </c>
      <c r="I45" s="662">
        <v>3118741</v>
      </c>
      <c r="J45" s="662">
        <v>3148328</v>
      </c>
      <c r="K45" s="662">
        <v>2940825</v>
      </c>
      <c r="L45" s="662">
        <v>2880133</v>
      </c>
      <c r="M45" s="662">
        <v>2506984</v>
      </c>
      <c r="N45" s="662">
        <v>2193905</v>
      </c>
      <c r="O45" s="662">
        <v>1994844</v>
      </c>
      <c r="P45" s="662">
        <v>30301991</v>
      </c>
    </row>
    <row r="46" spans="1:16">
      <c r="B46" s="642" t="s">
        <v>1228</v>
      </c>
      <c r="D46" s="663">
        <v>3507772</v>
      </c>
      <c r="E46" s="663">
        <v>3516975</v>
      </c>
      <c r="F46" s="663">
        <v>4117879</v>
      </c>
      <c r="G46" s="663">
        <v>4622374</v>
      </c>
      <c r="H46" s="663">
        <v>5337536</v>
      </c>
      <c r="I46" s="663">
        <v>5764518</v>
      </c>
      <c r="J46" s="663">
        <v>5981968</v>
      </c>
      <c r="K46" s="663">
        <v>3708919</v>
      </c>
      <c r="L46" s="663">
        <v>4618333</v>
      </c>
      <c r="M46" s="663">
        <v>5044992</v>
      </c>
      <c r="N46" s="663">
        <v>5581680</v>
      </c>
      <c r="O46" s="663">
        <v>3757233</v>
      </c>
      <c r="P46" s="663">
        <v>55560179</v>
      </c>
    </row>
    <row r="47" spans="1:16">
      <c r="A47" s="642" t="s">
        <v>1241</v>
      </c>
      <c r="D47" s="662">
        <v>10040908.473541753</v>
      </c>
      <c r="E47" s="662">
        <v>9787798.7985841222</v>
      </c>
      <c r="F47" s="662">
        <v>12966837.421626251</v>
      </c>
      <c r="G47" s="662">
        <v>21593753.333630554</v>
      </c>
      <c r="H47" s="662">
        <v>32756493.108999152</v>
      </c>
      <c r="I47" s="662">
        <v>42098210.366899565</v>
      </c>
      <c r="J47" s="662">
        <v>43358943.35700082</v>
      </c>
      <c r="K47" s="662">
        <v>35057297.371672347</v>
      </c>
      <c r="L47" s="662">
        <v>30150258.591336261</v>
      </c>
      <c r="M47" s="662">
        <v>23396138.147859115</v>
      </c>
      <c r="N47" s="662">
        <v>17528764.269649126</v>
      </c>
      <c r="O47" s="662">
        <v>11729708.102573153</v>
      </c>
      <c r="P47" s="662">
        <v>290465111.34337217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F15DB-4CE0-4485-952F-200F9C8D6085}">
  <sheetPr codeName="Sheet8">
    <pageSetUpPr fitToPage="1"/>
  </sheetPr>
  <dimension ref="A1:M251"/>
  <sheetViews>
    <sheetView topLeftCell="A181" zoomScaleNormal="100" workbookViewId="0">
      <selection activeCell="F244" sqref="F244"/>
    </sheetView>
  </sheetViews>
  <sheetFormatPr defaultColWidth="8.7109375" defaultRowHeight="15.75"/>
  <cols>
    <col min="1" max="1" width="8.85546875" style="620" bestFit="1" customWidth="1"/>
    <col min="2" max="2" width="18.140625" style="620" customWidth="1"/>
    <col min="3" max="3" width="62.5703125" style="620" customWidth="1"/>
    <col min="4" max="4" width="28.5703125" style="620" customWidth="1"/>
    <col min="5" max="6" width="20.42578125" style="495" customWidth="1"/>
    <col min="7" max="7" width="8.140625" style="495" hidden="1" customWidth="1"/>
    <col min="8" max="8" width="19.85546875" style="495" customWidth="1"/>
    <col min="9" max="9" width="19.7109375" style="495" customWidth="1"/>
    <col min="10" max="10" width="22" style="495" customWidth="1"/>
    <col min="11" max="11" width="21" style="495" customWidth="1"/>
    <col min="12" max="12" width="17.7109375" style="495" customWidth="1"/>
    <col min="13" max="16384" width="8.7109375" style="495"/>
  </cols>
  <sheetData>
    <row r="1" spans="1:13">
      <c r="A1" s="591" t="s">
        <v>467</v>
      </c>
      <c r="B1" s="591" t="s">
        <v>1117</v>
      </c>
      <c r="C1" s="504"/>
      <c r="D1" s="495"/>
    </row>
    <row r="2" spans="1:13" s="496" customFormat="1" ht="31.5">
      <c r="A2" s="590" t="s">
        <v>1063</v>
      </c>
      <c r="B2" s="516"/>
      <c r="C2" s="509"/>
      <c r="D2" s="506" t="s">
        <v>1078</v>
      </c>
      <c r="E2" s="570" t="s">
        <v>802</v>
      </c>
      <c r="F2" s="570" t="s">
        <v>801</v>
      </c>
      <c r="G2" s="570" t="s">
        <v>800</v>
      </c>
      <c r="H2" s="570" t="s">
        <v>1167</v>
      </c>
      <c r="I2" s="570" t="s">
        <v>778</v>
      </c>
      <c r="J2" s="570" t="s">
        <v>120</v>
      </c>
      <c r="K2" s="591"/>
      <c r="L2" s="591"/>
      <c r="M2" s="591"/>
    </row>
    <row r="3" spans="1:13">
      <c r="A3" s="529">
        <v>1</v>
      </c>
      <c r="B3" s="571"/>
      <c r="C3" s="571"/>
      <c r="D3" s="572"/>
      <c r="E3" s="618"/>
      <c r="F3" s="618"/>
      <c r="G3" s="618"/>
      <c r="H3" s="618"/>
      <c r="I3" s="618"/>
      <c r="J3" s="618"/>
    </row>
    <row r="4" spans="1:13">
      <c r="A4" s="529">
        <v>2</v>
      </c>
      <c r="B4" s="795" t="s">
        <v>1118</v>
      </c>
      <c r="C4" s="517" t="s">
        <v>1064</v>
      </c>
      <c r="D4" s="519">
        <v>480</v>
      </c>
      <c r="E4" s="532">
        <f>-Detail!I422</f>
        <v>97109939.480845869</v>
      </c>
      <c r="F4" s="532"/>
      <c r="G4" s="532"/>
      <c r="H4" s="532"/>
      <c r="I4" s="532"/>
      <c r="J4" s="532">
        <f>SUM(E4:I4)</f>
        <v>97109939.480845869</v>
      </c>
    </row>
    <row r="5" spans="1:13">
      <c r="A5" s="529">
        <v>3</v>
      </c>
      <c r="B5" s="795"/>
      <c r="C5" s="517" t="s">
        <v>1065</v>
      </c>
      <c r="D5" s="542">
        <v>481</v>
      </c>
      <c r="E5" s="532"/>
      <c r="F5" s="532">
        <f>-Detail!J422</f>
        <v>23833867.659896482</v>
      </c>
      <c r="G5" s="532">
        <f>-Detail!K422</f>
        <v>0</v>
      </c>
      <c r="H5" s="532">
        <f>-Detail!L422</f>
        <v>639376.41895967908</v>
      </c>
      <c r="I5" s="532">
        <f>-Detail!M422</f>
        <v>3733816.4402979673</v>
      </c>
      <c r="J5" s="532">
        <f>SUM(E5:I5)</f>
        <v>28207060.519154131</v>
      </c>
    </row>
    <row r="6" spans="1:13">
      <c r="A6" s="529">
        <v>4</v>
      </c>
      <c r="B6" s="795"/>
      <c r="C6" s="517" t="s">
        <v>1140</v>
      </c>
      <c r="D6" s="542">
        <v>484</v>
      </c>
      <c r="E6" s="532"/>
      <c r="F6" s="532"/>
      <c r="G6" s="532"/>
      <c r="H6" s="532"/>
      <c r="I6" s="532"/>
      <c r="J6" s="532">
        <f>SUM(E6:I6)</f>
        <v>0</v>
      </c>
    </row>
    <row r="7" spans="1:13">
      <c r="A7" s="529">
        <v>5</v>
      </c>
      <c r="B7" s="795"/>
      <c r="C7" s="517" t="s">
        <v>1141</v>
      </c>
      <c r="D7" s="519">
        <v>499</v>
      </c>
      <c r="E7" s="532"/>
      <c r="F7" s="532"/>
      <c r="G7" s="532"/>
      <c r="H7" s="532"/>
      <c r="I7" s="532"/>
      <c r="J7" s="532">
        <f>SUM(E7:I7)</f>
        <v>0</v>
      </c>
    </row>
    <row r="8" spans="1:13">
      <c r="A8" s="529">
        <v>6</v>
      </c>
      <c r="B8" s="795"/>
      <c r="C8" s="517" t="s">
        <v>615</v>
      </c>
      <c r="D8" s="519">
        <v>489.9</v>
      </c>
      <c r="E8" s="532"/>
      <c r="F8" s="532"/>
      <c r="G8" s="532"/>
      <c r="H8" s="532"/>
      <c r="I8" s="532"/>
      <c r="J8" s="532">
        <f>SUM(E8:I8)</f>
        <v>0</v>
      </c>
    </row>
    <row r="9" spans="1:13">
      <c r="A9" s="529">
        <v>7</v>
      </c>
      <c r="B9" s="795"/>
      <c r="C9" s="518" t="s">
        <v>1080</v>
      </c>
      <c r="D9" s="518"/>
      <c r="E9" s="532">
        <f t="shared" ref="E9:J9" si="0">SUM(E4:E8)</f>
        <v>97109939.480845869</v>
      </c>
      <c r="F9" s="532">
        <f t="shared" si="0"/>
        <v>23833867.659896482</v>
      </c>
      <c r="G9" s="532">
        <f t="shared" si="0"/>
        <v>0</v>
      </c>
      <c r="H9" s="532">
        <f t="shared" si="0"/>
        <v>639376.41895967908</v>
      </c>
      <c r="I9" s="532">
        <f t="shared" si="0"/>
        <v>3733816.4402979673</v>
      </c>
      <c r="J9" s="532">
        <f t="shared" si="0"/>
        <v>125317000</v>
      </c>
    </row>
    <row r="10" spans="1:13">
      <c r="A10" s="529">
        <v>8</v>
      </c>
      <c r="B10" s="795"/>
      <c r="C10" s="521" t="s">
        <v>389</v>
      </c>
      <c r="D10" s="522" t="s">
        <v>393</v>
      </c>
      <c r="E10" s="532">
        <f>-Detail!I425</f>
        <v>0</v>
      </c>
      <c r="F10" s="532">
        <f>-Detail!J425</f>
        <v>0</v>
      </c>
      <c r="G10" s="532">
        <f>-Detail!K425</f>
        <v>0</v>
      </c>
      <c r="H10" s="532">
        <f>-Detail!L425</f>
        <v>0</v>
      </c>
      <c r="I10" s="532">
        <f>-Detail!M425</f>
        <v>0</v>
      </c>
      <c r="J10" s="532">
        <f t="shared" ref="J10:J15" si="1">SUM(E10:I10)</f>
        <v>0</v>
      </c>
    </row>
    <row r="11" spans="1:13">
      <c r="A11" s="529">
        <v>9</v>
      </c>
      <c r="B11" s="795"/>
      <c r="C11" s="521" t="s">
        <v>80</v>
      </c>
      <c r="D11" s="522">
        <v>488</v>
      </c>
      <c r="E11" s="532">
        <f>-Detail!I426</f>
        <v>2251.8905489140825</v>
      </c>
      <c r="F11" s="532">
        <f>-Detail!J426</f>
        <v>575.9713248030049</v>
      </c>
      <c r="G11" s="532">
        <f>-Detail!K426</f>
        <v>0</v>
      </c>
      <c r="H11" s="532">
        <f>-Detail!L426</f>
        <v>14.217227755215147</v>
      </c>
      <c r="I11" s="532">
        <f>-Detail!M426</f>
        <v>157.92089852769774</v>
      </c>
      <c r="J11" s="532">
        <f t="shared" si="1"/>
        <v>3000</v>
      </c>
    </row>
    <row r="12" spans="1:13">
      <c r="A12" s="529">
        <v>10</v>
      </c>
      <c r="B12" s="795"/>
      <c r="C12" s="521" t="s">
        <v>1150</v>
      </c>
      <c r="D12" s="522">
        <v>489.3</v>
      </c>
      <c r="E12" s="532">
        <f>-Detail!I428</f>
        <v>1184429.8512756859</v>
      </c>
      <c r="F12" s="532">
        <f>-Detail!J428</f>
        <v>441709.85772786714</v>
      </c>
      <c r="G12" s="532">
        <f>-Detail!K428</f>
        <v>0</v>
      </c>
      <c r="H12" s="532">
        <f>-Detail!L428</f>
        <v>12027.749813343538</v>
      </c>
      <c r="I12" s="532">
        <f>-Detail!M428</f>
        <v>20832.541183103451</v>
      </c>
      <c r="J12" s="532">
        <f t="shared" si="1"/>
        <v>1659000</v>
      </c>
    </row>
    <row r="13" spans="1:13">
      <c r="A13" s="529">
        <v>11</v>
      </c>
      <c r="B13" s="795"/>
      <c r="C13" s="521" t="s">
        <v>1151</v>
      </c>
      <c r="D13" s="522">
        <v>493</v>
      </c>
      <c r="E13" s="532">
        <f>-Detail!I427</f>
        <v>0</v>
      </c>
      <c r="F13" s="532">
        <f>-Detail!J427</f>
        <v>0</v>
      </c>
      <c r="G13" s="532">
        <f>-Detail!K427</f>
        <v>0</v>
      </c>
      <c r="H13" s="532">
        <f>-Detail!L427</f>
        <v>0</v>
      </c>
      <c r="I13" s="532">
        <f>-Detail!M427</f>
        <v>0</v>
      </c>
      <c r="J13" s="532">
        <f t="shared" si="1"/>
        <v>0</v>
      </c>
    </row>
    <row r="14" spans="1:13">
      <c r="A14" s="529">
        <v>12</v>
      </c>
      <c r="B14" s="795"/>
      <c r="C14" s="521" t="s">
        <v>1143</v>
      </c>
      <c r="D14" s="522">
        <v>495</v>
      </c>
      <c r="E14" s="532">
        <f>-Detail!I429</f>
        <v>280895.86441715452</v>
      </c>
      <c r="F14" s="532">
        <f>-Detail!J429</f>
        <v>70898.397390988466</v>
      </c>
      <c r="G14" s="532">
        <f>-Detail!K429</f>
        <v>0</v>
      </c>
      <c r="H14" s="532">
        <f>-Detail!L429</f>
        <v>1762.159772343738</v>
      </c>
      <c r="I14" s="532">
        <f>-Detail!M429</f>
        <v>17443.578419513324</v>
      </c>
      <c r="J14" s="532">
        <f t="shared" si="1"/>
        <v>371000.00000000006</v>
      </c>
    </row>
    <row r="15" spans="1:13">
      <c r="A15" s="529">
        <v>13</v>
      </c>
      <c r="B15" s="795"/>
      <c r="C15" s="521" t="s">
        <v>1152</v>
      </c>
      <c r="D15" s="522">
        <v>496</v>
      </c>
      <c r="E15" s="532">
        <f>-Detail!I430</f>
        <v>260453.30824663382</v>
      </c>
      <c r="F15" s="532">
        <f>-Detail!J430</f>
        <v>65738.675747978516</v>
      </c>
      <c r="G15" s="532">
        <f>-Detail!K430</f>
        <v>0</v>
      </c>
      <c r="H15" s="532">
        <f>-Detail!L430</f>
        <v>1633.9163387769431</v>
      </c>
      <c r="I15" s="532">
        <f>-Detail!M430</f>
        <v>16174.099666610737</v>
      </c>
      <c r="J15" s="532">
        <f t="shared" si="1"/>
        <v>344000</v>
      </c>
    </row>
    <row r="16" spans="1:13">
      <c r="A16" s="529">
        <v>14</v>
      </c>
      <c r="B16" s="795"/>
      <c r="C16" s="520" t="s">
        <v>1081</v>
      </c>
      <c r="D16" s="520"/>
      <c r="E16" s="532">
        <f>SUM(E10:E15)</f>
        <v>1728030.9144883882</v>
      </c>
      <c r="F16" s="532">
        <f t="shared" ref="F16:I16" si="2">SUM(F10:F15)</f>
        <v>578922.9021916372</v>
      </c>
      <c r="G16" s="532">
        <f t="shared" si="2"/>
        <v>0</v>
      </c>
      <c r="H16" s="532">
        <f t="shared" si="2"/>
        <v>15438.043152219434</v>
      </c>
      <c r="I16" s="532">
        <f t="shared" si="2"/>
        <v>54608.140167755206</v>
      </c>
      <c r="J16" s="532">
        <f>SUM(J10:J15)</f>
        <v>2377000</v>
      </c>
    </row>
    <row r="17" spans="1:10">
      <c r="A17" s="529">
        <v>15</v>
      </c>
      <c r="B17" s="498"/>
      <c r="C17" s="524" t="s">
        <v>1079</v>
      </c>
      <c r="D17" s="524"/>
      <c r="E17" s="532">
        <f>E16+E9</f>
        <v>98837970.395334259</v>
      </c>
      <c r="F17" s="532">
        <f>F16+F9</f>
        <v>24412790.562088121</v>
      </c>
      <c r="G17" s="532">
        <f t="shared" ref="G17:I17" si="3">G16+G9</f>
        <v>0</v>
      </c>
      <c r="H17" s="532">
        <f t="shared" si="3"/>
        <v>654814.46211189847</v>
      </c>
      <c r="I17" s="532">
        <f t="shared" si="3"/>
        <v>3788424.5804657224</v>
      </c>
      <c r="J17" s="532">
        <f>J16+J9</f>
        <v>127694000</v>
      </c>
    </row>
    <row r="18" spans="1:10">
      <c r="A18" s="529">
        <v>16</v>
      </c>
      <c r="B18" s="796" t="s">
        <v>282</v>
      </c>
      <c r="C18" s="521" t="s">
        <v>1153</v>
      </c>
      <c r="D18" s="543" t="s">
        <v>1154</v>
      </c>
      <c r="E18" s="532">
        <f>Detail!I177</f>
        <v>0</v>
      </c>
      <c r="F18" s="532">
        <f>Detail!J177</f>
        <v>0</v>
      </c>
      <c r="G18" s="532">
        <f>Detail!K177</f>
        <v>0</v>
      </c>
      <c r="H18" s="532">
        <f>Detail!L177</f>
        <v>0</v>
      </c>
      <c r="I18" s="532">
        <f>Detail!M177</f>
        <v>0</v>
      </c>
      <c r="J18" s="532">
        <f>SUM(E18:I18)</f>
        <v>0</v>
      </c>
    </row>
    <row r="19" spans="1:10">
      <c r="A19" s="529">
        <v>17</v>
      </c>
      <c r="B19" s="796"/>
      <c r="C19" s="521" t="s">
        <v>675</v>
      </c>
      <c r="D19" s="543">
        <v>808</v>
      </c>
      <c r="E19" s="532">
        <v>0</v>
      </c>
      <c r="F19" s="532">
        <v>0</v>
      </c>
      <c r="G19" s="532">
        <v>0</v>
      </c>
      <c r="H19" s="532">
        <v>0</v>
      </c>
      <c r="I19" s="532">
        <v>0</v>
      </c>
      <c r="J19" s="532">
        <f>SUM(E19:I19)</f>
        <v>0</v>
      </c>
    </row>
    <row r="20" spans="1:10">
      <c r="A20" s="529">
        <v>18</v>
      </c>
      <c r="B20" s="796"/>
      <c r="C20" s="523" t="s">
        <v>1155</v>
      </c>
      <c r="D20" s="543"/>
      <c r="E20" s="532">
        <f t="shared" ref="E20:J20" si="4">SUM(E18:E19)</f>
        <v>0</v>
      </c>
      <c r="F20" s="532">
        <f t="shared" si="4"/>
        <v>0</v>
      </c>
      <c r="G20" s="532">
        <f t="shared" si="4"/>
        <v>0</v>
      </c>
      <c r="H20" s="532">
        <f t="shared" si="4"/>
        <v>0</v>
      </c>
      <c r="I20" s="532">
        <f t="shared" si="4"/>
        <v>0</v>
      </c>
      <c r="J20" s="532">
        <f t="shared" si="4"/>
        <v>0</v>
      </c>
    </row>
    <row r="21" spans="1:10">
      <c r="A21" s="529">
        <v>19</v>
      </c>
      <c r="B21" s="796"/>
      <c r="C21" s="521" t="s">
        <v>1156</v>
      </c>
      <c r="D21" s="543">
        <v>811</v>
      </c>
      <c r="E21" s="532">
        <v>0</v>
      </c>
      <c r="F21" s="532">
        <v>0</v>
      </c>
      <c r="G21" s="532">
        <v>0</v>
      </c>
      <c r="H21" s="532">
        <v>0</v>
      </c>
      <c r="I21" s="532">
        <v>0</v>
      </c>
      <c r="J21" s="532">
        <f>SUM(E21:I21)</f>
        <v>0</v>
      </c>
    </row>
    <row r="22" spans="1:10">
      <c r="A22" s="529">
        <v>20</v>
      </c>
      <c r="B22" s="796"/>
      <c r="C22" s="521" t="s">
        <v>670</v>
      </c>
      <c r="D22" s="543">
        <v>813.01</v>
      </c>
      <c r="E22" s="532">
        <f>Detail!I178</f>
        <v>63411.883076658691</v>
      </c>
      <c r="F22" s="532">
        <f>Detail!J178</f>
        <v>24840.694651168422</v>
      </c>
      <c r="G22" s="532">
        <f>Detail!K178</f>
        <v>0</v>
      </c>
      <c r="H22" s="532">
        <f>Detail!L178</f>
        <v>747.4222721728878</v>
      </c>
      <c r="I22" s="532">
        <f>Detail!M178</f>
        <v>0</v>
      </c>
      <c r="J22" s="532">
        <f>SUM(E22:I22)</f>
        <v>89000</v>
      </c>
    </row>
    <row r="23" spans="1:10">
      <c r="A23" s="529">
        <v>21</v>
      </c>
      <c r="B23" s="796"/>
      <c r="C23" s="521" t="s">
        <v>285</v>
      </c>
      <c r="D23" s="543">
        <v>813</v>
      </c>
      <c r="E23" s="532">
        <f>Detail!I179</f>
        <v>558720.55302313401</v>
      </c>
      <c r="F23" s="532">
        <f>Detail!J179</f>
        <v>270708.563990767</v>
      </c>
      <c r="G23" s="532">
        <f>Detail!K179</f>
        <v>0</v>
      </c>
      <c r="H23" s="532">
        <f>Detail!L179</f>
        <v>11054.264682217188</v>
      </c>
      <c r="I23" s="532">
        <f>Detail!M179</f>
        <v>24516.618303881845</v>
      </c>
      <c r="J23" s="532">
        <f>SUM(E23:I23)</f>
        <v>865000</v>
      </c>
    </row>
    <row r="24" spans="1:10">
      <c r="A24" s="529">
        <v>22</v>
      </c>
      <c r="B24" s="796"/>
      <c r="C24" s="518" t="s">
        <v>1082</v>
      </c>
      <c r="D24" s="544"/>
      <c r="E24" s="532">
        <f t="shared" ref="E24:J24" si="5">SUM(E21:E23)</f>
        <v>622132.43609979271</v>
      </c>
      <c r="F24" s="532">
        <f t="shared" si="5"/>
        <v>295549.25864193542</v>
      </c>
      <c r="G24" s="532">
        <f t="shared" si="5"/>
        <v>0</v>
      </c>
      <c r="H24" s="532">
        <f t="shared" si="5"/>
        <v>11801.686954390076</v>
      </c>
      <c r="I24" s="532">
        <f t="shared" si="5"/>
        <v>24516.618303881845</v>
      </c>
      <c r="J24" s="532">
        <f t="shared" si="5"/>
        <v>954000</v>
      </c>
    </row>
    <row r="25" spans="1:10">
      <c r="A25" s="529">
        <v>23</v>
      </c>
      <c r="B25" s="500"/>
      <c r="C25" s="525" t="s">
        <v>286</v>
      </c>
      <c r="D25" s="553"/>
      <c r="E25" s="532">
        <f>E24+E20</f>
        <v>622132.43609979271</v>
      </c>
      <c r="F25" s="532">
        <f t="shared" ref="F25:J25" si="6">F24+F20</f>
        <v>295549.25864193542</v>
      </c>
      <c r="G25" s="532">
        <f t="shared" si="6"/>
        <v>0</v>
      </c>
      <c r="H25" s="532">
        <f t="shared" si="6"/>
        <v>11801.686954390076</v>
      </c>
      <c r="I25" s="532">
        <f t="shared" si="6"/>
        <v>24516.618303881845</v>
      </c>
      <c r="J25" s="532">
        <f t="shared" si="6"/>
        <v>954000</v>
      </c>
    </row>
    <row r="26" spans="1:10">
      <c r="A26" s="529">
        <v>24</v>
      </c>
      <c r="B26" s="796" t="s">
        <v>1157</v>
      </c>
      <c r="C26" s="521" t="s">
        <v>1</v>
      </c>
      <c r="D26" s="545">
        <v>814</v>
      </c>
      <c r="E26" s="532">
        <f>Detail!I183</f>
        <v>0</v>
      </c>
      <c r="F26" s="532">
        <f>Detail!J183</f>
        <v>0</v>
      </c>
      <c r="G26" s="532">
        <f>Detail!K183</f>
        <v>0</v>
      </c>
      <c r="H26" s="532">
        <f>Detail!L183</f>
        <v>0</v>
      </c>
      <c r="I26" s="532">
        <f>Detail!M183</f>
        <v>0</v>
      </c>
      <c r="J26" s="532">
        <f>SUM(E26:I26)</f>
        <v>0</v>
      </c>
    </row>
    <row r="27" spans="1:10">
      <c r="A27" s="529">
        <v>25</v>
      </c>
      <c r="B27" s="796"/>
      <c r="C27" s="521" t="s">
        <v>289</v>
      </c>
      <c r="D27" s="545">
        <v>815</v>
      </c>
      <c r="E27" s="532">
        <f>Detail!I184</f>
        <v>0</v>
      </c>
      <c r="F27" s="532">
        <f>Detail!J184</f>
        <v>0</v>
      </c>
      <c r="G27" s="532">
        <f>Detail!K184</f>
        <v>0</v>
      </c>
      <c r="H27" s="532">
        <f>Detail!L184</f>
        <v>0</v>
      </c>
      <c r="I27" s="532">
        <f>Detail!M184</f>
        <v>0</v>
      </c>
      <c r="J27" s="532">
        <f t="shared" ref="J27:J36" si="7">SUM(E27:I27)</f>
        <v>0</v>
      </c>
    </row>
    <row r="28" spans="1:10">
      <c r="A28" s="529">
        <v>26</v>
      </c>
      <c r="B28" s="796"/>
      <c r="C28" s="521" t="s">
        <v>290</v>
      </c>
      <c r="D28" s="545">
        <v>816</v>
      </c>
      <c r="E28" s="532">
        <f>Detail!I185</f>
        <v>0</v>
      </c>
      <c r="F28" s="532">
        <f>Detail!J185</f>
        <v>0</v>
      </c>
      <c r="G28" s="532">
        <f>Detail!K185</f>
        <v>0</v>
      </c>
      <c r="H28" s="532">
        <f>Detail!L185</f>
        <v>0</v>
      </c>
      <c r="I28" s="532">
        <f>Detail!M185</f>
        <v>0</v>
      </c>
      <c r="J28" s="532">
        <f t="shared" si="7"/>
        <v>0</v>
      </c>
    </row>
    <row r="29" spans="1:10">
      <c r="A29" s="529">
        <v>27</v>
      </c>
      <c r="B29" s="796"/>
      <c r="C29" s="521" t="s">
        <v>291</v>
      </c>
      <c r="D29" s="545">
        <v>817</v>
      </c>
      <c r="E29" s="532">
        <f>Detail!I186</f>
        <v>0</v>
      </c>
      <c r="F29" s="532">
        <f>Detail!J186</f>
        <v>0</v>
      </c>
      <c r="G29" s="532">
        <f>Detail!K186</f>
        <v>0</v>
      </c>
      <c r="H29" s="532">
        <f>Detail!L186</f>
        <v>0</v>
      </c>
      <c r="I29" s="532">
        <f>Detail!M186</f>
        <v>0</v>
      </c>
      <c r="J29" s="532">
        <f t="shared" si="7"/>
        <v>0</v>
      </c>
    </row>
    <row r="30" spans="1:10">
      <c r="A30" s="529">
        <v>28</v>
      </c>
      <c r="B30" s="796"/>
      <c r="C30" s="521" t="s">
        <v>292</v>
      </c>
      <c r="D30" s="545">
        <v>818</v>
      </c>
      <c r="E30" s="532">
        <f>Detail!I187</f>
        <v>0</v>
      </c>
      <c r="F30" s="532">
        <f>Detail!J187</f>
        <v>0</v>
      </c>
      <c r="G30" s="532">
        <f>Detail!K187</f>
        <v>0</v>
      </c>
      <c r="H30" s="532">
        <f>Detail!L187</f>
        <v>0</v>
      </c>
      <c r="I30" s="532">
        <f>Detail!M187</f>
        <v>0</v>
      </c>
      <c r="J30" s="532">
        <f t="shared" si="7"/>
        <v>0</v>
      </c>
    </row>
    <row r="31" spans="1:10">
      <c r="A31" s="529">
        <v>29</v>
      </c>
      <c r="B31" s="796"/>
      <c r="C31" s="521" t="s">
        <v>293</v>
      </c>
      <c r="D31" s="545">
        <v>819</v>
      </c>
      <c r="E31" s="532">
        <f>Detail!I188</f>
        <v>0</v>
      </c>
      <c r="F31" s="532">
        <f>Detail!J188</f>
        <v>0</v>
      </c>
      <c r="G31" s="532">
        <f>Detail!K188</f>
        <v>0</v>
      </c>
      <c r="H31" s="532">
        <f>Detail!L188</f>
        <v>0</v>
      </c>
      <c r="I31" s="532">
        <f>Detail!M188</f>
        <v>0</v>
      </c>
      <c r="J31" s="532">
        <f t="shared" si="7"/>
        <v>0</v>
      </c>
    </row>
    <row r="32" spans="1:10">
      <c r="A32" s="529">
        <v>30</v>
      </c>
      <c r="B32" s="796"/>
      <c r="C32" s="521" t="s">
        <v>294</v>
      </c>
      <c r="D32" s="545">
        <v>820</v>
      </c>
      <c r="E32" s="532">
        <f>Detail!I189</f>
        <v>0</v>
      </c>
      <c r="F32" s="532">
        <f>Detail!J189</f>
        <v>0</v>
      </c>
      <c r="G32" s="532">
        <f>Detail!K189</f>
        <v>0</v>
      </c>
      <c r="H32" s="532">
        <f>Detail!L189</f>
        <v>0</v>
      </c>
      <c r="I32" s="532">
        <f>Detail!M189</f>
        <v>0</v>
      </c>
      <c r="J32" s="532">
        <f t="shared" si="7"/>
        <v>0</v>
      </c>
    </row>
    <row r="33" spans="1:10">
      <c r="A33" s="529">
        <v>31</v>
      </c>
      <c r="B33" s="796"/>
      <c r="C33" s="521" t="s">
        <v>295</v>
      </c>
      <c r="D33" s="545">
        <v>821</v>
      </c>
      <c r="E33" s="532">
        <f>Detail!I190</f>
        <v>0</v>
      </c>
      <c r="F33" s="532">
        <f>Detail!J190</f>
        <v>0</v>
      </c>
      <c r="G33" s="532">
        <f>Detail!K190</f>
        <v>0</v>
      </c>
      <c r="H33" s="532">
        <f>Detail!L190</f>
        <v>0</v>
      </c>
      <c r="I33" s="532">
        <f>Detail!M190</f>
        <v>0</v>
      </c>
      <c r="J33" s="532">
        <f t="shared" si="7"/>
        <v>0</v>
      </c>
    </row>
    <row r="34" spans="1:10">
      <c r="A34" s="529">
        <v>32</v>
      </c>
      <c r="B34" s="796"/>
      <c r="C34" s="521" t="s">
        <v>296</v>
      </c>
      <c r="D34" s="545">
        <v>824</v>
      </c>
      <c r="E34" s="532">
        <f>Detail!I191</f>
        <v>407660.90722026321</v>
      </c>
      <c r="F34" s="532">
        <f>Detail!J191</f>
        <v>152029.13126136959</v>
      </c>
      <c r="G34" s="532">
        <f>Detail!K191</f>
        <v>0</v>
      </c>
      <c r="H34" s="532">
        <f>Detail!L191</f>
        <v>4139.7499357559736</v>
      </c>
      <c r="I34" s="532">
        <f>Detail!M191</f>
        <v>7170.2115826112549</v>
      </c>
      <c r="J34" s="532">
        <f t="shared" si="7"/>
        <v>571000</v>
      </c>
    </row>
    <row r="35" spans="1:10">
      <c r="A35" s="529">
        <v>33</v>
      </c>
      <c r="B35" s="796"/>
      <c r="C35" s="521" t="s">
        <v>297</v>
      </c>
      <c r="D35" s="545">
        <v>825</v>
      </c>
      <c r="E35" s="532">
        <f>Detail!I192</f>
        <v>0</v>
      </c>
      <c r="F35" s="532">
        <f>Detail!J192</f>
        <v>0</v>
      </c>
      <c r="G35" s="532">
        <f>Detail!K192</f>
        <v>0</v>
      </c>
      <c r="H35" s="532">
        <f>Detail!L192</f>
        <v>0</v>
      </c>
      <c r="I35" s="532">
        <f>Detail!M192</f>
        <v>0</v>
      </c>
      <c r="J35" s="532">
        <f t="shared" si="7"/>
        <v>0</v>
      </c>
    </row>
    <row r="36" spans="1:10">
      <c r="A36" s="529">
        <v>34</v>
      </c>
      <c r="B36" s="796"/>
      <c r="C36" s="521" t="s">
        <v>2</v>
      </c>
      <c r="D36" s="545">
        <v>826</v>
      </c>
      <c r="E36" s="532">
        <f>Detail!I193</f>
        <v>0</v>
      </c>
      <c r="F36" s="532">
        <f>Detail!J193</f>
        <v>0</v>
      </c>
      <c r="G36" s="532">
        <f>Detail!K193</f>
        <v>0</v>
      </c>
      <c r="H36" s="532">
        <f>Detail!L193</f>
        <v>0</v>
      </c>
      <c r="I36" s="532">
        <f>Detail!M193</f>
        <v>0</v>
      </c>
      <c r="J36" s="532">
        <f t="shared" si="7"/>
        <v>0</v>
      </c>
    </row>
    <row r="37" spans="1:10">
      <c r="A37" s="529">
        <v>35</v>
      </c>
      <c r="B37" s="796"/>
      <c r="C37" s="554" t="s">
        <v>1083</v>
      </c>
      <c r="D37" s="555"/>
      <c r="E37" s="532">
        <f t="shared" ref="E37:J37" si="8">SUM(E26:E36)</f>
        <v>407660.90722026321</v>
      </c>
      <c r="F37" s="532">
        <f t="shared" si="8"/>
        <v>152029.13126136959</v>
      </c>
      <c r="G37" s="532">
        <f t="shared" si="8"/>
        <v>0</v>
      </c>
      <c r="H37" s="532">
        <f t="shared" si="8"/>
        <v>4139.7499357559736</v>
      </c>
      <c r="I37" s="532">
        <f t="shared" si="8"/>
        <v>7170.2115826112549</v>
      </c>
      <c r="J37" s="532">
        <f t="shared" si="8"/>
        <v>571000</v>
      </c>
    </row>
    <row r="38" spans="1:10">
      <c r="A38" s="529">
        <v>36</v>
      </c>
      <c r="B38" s="795" t="s">
        <v>1158</v>
      </c>
      <c r="C38" s="521" t="s">
        <v>1</v>
      </c>
      <c r="D38" s="545">
        <v>830</v>
      </c>
      <c r="E38" s="532">
        <f>Detail!I195</f>
        <v>0</v>
      </c>
      <c r="F38" s="532">
        <f>Detail!J195</f>
        <v>0</v>
      </c>
      <c r="G38" s="532">
        <f>Detail!K195</f>
        <v>0</v>
      </c>
      <c r="H38" s="532">
        <f>Detail!L195</f>
        <v>0</v>
      </c>
      <c r="I38" s="532">
        <f>Detail!M195</f>
        <v>0</v>
      </c>
      <c r="J38" s="532">
        <f>SUM(E38:I38)</f>
        <v>0</v>
      </c>
    </row>
    <row r="39" spans="1:10">
      <c r="A39" s="529">
        <v>37</v>
      </c>
      <c r="B39" s="795"/>
      <c r="C39" s="521" t="s">
        <v>289</v>
      </c>
      <c r="D39" s="545">
        <v>831</v>
      </c>
      <c r="E39" s="532">
        <f>Detail!I196</f>
        <v>0</v>
      </c>
      <c r="F39" s="532">
        <f>Detail!J196</f>
        <v>0</v>
      </c>
      <c r="G39" s="532">
        <f>Detail!K196</f>
        <v>0</v>
      </c>
      <c r="H39" s="532">
        <f>Detail!L196</f>
        <v>0</v>
      </c>
      <c r="I39" s="532">
        <f>Detail!M196</f>
        <v>0</v>
      </c>
      <c r="J39" s="532">
        <f t="shared" ref="J39:J45" si="9">SUM(E39:I39)</f>
        <v>0</v>
      </c>
    </row>
    <row r="40" spans="1:10">
      <c r="A40" s="529">
        <v>38</v>
      </c>
      <c r="B40" s="795"/>
      <c r="C40" s="521" t="s">
        <v>290</v>
      </c>
      <c r="D40" s="545">
        <v>832</v>
      </c>
      <c r="E40" s="532">
        <f>Detail!I197</f>
        <v>0</v>
      </c>
      <c r="F40" s="532">
        <f>Detail!J197</f>
        <v>0</v>
      </c>
      <c r="G40" s="532">
        <f>Detail!K197</f>
        <v>0</v>
      </c>
      <c r="H40" s="532">
        <f>Detail!L197</f>
        <v>0</v>
      </c>
      <c r="I40" s="532">
        <f>Detail!M197</f>
        <v>0</v>
      </c>
      <c r="J40" s="532">
        <f t="shared" si="9"/>
        <v>0</v>
      </c>
    </row>
    <row r="41" spans="1:10">
      <c r="A41" s="529">
        <v>39</v>
      </c>
      <c r="B41" s="795"/>
      <c r="C41" s="521" t="s">
        <v>291</v>
      </c>
      <c r="D41" s="545">
        <v>833</v>
      </c>
      <c r="E41" s="532">
        <f>Detail!I198</f>
        <v>0</v>
      </c>
      <c r="F41" s="532">
        <f>Detail!J198</f>
        <v>0</v>
      </c>
      <c r="G41" s="532">
        <f>Detail!K198</f>
        <v>0</v>
      </c>
      <c r="H41" s="532">
        <f>Detail!L198</f>
        <v>0</v>
      </c>
      <c r="I41" s="532">
        <f>Detail!M198</f>
        <v>0</v>
      </c>
      <c r="J41" s="532">
        <f t="shared" si="9"/>
        <v>0</v>
      </c>
    </row>
    <row r="42" spans="1:10">
      <c r="A42" s="529">
        <v>40</v>
      </c>
      <c r="B42" s="795"/>
      <c r="C42" s="521" t="s">
        <v>292</v>
      </c>
      <c r="D42" s="545">
        <v>834</v>
      </c>
      <c r="E42" s="532">
        <f>Detail!I199</f>
        <v>0</v>
      </c>
      <c r="F42" s="532">
        <f>Detail!J199</f>
        <v>0</v>
      </c>
      <c r="G42" s="532">
        <f>Detail!K199</f>
        <v>0</v>
      </c>
      <c r="H42" s="532">
        <f>Detail!L199</f>
        <v>0</v>
      </c>
      <c r="I42" s="532">
        <f>Detail!M199</f>
        <v>0</v>
      </c>
      <c r="J42" s="532">
        <f t="shared" si="9"/>
        <v>0</v>
      </c>
    </row>
    <row r="43" spans="1:10">
      <c r="A43" s="529">
        <v>41</v>
      </c>
      <c r="B43" s="795"/>
      <c r="C43" s="521" t="s">
        <v>293</v>
      </c>
      <c r="D43" s="545">
        <v>835</v>
      </c>
      <c r="E43" s="532">
        <f>Detail!I200</f>
        <v>0</v>
      </c>
      <c r="F43" s="532">
        <f>Detail!J200</f>
        <v>0</v>
      </c>
      <c r="G43" s="532">
        <f>Detail!K200</f>
        <v>0</v>
      </c>
      <c r="H43" s="532">
        <f>Detail!L200</f>
        <v>0</v>
      </c>
      <c r="I43" s="532">
        <f>Detail!M200</f>
        <v>0</v>
      </c>
      <c r="J43" s="532">
        <f t="shared" si="9"/>
        <v>0</v>
      </c>
    </row>
    <row r="44" spans="1:10" ht="15.6" customHeight="1">
      <c r="A44" s="529">
        <v>42</v>
      </c>
      <c r="B44" s="795"/>
      <c r="C44" s="521" t="s">
        <v>317</v>
      </c>
      <c r="D44" s="545">
        <v>836</v>
      </c>
      <c r="E44" s="532">
        <f>Detail!I201</f>
        <v>0</v>
      </c>
      <c r="F44" s="532">
        <f>Detail!J201</f>
        <v>0</v>
      </c>
      <c r="G44" s="532">
        <f>Detail!K201</f>
        <v>0</v>
      </c>
      <c r="H44" s="532">
        <f>Detail!L201</f>
        <v>0</v>
      </c>
      <c r="I44" s="532">
        <f>Detail!M201</f>
        <v>0</v>
      </c>
      <c r="J44" s="532">
        <f t="shared" si="9"/>
        <v>0</v>
      </c>
    </row>
    <row r="45" spans="1:10">
      <c r="A45" s="529">
        <v>43</v>
      </c>
      <c r="B45" s="795"/>
      <c r="C45" s="521" t="s">
        <v>242</v>
      </c>
      <c r="D45" s="545">
        <v>837</v>
      </c>
      <c r="E45" s="532">
        <f>Detail!I202</f>
        <v>1233691.8523233186</v>
      </c>
      <c r="F45" s="532">
        <f>Detail!J202</f>
        <v>460081.1537997314</v>
      </c>
      <c r="G45" s="532">
        <f>Detail!K202</f>
        <v>0</v>
      </c>
      <c r="H45" s="532">
        <f>Detail!L202</f>
        <v>12527.99980558025</v>
      </c>
      <c r="I45" s="532">
        <f>Detail!M202</f>
        <v>21698.994071369962</v>
      </c>
      <c r="J45" s="532">
        <f t="shared" si="9"/>
        <v>1728000.0000000005</v>
      </c>
    </row>
    <row r="46" spans="1:10">
      <c r="A46" s="529">
        <v>44</v>
      </c>
      <c r="B46" s="795"/>
      <c r="C46" s="554" t="s">
        <v>1084</v>
      </c>
      <c r="D46" s="555"/>
      <c r="E46" s="532">
        <f t="shared" ref="E46:J46" si="10">SUM(E38:E45)</f>
        <v>1233691.8523233186</v>
      </c>
      <c r="F46" s="532">
        <f t="shared" si="10"/>
        <v>460081.1537997314</v>
      </c>
      <c r="G46" s="532">
        <f t="shared" si="10"/>
        <v>0</v>
      </c>
      <c r="H46" s="532">
        <f t="shared" si="10"/>
        <v>12527.99980558025</v>
      </c>
      <c r="I46" s="532">
        <f t="shared" si="10"/>
        <v>21698.994071369962</v>
      </c>
      <c r="J46" s="532">
        <f t="shared" si="10"/>
        <v>1728000.0000000005</v>
      </c>
    </row>
    <row r="47" spans="1:10">
      <c r="A47" s="529">
        <v>45</v>
      </c>
      <c r="B47" s="500"/>
      <c r="C47" s="525" t="s">
        <v>319</v>
      </c>
      <c r="D47" s="525"/>
      <c r="E47" s="532">
        <f>E46+E37</f>
        <v>1641352.7595435819</v>
      </c>
      <c r="F47" s="532">
        <f t="shared" ref="F47:J47" si="11">F46+F37</f>
        <v>612110.28506110096</v>
      </c>
      <c r="G47" s="532">
        <f t="shared" si="11"/>
        <v>0</v>
      </c>
      <c r="H47" s="532">
        <f t="shared" si="11"/>
        <v>16667.749741336222</v>
      </c>
      <c r="I47" s="532">
        <f t="shared" si="11"/>
        <v>28869.205653981218</v>
      </c>
      <c r="J47" s="532">
        <f t="shared" si="11"/>
        <v>2299000.0000000005</v>
      </c>
    </row>
    <row r="48" spans="1:10">
      <c r="A48" s="529">
        <v>46</v>
      </c>
      <c r="B48" s="500"/>
      <c r="C48" s="556" t="s">
        <v>1</v>
      </c>
      <c r="D48" s="502">
        <v>870</v>
      </c>
      <c r="E48" s="532">
        <f>Detail!I207</f>
        <v>1322610.3823955378</v>
      </c>
      <c r="F48" s="532">
        <f>Detail!J207</f>
        <v>338287.15810096491</v>
      </c>
      <c r="G48" s="532">
        <f>Detail!K207</f>
        <v>0</v>
      </c>
      <c r="H48" s="532">
        <f>Detail!L207</f>
        <v>8350.2517682296966</v>
      </c>
      <c r="I48" s="532">
        <f>Detail!M207</f>
        <v>92752.207735267802</v>
      </c>
      <c r="J48" s="532">
        <f>SUM(E48:I48)</f>
        <v>1762000.0000000002</v>
      </c>
    </row>
    <row r="49" spans="1:10">
      <c r="A49" s="529">
        <v>47</v>
      </c>
      <c r="B49" s="795" t="s">
        <v>1159</v>
      </c>
      <c r="C49" s="521" t="s">
        <v>330</v>
      </c>
      <c r="D49" s="545">
        <v>871</v>
      </c>
      <c r="E49" s="532">
        <f>Detail!I208</f>
        <v>0</v>
      </c>
      <c r="F49" s="532">
        <f>Detail!J208</f>
        <v>0</v>
      </c>
      <c r="G49" s="532">
        <f>Detail!K208</f>
        <v>0</v>
      </c>
      <c r="H49" s="532">
        <f>Detail!L208</f>
        <v>0</v>
      </c>
      <c r="I49" s="532">
        <f>Detail!M208</f>
        <v>0</v>
      </c>
      <c r="J49" s="532">
        <f t="shared" ref="J49:J58" si="12">SUM(E49:I49)</f>
        <v>0</v>
      </c>
    </row>
    <row r="50" spans="1:10">
      <c r="A50" s="529">
        <v>48</v>
      </c>
      <c r="B50" s="795"/>
      <c r="C50" s="521" t="s">
        <v>665</v>
      </c>
      <c r="D50" s="545">
        <v>872</v>
      </c>
      <c r="E50" s="532">
        <v>0</v>
      </c>
      <c r="F50" s="532">
        <v>0</v>
      </c>
      <c r="G50" s="532">
        <v>0</v>
      </c>
      <c r="H50" s="532">
        <v>0</v>
      </c>
      <c r="I50" s="532">
        <v>0</v>
      </c>
      <c r="J50" s="532">
        <f t="shared" si="12"/>
        <v>0</v>
      </c>
    </row>
    <row r="51" spans="1:10">
      <c r="A51" s="529">
        <v>49</v>
      </c>
      <c r="B51" s="795"/>
      <c r="C51" s="521" t="s">
        <v>331</v>
      </c>
      <c r="D51" s="545">
        <v>874</v>
      </c>
      <c r="E51" s="532">
        <f>Detail!I209</f>
        <v>2618849.1517389384</v>
      </c>
      <c r="F51" s="532">
        <f>Detail!J209</f>
        <v>687996.59062834887</v>
      </c>
      <c r="G51" s="532">
        <f>Detail!K209</f>
        <v>0</v>
      </c>
      <c r="H51" s="532">
        <f>Detail!L209</f>
        <v>18523.81795336054</v>
      </c>
      <c r="I51" s="532">
        <f>Detail!M209</f>
        <v>209630.43967935196</v>
      </c>
      <c r="J51" s="532">
        <f t="shared" si="12"/>
        <v>3535000</v>
      </c>
    </row>
    <row r="52" spans="1:10">
      <c r="A52" s="529">
        <v>50</v>
      </c>
      <c r="B52" s="795"/>
      <c r="C52" s="521" t="s">
        <v>332</v>
      </c>
      <c r="D52" s="545">
        <v>875</v>
      </c>
      <c r="E52" s="532">
        <f>Detail!I210</f>
        <v>55745.988447752163</v>
      </c>
      <c r="F52" s="532">
        <f>Detail!J210</f>
        <v>31540.015643249269</v>
      </c>
      <c r="G52" s="532">
        <f>Detail!K210</f>
        <v>0</v>
      </c>
      <c r="H52" s="532">
        <f>Detail!L210</f>
        <v>881.3535673515355</v>
      </c>
      <c r="I52" s="532">
        <f>Detail!M210</f>
        <v>9832.6423416470261</v>
      </c>
      <c r="J52" s="532">
        <f t="shared" si="12"/>
        <v>97999.999999999985</v>
      </c>
    </row>
    <row r="53" spans="1:10">
      <c r="A53" s="529">
        <v>51</v>
      </c>
      <c r="B53" s="795"/>
      <c r="C53" s="521" t="s">
        <v>333</v>
      </c>
      <c r="D53" s="545">
        <v>876</v>
      </c>
      <c r="E53" s="532">
        <f>Detail!I211</f>
        <v>0</v>
      </c>
      <c r="F53" s="532">
        <f>Detail!J211</f>
        <v>5636.2495181443846</v>
      </c>
      <c r="G53" s="532">
        <f>Detail!K211</f>
        <v>0</v>
      </c>
      <c r="H53" s="532">
        <f>Detail!L211</f>
        <v>53.609510663183208</v>
      </c>
      <c r="I53" s="532">
        <f>Detail!M211</f>
        <v>310.14097119243183</v>
      </c>
      <c r="J53" s="532">
        <f t="shared" si="12"/>
        <v>5999.9999999999991</v>
      </c>
    </row>
    <row r="54" spans="1:10">
      <c r="A54" s="529">
        <v>52</v>
      </c>
      <c r="B54" s="795"/>
      <c r="C54" s="521" t="s">
        <v>334</v>
      </c>
      <c r="D54" s="545">
        <v>877</v>
      </c>
      <c r="E54" s="532">
        <f>Detail!I212</f>
        <v>29010.667457503678</v>
      </c>
      <c r="F54" s="532">
        <f>Detail!J212</f>
        <v>16413.681610262374</v>
      </c>
      <c r="G54" s="532">
        <f>Detail!K212</f>
        <v>0</v>
      </c>
      <c r="H54" s="532">
        <f>Detail!L212</f>
        <v>458.66359117273782</v>
      </c>
      <c r="I54" s="532">
        <f>Detail!M212</f>
        <v>5116.9873410612072</v>
      </c>
      <c r="J54" s="532">
        <f t="shared" si="12"/>
        <v>50999.999999999993</v>
      </c>
    </row>
    <row r="55" spans="1:10">
      <c r="A55" s="529">
        <v>53</v>
      </c>
      <c r="B55" s="795"/>
      <c r="C55" s="521" t="s">
        <v>335</v>
      </c>
      <c r="D55" s="545">
        <v>878</v>
      </c>
      <c r="E55" s="532">
        <f>Detail!I213</f>
        <v>-256376.64041729932</v>
      </c>
      <c r="F55" s="532">
        <f>Detail!J213</f>
        <v>-41524.738088043276</v>
      </c>
      <c r="G55" s="532">
        <f>Detail!K213</f>
        <v>0</v>
      </c>
      <c r="H55" s="532">
        <f>Detail!L213</f>
        <v>-307.65255334567308</v>
      </c>
      <c r="I55" s="532">
        <f>Detail!M213</f>
        <v>-1790.968941311743</v>
      </c>
      <c r="J55" s="532">
        <f t="shared" si="12"/>
        <v>-300000</v>
      </c>
    </row>
    <row r="56" spans="1:10">
      <c r="A56" s="529">
        <v>54</v>
      </c>
      <c r="B56" s="795"/>
      <c r="C56" s="521" t="s">
        <v>336</v>
      </c>
      <c r="D56" s="545">
        <v>879</v>
      </c>
      <c r="E56" s="532">
        <f>Detail!I214</f>
        <v>1514321.4651385541</v>
      </c>
      <c r="F56" s="532">
        <f>Detail!J214</f>
        <v>30310.398274975349</v>
      </c>
      <c r="G56" s="532">
        <f>Detail!K214</f>
        <v>0</v>
      </c>
      <c r="H56" s="532">
        <f>Detail!L214</f>
        <v>28.430350242286696</v>
      </c>
      <c r="I56" s="532">
        <f>Detail!M214</f>
        <v>339.7062362283487</v>
      </c>
      <c r="J56" s="532">
        <f t="shared" si="12"/>
        <v>1545000</v>
      </c>
    </row>
    <row r="57" spans="1:10">
      <c r="A57" s="529">
        <v>55</v>
      </c>
      <c r="B57" s="795"/>
      <c r="C57" s="521" t="s">
        <v>337</v>
      </c>
      <c r="D57" s="545">
        <v>880</v>
      </c>
      <c r="E57" s="532">
        <f>Detail!I215</f>
        <v>1853165.3250854211</v>
      </c>
      <c r="F57" s="532">
        <f>Detail!J215</f>
        <v>382664.30311252415</v>
      </c>
      <c r="G57" s="532">
        <f>Detail!K215</f>
        <v>0</v>
      </c>
      <c r="H57" s="532">
        <f>Detail!L215</f>
        <v>9121.0550000676521</v>
      </c>
      <c r="I57" s="532">
        <f>Detail!M215</f>
        <v>101049.31680198701</v>
      </c>
      <c r="J57" s="532">
        <f t="shared" si="12"/>
        <v>2346000</v>
      </c>
    </row>
    <row r="58" spans="1:10">
      <c r="A58" s="529">
        <v>56</v>
      </c>
      <c r="B58" s="795"/>
      <c r="C58" s="521" t="s">
        <v>2</v>
      </c>
      <c r="D58" s="545">
        <v>881</v>
      </c>
      <c r="E58" s="532">
        <f>Detail!I216</f>
        <v>-3949.6277175733612</v>
      </c>
      <c r="F58" s="532">
        <f>Detail!J216</f>
        <v>-815.56756844101483</v>
      </c>
      <c r="G58" s="532">
        <f>Detail!K216</f>
        <v>0</v>
      </c>
      <c r="H58" s="532">
        <f>Detail!L216</f>
        <v>-19.439588661695762</v>
      </c>
      <c r="I58" s="532">
        <f>Detail!M216</f>
        <v>-215.36512532392797</v>
      </c>
      <c r="J58" s="532">
        <f t="shared" si="12"/>
        <v>-4999.9999999999991</v>
      </c>
    </row>
    <row r="59" spans="1:10">
      <c r="A59" s="529">
        <v>57</v>
      </c>
      <c r="B59" s="521"/>
      <c r="C59" s="518" t="s">
        <v>1085</v>
      </c>
      <c r="D59" s="544"/>
      <c r="E59" s="532">
        <f t="shared" ref="E59:J59" si="13">SUM(E48:E58)</f>
        <v>7133376.7121288357</v>
      </c>
      <c r="F59" s="532">
        <f t="shared" si="13"/>
        <v>1450508.091231985</v>
      </c>
      <c r="G59" s="532">
        <f t="shared" si="13"/>
        <v>0</v>
      </c>
      <c r="H59" s="532">
        <f t="shared" si="13"/>
        <v>37090.089599080267</v>
      </c>
      <c r="I59" s="532">
        <f t="shared" si="13"/>
        <v>417025.10704010009</v>
      </c>
      <c r="J59" s="532">
        <f t="shared" si="13"/>
        <v>9038000</v>
      </c>
    </row>
    <row r="60" spans="1:10">
      <c r="A60" s="529">
        <v>58</v>
      </c>
      <c r="B60" s="795" t="s">
        <v>1160</v>
      </c>
      <c r="C60" s="521" t="s">
        <v>1</v>
      </c>
      <c r="D60" s="522">
        <v>885</v>
      </c>
      <c r="E60" s="532">
        <f>Detail!I218</f>
        <v>12760.713110513134</v>
      </c>
      <c r="F60" s="532">
        <f>Detail!J218</f>
        <v>3263.8375072170279</v>
      </c>
      <c r="G60" s="532">
        <f>Detail!K218</f>
        <v>0</v>
      </c>
      <c r="H60" s="532">
        <f>Detail!L218</f>
        <v>80.564290612885827</v>
      </c>
      <c r="I60" s="532">
        <f>Detail!M218</f>
        <v>894.88509165695393</v>
      </c>
      <c r="J60" s="532">
        <f>SUM(E60:I60)</f>
        <v>17000</v>
      </c>
    </row>
    <row r="61" spans="1:10" s="619" customFormat="1">
      <c r="A61" s="529">
        <v>59</v>
      </c>
      <c r="B61" s="795"/>
      <c r="C61" s="521" t="s">
        <v>244</v>
      </c>
      <c r="D61" s="522">
        <v>887</v>
      </c>
      <c r="E61" s="532">
        <f>Detail!I220</f>
        <v>611499.36307483248</v>
      </c>
      <c r="F61" s="532">
        <f>Detail!J220</f>
        <v>345974.66139278532</v>
      </c>
      <c r="G61" s="532">
        <f>Detail!K220</f>
        <v>0</v>
      </c>
      <c r="H61" s="532">
        <f>Detail!L220</f>
        <v>9667.9090296214345</v>
      </c>
      <c r="I61" s="532">
        <f>Detail!M220</f>
        <v>107858.06650276073</v>
      </c>
      <c r="J61" s="532">
        <f t="shared" ref="J61:J68" si="14">SUM(E61:I61)</f>
        <v>1074999.9999999998</v>
      </c>
    </row>
    <row r="62" spans="1:10">
      <c r="A62" s="529">
        <v>60</v>
      </c>
      <c r="B62" s="795"/>
      <c r="C62" s="521" t="s">
        <v>239</v>
      </c>
      <c r="D62" s="522">
        <v>888</v>
      </c>
      <c r="E62" s="532">
        <v>0</v>
      </c>
      <c r="F62" s="532">
        <v>0</v>
      </c>
      <c r="G62" s="532">
        <v>0</v>
      </c>
      <c r="H62" s="532">
        <v>0</v>
      </c>
      <c r="I62" s="532">
        <v>0</v>
      </c>
      <c r="J62" s="532">
        <f t="shared" si="14"/>
        <v>0</v>
      </c>
    </row>
    <row r="63" spans="1:10">
      <c r="A63" s="529">
        <v>61</v>
      </c>
      <c r="B63" s="795"/>
      <c r="C63" s="521" t="s">
        <v>332</v>
      </c>
      <c r="D63" s="522">
        <v>889</v>
      </c>
      <c r="E63" s="532">
        <f>Detail!I221</f>
        <v>132538.93171761485</v>
      </c>
      <c r="F63" s="532">
        <f>Detail!J221</f>
        <v>74987.996376296724</v>
      </c>
      <c r="G63" s="532">
        <f>Detail!K221</f>
        <v>0</v>
      </c>
      <c r="H63" s="532">
        <f>Detail!L221</f>
        <v>2095.463073397018</v>
      </c>
      <c r="I63" s="532">
        <f>Detail!M221</f>
        <v>23377.608832691396</v>
      </c>
      <c r="J63" s="532">
        <f t="shared" si="14"/>
        <v>232999.99999999997</v>
      </c>
    </row>
    <row r="64" spans="1:10">
      <c r="A64" s="529">
        <v>62</v>
      </c>
      <c r="B64" s="795"/>
      <c r="C64" s="521" t="s">
        <v>333</v>
      </c>
      <c r="D64" s="522">
        <v>890</v>
      </c>
      <c r="E64" s="532">
        <f>Detail!I222</f>
        <v>0</v>
      </c>
      <c r="F64" s="532">
        <f>Detail!J222</f>
        <v>8454.374277216577</v>
      </c>
      <c r="G64" s="532">
        <f>Detail!K222</f>
        <v>0</v>
      </c>
      <c r="H64" s="532">
        <f>Detail!L222</f>
        <v>80.414265994774809</v>
      </c>
      <c r="I64" s="532">
        <f>Detail!M222</f>
        <v>465.21145678864769</v>
      </c>
      <c r="J64" s="532">
        <f t="shared" si="14"/>
        <v>9000</v>
      </c>
    </row>
    <row r="65" spans="1:10">
      <c r="A65" s="529">
        <v>63</v>
      </c>
      <c r="B65" s="795"/>
      <c r="C65" s="521" t="s">
        <v>334</v>
      </c>
      <c r="D65" s="522">
        <v>891</v>
      </c>
      <c r="E65" s="532">
        <f>Detail!I223</f>
        <v>51764.132130055579</v>
      </c>
      <c r="F65" s="532">
        <f>Detail!J223</f>
        <v>29287.157383017176</v>
      </c>
      <c r="G65" s="532">
        <f>Detail!K223</f>
        <v>0</v>
      </c>
      <c r="H65" s="532">
        <f>Detail!L223</f>
        <v>818.39974111214008</v>
      </c>
      <c r="I65" s="532">
        <f>Detail!M223</f>
        <v>9130.3107458150953</v>
      </c>
      <c r="J65" s="532">
        <f t="shared" si="14"/>
        <v>90999.999999999985</v>
      </c>
    </row>
    <row r="66" spans="1:10">
      <c r="A66" s="529">
        <v>64</v>
      </c>
      <c r="B66" s="795"/>
      <c r="C66" s="521" t="s">
        <v>91</v>
      </c>
      <c r="D66" s="522">
        <v>892</v>
      </c>
      <c r="E66" s="532">
        <f>Detail!I224</f>
        <v>1145655.2140223572</v>
      </c>
      <c r="F66" s="532">
        <f>Detail!J224</f>
        <v>22931.237932127282</v>
      </c>
      <c r="G66" s="532">
        <f>Detail!K224</f>
        <v>0</v>
      </c>
      <c r="H66" s="532">
        <f>Detail!L224</f>
        <v>88.127790096085704</v>
      </c>
      <c r="I66" s="532">
        <f>Detail!M224</f>
        <v>3325.4202554194353</v>
      </c>
      <c r="J66" s="532">
        <f t="shared" si="14"/>
        <v>1171999.9999999998</v>
      </c>
    </row>
    <row r="67" spans="1:10">
      <c r="A67" s="529">
        <v>65</v>
      </c>
      <c r="B67" s="795"/>
      <c r="C67" s="521" t="s">
        <v>338</v>
      </c>
      <c r="D67" s="522">
        <v>893</v>
      </c>
      <c r="E67" s="532">
        <f>Detail!I225</f>
        <v>1432290.8311313121</v>
      </c>
      <c r="F67" s="532">
        <f>Detail!J225</f>
        <v>231984.87011853509</v>
      </c>
      <c r="G67" s="532">
        <f>Detail!K225</f>
        <v>0</v>
      </c>
      <c r="H67" s="532">
        <f>Detail!L225</f>
        <v>1718.7522646911602</v>
      </c>
      <c r="I67" s="532">
        <f>Detail!M225</f>
        <v>10005.546485461604</v>
      </c>
      <c r="J67" s="532">
        <f t="shared" si="14"/>
        <v>1675999.9999999998</v>
      </c>
    </row>
    <row r="68" spans="1:10">
      <c r="A68" s="529">
        <v>66</v>
      </c>
      <c r="B68" s="795"/>
      <c r="C68" s="521" t="s">
        <v>242</v>
      </c>
      <c r="D68" s="522">
        <v>894</v>
      </c>
      <c r="E68" s="532">
        <f>Detail!I226</f>
        <v>99083.184152219634</v>
      </c>
      <c r="F68" s="532">
        <f>Detail!J226</f>
        <v>25342.738291332218</v>
      </c>
      <c r="G68" s="532">
        <f>Detail!K226</f>
        <v>0</v>
      </c>
      <c r="H68" s="532">
        <f>Detail!L226</f>
        <v>625.55802122946648</v>
      </c>
      <c r="I68" s="532">
        <f>Detail!M226</f>
        <v>6948.5195352187011</v>
      </c>
      <c r="J68" s="532">
        <f t="shared" si="14"/>
        <v>132000.00000000003</v>
      </c>
    </row>
    <row r="69" spans="1:10">
      <c r="A69" s="529">
        <v>67</v>
      </c>
      <c r="B69" s="521"/>
      <c r="C69" s="518" t="s">
        <v>1086</v>
      </c>
      <c r="D69" s="544"/>
      <c r="E69" s="532">
        <f t="shared" ref="E69:J69" si="15">SUM(E60:E68)</f>
        <v>3485592.369338905</v>
      </c>
      <c r="F69" s="532">
        <f t="shared" si="15"/>
        <v>742226.8732785274</v>
      </c>
      <c r="G69" s="532">
        <f t="shared" si="15"/>
        <v>0</v>
      </c>
      <c r="H69" s="532">
        <f t="shared" si="15"/>
        <v>15175.188476754965</v>
      </c>
      <c r="I69" s="532">
        <f t="shared" si="15"/>
        <v>162005.5689058126</v>
      </c>
      <c r="J69" s="532">
        <f t="shared" si="15"/>
        <v>4404999.9999999991</v>
      </c>
    </row>
    <row r="70" spans="1:10">
      <c r="A70" s="529">
        <v>68</v>
      </c>
      <c r="B70" s="503"/>
      <c r="C70" s="525" t="s">
        <v>1066</v>
      </c>
      <c r="D70" s="525"/>
      <c r="E70" s="532">
        <f t="shared" ref="E70:J70" si="16">E69+E59</f>
        <v>10618969.08146774</v>
      </c>
      <c r="F70" s="532">
        <f t="shared" si="16"/>
        <v>2192734.9645105125</v>
      </c>
      <c r="G70" s="532">
        <f t="shared" si="16"/>
        <v>0</v>
      </c>
      <c r="H70" s="532">
        <f t="shared" si="16"/>
        <v>52265.278075835231</v>
      </c>
      <c r="I70" s="532">
        <f t="shared" si="16"/>
        <v>579030.67594591272</v>
      </c>
      <c r="J70" s="532">
        <f t="shared" si="16"/>
        <v>13443000</v>
      </c>
    </row>
    <row r="71" spans="1:10">
      <c r="A71" s="529">
        <v>69</v>
      </c>
      <c r="B71" s="794" t="s">
        <v>1087</v>
      </c>
      <c r="C71" s="556" t="s">
        <v>13</v>
      </c>
      <c r="D71" s="502">
        <v>901</v>
      </c>
      <c r="E71" s="532">
        <f>Detail!I231</f>
        <v>58808.600587905014</v>
      </c>
      <c r="F71" s="532">
        <f>Detail!J231</f>
        <v>1177.1028456301106</v>
      </c>
      <c r="G71" s="532">
        <f>Detail!K231</f>
        <v>0</v>
      </c>
      <c r="H71" s="532">
        <f>Detail!L231</f>
        <v>1.1040912715451145</v>
      </c>
      <c r="I71" s="532">
        <f>Detail!M231</f>
        <v>13.19247519333393</v>
      </c>
      <c r="J71" s="532">
        <f>SUM(E71:I71)</f>
        <v>60000.000000000007</v>
      </c>
    </row>
    <row r="72" spans="1:10">
      <c r="A72" s="529">
        <v>70</v>
      </c>
      <c r="B72" s="794"/>
      <c r="C72" s="556" t="s">
        <v>15</v>
      </c>
      <c r="D72" s="502">
        <v>902</v>
      </c>
      <c r="E72" s="532">
        <f>Detail!I232</f>
        <v>350891.31684116658</v>
      </c>
      <c r="F72" s="532">
        <f>Detail!J232</f>
        <v>7023.3803122596601</v>
      </c>
      <c r="G72" s="532">
        <f>Detail!K232</f>
        <v>0</v>
      </c>
      <c r="H72" s="532">
        <f>Detail!L232</f>
        <v>6.58774458688585</v>
      </c>
      <c r="I72" s="532">
        <f>Detail!M232</f>
        <v>78.715101986892449</v>
      </c>
      <c r="J72" s="532">
        <f>SUM(E72:I72)</f>
        <v>358000</v>
      </c>
    </row>
    <row r="73" spans="1:10">
      <c r="A73" s="529">
        <v>71</v>
      </c>
      <c r="B73" s="794"/>
      <c r="C73" s="556" t="s">
        <v>348</v>
      </c>
      <c r="D73" s="502">
        <v>903</v>
      </c>
      <c r="E73" s="532">
        <f>Detail!I233</f>
        <v>3599086.3559797867</v>
      </c>
      <c r="F73" s="532">
        <f>Detail!J233</f>
        <v>72038.694152562763</v>
      </c>
      <c r="G73" s="532">
        <f>Detail!K233</f>
        <v>0</v>
      </c>
      <c r="H73" s="532">
        <f>Detail!L233</f>
        <v>67.570385818561007</v>
      </c>
      <c r="I73" s="532">
        <f>Detail!M233</f>
        <v>807.37948183203662</v>
      </c>
      <c r="J73" s="532">
        <f>SUM(E73:I73)</f>
        <v>3672000</v>
      </c>
    </row>
    <row r="74" spans="1:10">
      <c r="A74" s="529">
        <v>72</v>
      </c>
      <c r="B74" s="794"/>
      <c r="C74" s="556" t="s">
        <v>18</v>
      </c>
      <c r="D74" s="502">
        <v>904</v>
      </c>
      <c r="E74" s="532">
        <f>Detail!I234</f>
        <v>285943.38891317323</v>
      </c>
      <c r="F74" s="532">
        <f>Detail!J234</f>
        <v>70179.601861693154</v>
      </c>
      <c r="G74" s="532">
        <f>Detail!K234</f>
        <v>0</v>
      </c>
      <c r="H74" s="532">
        <f>Detail!L234</f>
        <v>1882.6647509605368</v>
      </c>
      <c r="I74" s="532">
        <f>Detail!M234</f>
        <v>10994.344474173096</v>
      </c>
      <c r="J74" s="532">
        <f>SUM(E74:I74)</f>
        <v>369000</v>
      </c>
    </row>
    <row r="75" spans="1:10">
      <c r="A75" s="529">
        <v>73</v>
      </c>
      <c r="B75" s="794"/>
      <c r="C75" s="501" t="s">
        <v>20</v>
      </c>
      <c r="D75" s="499">
        <v>905</v>
      </c>
      <c r="E75" s="532">
        <f>Detail!I235</f>
        <v>343050.17009611259</v>
      </c>
      <c r="F75" s="532">
        <f>Detail!J235</f>
        <v>6866.4332661756453</v>
      </c>
      <c r="G75" s="532">
        <f>Detail!K235</f>
        <v>0</v>
      </c>
      <c r="H75" s="532">
        <f>Detail!L235</f>
        <v>6.4405324173465015</v>
      </c>
      <c r="I75" s="532">
        <f>Detail!M235</f>
        <v>76.956105294447923</v>
      </c>
      <c r="J75" s="532">
        <f>SUM(E75:I75)</f>
        <v>350000</v>
      </c>
    </row>
    <row r="76" spans="1:10">
      <c r="A76" s="529">
        <v>74</v>
      </c>
      <c r="B76" s="500"/>
      <c r="C76" s="525" t="s">
        <v>1067</v>
      </c>
      <c r="D76" s="553"/>
      <c r="E76" s="532">
        <f t="shared" ref="E76:J76" si="17">SUM(E71:E75)</f>
        <v>4637779.8324181437</v>
      </c>
      <c r="F76" s="532">
        <f t="shared" si="17"/>
        <v>157285.21243832135</v>
      </c>
      <c r="G76" s="532">
        <f t="shared" si="17"/>
        <v>0</v>
      </c>
      <c r="H76" s="532">
        <f t="shared" si="17"/>
        <v>1964.3675050548752</v>
      </c>
      <c r="I76" s="532">
        <f t="shared" si="17"/>
        <v>11970.587638479807</v>
      </c>
      <c r="J76" s="532">
        <f t="shared" si="17"/>
        <v>4809000</v>
      </c>
    </row>
    <row r="77" spans="1:10">
      <c r="A77" s="529">
        <v>75</v>
      </c>
      <c r="B77" s="795" t="s">
        <v>22</v>
      </c>
      <c r="C77" s="556" t="s">
        <v>13</v>
      </c>
      <c r="D77" s="502">
        <v>907</v>
      </c>
      <c r="E77" s="532">
        <f>Detail!I239</f>
        <v>0</v>
      </c>
      <c r="F77" s="532">
        <f>Detail!J239</f>
        <v>0</v>
      </c>
      <c r="G77" s="532">
        <f>Detail!K239</f>
        <v>0</v>
      </c>
      <c r="H77" s="532">
        <f>Detail!L239</f>
        <v>0</v>
      </c>
      <c r="I77" s="532">
        <f>Detail!M239</f>
        <v>0</v>
      </c>
      <c r="J77" s="532">
        <f>SUM(E77:I77)</f>
        <v>0</v>
      </c>
    </row>
    <row r="78" spans="1:10">
      <c r="A78" s="529">
        <v>76</v>
      </c>
      <c r="B78" s="795"/>
      <c r="C78" s="556" t="s">
        <v>25</v>
      </c>
      <c r="D78" s="502">
        <v>908</v>
      </c>
      <c r="E78" s="532">
        <f>Detail!I240</f>
        <v>289142.28622386634</v>
      </c>
      <c r="F78" s="532">
        <f>Detail!J240</f>
        <v>5787.4223243480437</v>
      </c>
      <c r="G78" s="532">
        <f>Detail!K240</f>
        <v>0</v>
      </c>
      <c r="H78" s="532">
        <f>Detail!L240</f>
        <v>5.4284487517634794</v>
      </c>
      <c r="I78" s="532">
        <f>Detail!M240</f>
        <v>64.863003033891829</v>
      </c>
      <c r="J78" s="532">
        <f>SUM(E78:I78)</f>
        <v>295000.00000000006</v>
      </c>
    </row>
    <row r="79" spans="1:10">
      <c r="A79" s="529">
        <v>77</v>
      </c>
      <c r="B79" s="795"/>
      <c r="C79" s="556" t="s">
        <v>27</v>
      </c>
      <c r="D79" s="502">
        <v>909</v>
      </c>
      <c r="E79" s="532">
        <f>Detail!I242</f>
        <v>350891.31684116658</v>
      </c>
      <c r="F79" s="532">
        <f>Detail!J242</f>
        <v>7023.3803122596601</v>
      </c>
      <c r="G79" s="532">
        <f>Detail!K242</f>
        <v>0</v>
      </c>
      <c r="H79" s="532">
        <f>Detail!L242</f>
        <v>6.58774458688585</v>
      </c>
      <c r="I79" s="532">
        <f>Detail!M242</f>
        <v>78.715101986892449</v>
      </c>
      <c r="J79" s="532">
        <f>SUM(E79:I79)</f>
        <v>358000</v>
      </c>
    </row>
    <row r="80" spans="1:10">
      <c r="A80" s="529">
        <v>78</v>
      </c>
      <c r="B80" s="795"/>
      <c r="C80" s="521" t="s">
        <v>349</v>
      </c>
      <c r="D80" s="502">
        <v>910</v>
      </c>
      <c r="E80" s="532">
        <f>Detail!I243</f>
        <v>241115.26241041056</v>
      </c>
      <c r="F80" s="532">
        <f>Detail!J243</f>
        <v>4826.1216670834538</v>
      </c>
      <c r="G80" s="532">
        <f>Detail!K243</f>
        <v>0</v>
      </c>
      <c r="H80" s="532">
        <f>Detail!L243</f>
        <v>4.5267742133349698</v>
      </c>
      <c r="I80" s="532">
        <f>Detail!M243</f>
        <v>54.089148292669115</v>
      </c>
      <c r="J80" s="532">
        <f>SUM(E80:I80)</f>
        <v>246000</v>
      </c>
    </row>
    <row r="81" spans="1:10">
      <c r="A81" s="529">
        <v>79</v>
      </c>
      <c r="B81" s="500"/>
      <c r="C81" s="525" t="s">
        <v>29</v>
      </c>
      <c r="D81" s="553"/>
      <c r="E81" s="532">
        <f t="shared" ref="E81:J81" si="18">SUM(E77:E80)</f>
        <v>881148.86547544354</v>
      </c>
      <c r="F81" s="532">
        <f t="shared" si="18"/>
        <v>17636.924303691158</v>
      </c>
      <c r="G81" s="532">
        <f t="shared" si="18"/>
        <v>0</v>
      </c>
      <c r="H81" s="532">
        <f t="shared" si="18"/>
        <v>16.542967551984301</v>
      </c>
      <c r="I81" s="532">
        <f t="shared" si="18"/>
        <v>197.66725331345339</v>
      </c>
      <c r="J81" s="532">
        <f t="shared" si="18"/>
        <v>899000</v>
      </c>
    </row>
    <row r="82" spans="1:10">
      <c r="A82" s="529">
        <v>80</v>
      </c>
      <c r="B82" s="794" t="s">
        <v>30</v>
      </c>
      <c r="C82" s="556" t="s">
        <v>13</v>
      </c>
      <c r="D82" s="502">
        <v>911</v>
      </c>
      <c r="E82" s="532">
        <f>Detail!I247</f>
        <v>980.14334313175027</v>
      </c>
      <c r="F82" s="532">
        <f>Detail!J247</f>
        <v>19.618380760501843</v>
      </c>
      <c r="G82" s="532">
        <f>Detail!K247</f>
        <v>0</v>
      </c>
      <c r="H82" s="532">
        <f>Detail!L247</f>
        <v>1.8401521192418575E-2</v>
      </c>
      <c r="I82" s="532">
        <f>Detail!M247</f>
        <v>0.21987458655556552</v>
      </c>
      <c r="J82" s="532">
        <f>SUM(E82:I82)</f>
        <v>1000.0000000000001</v>
      </c>
    </row>
    <row r="83" spans="1:10">
      <c r="A83" s="529">
        <v>81</v>
      </c>
      <c r="B83" s="794"/>
      <c r="C83" s="556" t="s">
        <v>33</v>
      </c>
      <c r="D83" s="502">
        <v>912</v>
      </c>
      <c r="E83" s="532">
        <f>Detail!I248</f>
        <v>0</v>
      </c>
      <c r="F83" s="532">
        <f>Detail!J248</f>
        <v>0</v>
      </c>
      <c r="G83" s="532">
        <f>Detail!K248</f>
        <v>0</v>
      </c>
      <c r="H83" s="532">
        <f>Detail!L248</f>
        <v>0</v>
      </c>
      <c r="I83" s="532">
        <f>Detail!M248</f>
        <v>0</v>
      </c>
      <c r="J83" s="532">
        <f>SUM(E83:I83)</f>
        <v>0</v>
      </c>
    </row>
    <row r="84" spans="1:10">
      <c r="A84" s="529">
        <v>82</v>
      </c>
      <c r="B84" s="794"/>
      <c r="C84" s="556" t="s">
        <v>35</v>
      </c>
      <c r="D84" s="502">
        <v>913</v>
      </c>
      <c r="E84" s="532">
        <f>Detail!I249</f>
        <v>0</v>
      </c>
      <c r="F84" s="532">
        <f>Detail!J249</f>
        <v>0</v>
      </c>
      <c r="G84" s="532">
        <f>Detail!K249</f>
        <v>0</v>
      </c>
      <c r="H84" s="532">
        <f>Detail!L249</f>
        <v>0</v>
      </c>
      <c r="I84" s="532">
        <f>Detail!M249</f>
        <v>0</v>
      </c>
      <c r="J84" s="532">
        <f>SUM(E84:I84)</f>
        <v>0</v>
      </c>
    </row>
    <row r="85" spans="1:10">
      <c r="A85" s="529">
        <v>83</v>
      </c>
      <c r="B85" s="794"/>
      <c r="C85" s="556" t="s">
        <v>37</v>
      </c>
      <c r="D85" s="502">
        <v>916</v>
      </c>
      <c r="E85" s="532">
        <f>Detail!I250</f>
        <v>0</v>
      </c>
      <c r="F85" s="532">
        <f>Detail!J250</f>
        <v>0</v>
      </c>
      <c r="G85" s="532">
        <f>Detail!K250</f>
        <v>0</v>
      </c>
      <c r="H85" s="532">
        <f>Detail!L250</f>
        <v>0</v>
      </c>
      <c r="I85" s="532">
        <f>Detail!M250</f>
        <v>0</v>
      </c>
      <c r="J85" s="532">
        <f>SUM(E85:I85)</f>
        <v>0</v>
      </c>
    </row>
    <row r="86" spans="1:10">
      <c r="A86" s="529">
        <v>84</v>
      </c>
      <c r="B86" s="500"/>
      <c r="C86" s="525" t="s">
        <v>38</v>
      </c>
      <c r="D86" s="553"/>
      <c r="E86" s="532">
        <f t="shared" ref="E86:J86" si="19">SUM(E82:E85)</f>
        <v>980.14334313175027</v>
      </c>
      <c r="F86" s="532">
        <f t="shared" si="19"/>
        <v>19.618380760501843</v>
      </c>
      <c r="G86" s="532">
        <f t="shared" si="19"/>
        <v>0</v>
      </c>
      <c r="H86" s="532">
        <f t="shared" si="19"/>
        <v>1.8401521192418575E-2</v>
      </c>
      <c r="I86" s="532">
        <f t="shared" si="19"/>
        <v>0.21987458655556552</v>
      </c>
      <c r="J86" s="532">
        <f t="shared" si="19"/>
        <v>1000.0000000000001</v>
      </c>
    </row>
    <row r="87" spans="1:10">
      <c r="A87" s="529">
        <v>85</v>
      </c>
      <c r="B87" s="500"/>
      <c r="C87" s="558" t="s">
        <v>39</v>
      </c>
      <c r="D87" s="558"/>
      <c r="E87" s="532">
        <f>E86+E81+E76+E70+E47+E25</f>
        <v>18402363.118347835</v>
      </c>
      <c r="F87" s="532">
        <f t="shared" ref="F87:J87" si="20">F86+F81+F76+F70+F47+F25</f>
        <v>3275336.2633363218</v>
      </c>
      <c r="G87" s="532">
        <f t="shared" si="20"/>
        <v>0</v>
      </c>
      <c r="H87" s="532">
        <f t="shared" si="20"/>
        <v>82715.64364568959</v>
      </c>
      <c r="I87" s="532">
        <f t="shared" si="20"/>
        <v>644584.97467015556</v>
      </c>
      <c r="J87" s="532">
        <f t="shared" si="20"/>
        <v>22405000</v>
      </c>
    </row>
    <row r="88" spans="1:10">
      <c r="A88" s="529">
        <v>86</v>
      </c>
      <c r="B88" s="500"/>
      <c r="C88" s="500"/>
      <c r="D88" s="500"/>
      <c r="E88" s="532"/>
      <c r="F88" s="532"/>
      <c r="G88" s="532"/>
      <c r="H88" s="532"/>
      <c r="I88" s="532"/>
      <c r="J88" s="532"/>
    </row>
    <row r="89" spans="1:10">
      <c r="A89" s="529">
        <v>87</v>
      </c>
      <c r="B89" s="794" t="s">
        <v>40</v>
      </c>
      <c r="C89" s="521" t="s">
        <v>656</v>
      </c>
      <c r="D89" s="545">
        <v>920</v>
      </c>
      <c r="E89" s="532">
        <f>Detail!I259</f>
        <v>6423174.2284580329</v>
      </c>
      <c r="F89" s="532">
        <f>Detail!J259</f>
        <v>974746.8407085581</v>
      </c>
      <c r="G89" s="532">
        <f>Detail!K259</f>
        <v>0</v>
      </c>
      <c r="H89" s="532">
        <f>Detail!L259</f>
        <v>23522.987738763157</v>
      </c>
      <c r="I89" s="532">
        <f>Detail!M259</f>
        <v>209555.94309464551</v>
      </c>
      <c r="J89" s="532">
        <f>SUM(E89:I89)</f>
        <v>7631000</v>
      </c>
    </row>
    <row r="90" spans="1:10">
      <c r="A90" s="529">
        <v>88</v>
      </c>
      <c r="B90" s="794"/>
      <c r="C90" s="521" t="s">
        <v>44</v>
      </c>
      <c r="D90" s="545">
        <v>921</v>
      </c>
      <c r="E90" s="532">
        <f>Detail!I266</f>
        <v>712096.10762357444</v>
      </c>
      <c r="F90" s="532">
        <f>Detail!J266</f>
        <v>108063.9270396331</v>
      </c>
      <c r="G90" s="532">
        <f>Detail!K266</f>
        <v>0</v>
      </c>
      <c r="H90" s="532">
        <f>Detail!L266</f>
        <v>2607.8426978107232</v>
      </c>
      <c r="I90" s="532">
        <f>Detail!M266</f>
        <v>23232.1226389818</v>
      </c>
      <c r="J90" s="532">
        <f t="shared" ref="J90:J100" si="21">SUM(E90:I90)</f>
        <v>846000.00000000012</v>
      </c>
    </row>
    <row r="91" spans="1:10">
      <c r="A91" s="529">
        <v>89</v>
      </c>
      <c r="B91" s="794"/>
      <c r="C91" s="521" t="s">
        <v>655</v>
      </c>
      <c r="D91" s="545">
        <v>922</v>
      </c>
      <c r="E91" s="532">
        <f>Detail!I273</f>
        <v>-11784.096343652531</v>
      </c>
      <c r="F91" s="532">
        <f>Detail!J273</f>
        <v>-1788.2919368260796</v>
      </c>
      <c r="G91" s="532">
        <f>Detail!K273</f>
        <v>0</v>
      </c>
      <c r="H91" s="532">
        <f>Detail!L273</f>
        <v>-43.155789325472966</v>
      </c>
      <c r="I91" s="532">
        <f>Detail!M273</f>
        <v>-384.45593019591627</v>
      </c>
      <c r="J91" s="532">
        <f t="shared" si="21"/>
        <v>-13999.999999999998</v>
      </c>
    </row>
    <row r="92" spans="1:10">
      <c r="A92" s="529">
        <v>90</v>
      </c>
      <c r="B92" s="794"/>
      <c r="C92" s="521" t="s">
        <v>48</v>
      </c>
      <c r="D92" s="545">
        <v>923</v>
      </c>
      <c r="E92" s="532">
        <f>Detail!I280</f>
        <v>2607652.1766168242</v>
      </c>
      <c r="F92" s="532">
        <f>Detail!J280</f>
        <v>395723.4585919425</v>
      </c>
      <c r="G92" s="532">
        <f>Detail!K280</f>
        <v>0</v>
      </c>
      <c r="H92" s="532">
        <f>Detail!L280</f>
        <v>9549.7596664510893</v>
      </c>
      <c r="I92" s="532">
        <f>Detail!M280</f>
        <v>85074.605124782043</v>
      </c>
      <c r="J92" s="532">
        <f t="shared" si="21"/>
        <v>3098000</v>
      </c>
    </row>
    <row r="93" spans="1:10">
      <c r="A93" s="529">
        <v>91</v>
      </c>
      <c r="B93" s="794"/>
      <c r="C93" s="521" t="s">
        <v>50</v>
      </c>
      <c r="D93" s="545">
        <v>924</v>
      </c>
      <c r="E93" s="532">
        <f>Detail!I289</f>
        <v>798070.07026363711</v>
      </c>
      <c r="F93" s="532">
        <f>Detail!J289</f>
        <v>191587.2797961756</v>
      </c>
      <c r="G93" s="532">
        <f>Detail!K289</f>
        <v>0</v>
      </c>
      <c r="H93" s="532">
        <f>Detail!L289</f>
        <v>4744.7454191662446</v>
      </c>
      <c r="I93" s="532">
        <f>Detail!M289</f>
        <v>48597.904521021082</v>
      </c>
      <c r="J93" s="532">
        <f t="shared" si="21"/>
        <v>1043000</v>
      </c>
    </row>
    <row r="94" spans="1:10">
      <c r="A94" s="529">
        <v>92</v>
      </c>
      <c r="B94" s="794"/>
      <c r="C94" s="521" t="s">
        <v>52</v>
      </c>
      <c r="D94" s="545">
        <v>925</v>
      </c>
      <c r="E94" s="532">
        <f>Detail!I294</f>
        <v>1065618.9979331503</v>
      </c>
      <c r="F94" s="532">
        <f>Detail!J294</f>
        <v>161712.68514441547</v>
      </c>
      <c r="G94" s="532">
        <f>Detail!K294</f>
        <v>0</v>
      </c>
      <c r="H94" s="532">
        <f>Detail!L294</f>
        <v>3902.5163775749124</v>
      </c>
      <c r="I94" s="532">
        <f>Detail!M294</f>
        <v>34765.800544859288</v>
      </c>
      <c r="J94" s="532">
        <f t="shared" si="21"/>
        <v>1266000.0000000002</v>
      </c>
    </row>
    <row r="95" spans="1:10">
      <c r="A95" s="529">
        <v>93</v>
      </c>
      <c r="B95" s="794"/>
      <c r="C95" s="521" t="s">
        <v>54</v>
      </c>
      <c r="D95" s="545">
        <v>926</v>
      </c>
      <c r="E95" s="532">
        <f>Detail!I306</f>
        <v>5853518.0273445118</v>
      </c>
      <c r="F95" s="532">
        <f>Detail!J306</f>
        <v>922200.2365558343</v>
      </c>
      <c r="G95" s="532">
        <f>Detail!K306</f>
        <v>0</v>
      </c>
      <c r="H95" s="532">
        <f>Detail!L306</f>
        <v>22442.428649285332</v>
      </c>
      <c r="I95" s="532">
        <f>Detail!M306</f>
        <v>203839.63789432353</v>
      </c>
      <c r="J95" s="532">
        <f t="shared" si="21"/>
        <v>7002000.3304439541</v>
      </c>
    </row>
    <row r="96" spans="1:10">
      <c r="A96" s="529">
        <v>94</v>
      </c>
      <c r="B96" s="794"/>
      <c r="C96" s="521" t="s">
        <v>56</v>
      </c>
      <c r="D96" s="545">
        <v>927</v>
      </c>
      <c r="E96" s="532">
        <f>Detail!I310</f>
        <v>0</v>
      </c>
      <c r="F96" s="532">
        <f>Detail!J310</f>
        <v>0</v>
      </c>
      <c r="G96" s="532">
        <f>Detail!K310</f>
        <v>0</v>
      </c>
      <c r="H96" s="532">
        <f>Detail!L310</f>
        <v>0</v>
      </c>
      <c r="I96" s="532">
        <f>Detail!M310</f>
        <v>0</v>
      </c>
      <c r="J96" s="532">
        <f t="shared" si="21"/>
        <v>0</v>
      </c>
    </row>
    <row r="97" spans="1:10">
      <c r="A97" s="529">
        <v>95</v>
      </c>
      <c r="B97" s="794"/>
      <c r="C97" s="521" t="s">
        <v>58</v>
      </c>
      <c r="D97" s="545">
        <v>928</v>
      </c>
      <c r="E97" s="532">
        <f>Detail!I315+Detail!I319</f>
        <v>749493.99994519772</v>
      </c>
      <c r="F97" s="532">
        <f>Detail!J315+Detail!J319</f>
        <v>160905.27721002558</v>
      </c>
      <c r="G97" s="532">
        <f>Detail!K315+Detail!K319</f>
        <v>0</v>
      </c>
      <c r="H97" s="532">
        <f>Detail!L315+Detail!L319</f>
        <v>4215.9365892368078</v>
      </c>
      <c r="I97" s="532">
        <f>Detail!M315+Detail!M319</f>
        <v>27384.786255539948</v>
      </c>
      <c r="J97" s="532">
        <f t="shared" si="21"/>
        <v>942000.00000000012</v>
      </c>
    </row>
    <row r="98" spans="1:10">
      <c r="A98" s="529">
        <v>96</v>
      </c>
      <c r="B98" s="794"/>
      <c r="C98" s="521" t="s">
        <v>60</v>
      </c>
      <c r="D98" s="545">
        <v>930</v>
      </c>
      <c r="E98" s="532">
        <f>Detail!I322</f>
        <v>1430084.2634189751</v>
      </c>
      <c r="F98" s="532">
        <f>Detail!J322</f>
        <v>217022.00004767923</v>
      </c>
      <c r="G98" s="532">
        <f>Detail!K322</f>
        <v>0</v>
      </c>
      <c r="H98" s="532">
        <f>Detail!L322</f>
        <v>5237.2632902841833</v>
      </c>
      <c r="I98" s="532">
        <f>Detail!M322</f>
        <v>46656.473243061555</v>
      </c>
      <c r="J98" s="532">
        <f t="shared" si="21"/>
        <v>1699000</v>
      </c>
    </row>
    <row r="99" spans="1:10">
      <c r="A99" s="529">
        <v>97</v>
      </c>
      <c r="B99" s="794"/>
      <c r="C99" s="521" t="s">
        <v>2</v>
      </c>
      <c r="D99" s="545">
        <v>931</v>
      </c>
      <c r="E99" s="532">
        <f>Detail!I329</f>
        <v>86697.280242586479</v>
      </c>
      <c r="F99" s="532">
        <f>Detail!J329</f>
        <v>13156.719249506157</v>
      </c>
      <c r="G99" s="532">
        <f>Detail!K329</f>
        <v>0</v>
      </c>
      <c r="H99" s="532">
        <f>Detail!L329</f>
        <v>317.50330718026538</v>
      </c>
      <c r="I99" s="532">
        <f>Detail!M329</f>
        <v>2828.4972007270985</v>
      </c>
      <c r="J99" s="532">
        <f t="shared" si="21"/>
        <v>103000</v>
      </c>
    </row>
    <row r="100" spans="1:10">
      <c r="A100" s="529">
        <v>98</v>
      </c>
      <c r="B100" s="794"/>
      <c r="C100" s="521" t="s">
        <v>63</v>
      </c>
      <c r="D100" s="545">
        <v>935</v>
      </c>
      <c r="E100" s="532">
        <f>Detail!I336</f>
        <v>2615227.6671234583</v>
      </c>
      <c r="F100" s="532">
        <f>Detail!J336</f>
        <v>396873.07483704493</v>
      </c>
      <c r="G100" s="532">
        <f>Detail!K336</f>
        <v>0</v>
      </c>
      <c r="H100" s="532">
        <f>Detail!L336</f>
        <v>9577.5026738746074</v>
      </c>
      <c r="I100" s="532">
        <f>Detail!M336</f>
        <v>85321.755365622274</v>
      </c>
      <c r="J100" s="532">
        <f t="shared" si="21"/>
        <v>3107000</v>
      </c>
    </row>
    <row r="101" spans="1:10">
      <c r="A101" s="529">
        <v>99</v>
      </c>
      <c r="B101" s="500"/>
      <c r="C101" s="525" t="s">
        <v>1161</v>
      </c>
      <c r="D101" s="525"/>
      <c r="E101" s="532">
        <f>SUM(E89:E100)</f>
        <v>22329848.722626299</v>
      </c>
      <c r="F101" s="532">
        <f t="shared" ref="F101:J101" si="22">SUM(F89:F100)</f>
        <v>3540203.2072439883</v>
      </c>
      <c r="G101" s="532">
        <f t="shared" si="22"/>
        <v>0</v>
      </c>
      <c r="H101" s="532">
        <f t="shared" si="22"/>
        <v>86075.330620301858</v>
      </c>
      <c r="I101" s="532">
        <f t="shared" si="22"/>
        <v>766873.06995336816</v>
      </c>
      <c r="J101" s="532">
        <f t="shared" si="22"/>
        <v>26723000.330443956</v>
      </c>
    </row>
    <row r="102" spans="1:10">
      <c r="A102" s="529">
        <v>100</v>
      </c>
      <c r="B102" s="500"/>
      <c r="C102" s="546"/>
      <c r="D102" s="546"/>
      <c r="E102" s="532"/>
      <c r="F102" s="532"/>
      <c r="G102" s="532"/>
      <c r="H102" s="532"/>
      <c r="I102" s="532"/>
      <c r="J102" s="532"/>
    </row>
    <row r="103" spans="1:10">
      <c r="A103" s="529">
        <v>101</v>
      </c>
      <c r="B103" s="500"/>
      <c r="C103" s="558" t="s">
        <v>65</v>
      </c>
      <c r="D103" s="558"/>
      <c r="E103" s="532">
        <f>E101+E87</f>
        <v>40732211.840974137</v>
      </c>
      <c r="F103" s="532">
        <f t="shared" ref="F103:J103" si="23">F101+F87</f>
        <v>6815539.4705803096</v>
      </c>
      <c r="G103" s="532">
        <f t="shared" si="23"/>
        <v>0</v>
      </c>
      <c r="H103" s="532">
        <f t="shared" si="23"/>
        <v>168790.97426599145</v>
      </c>
      <c r="I103" s="532">
        <f t="shared" si="23"/>
        <v>1411458.0446235237</v>
      </c>
      <c r="J103" s="532">
        <f t="shared" si="23"/>
        <v>49128000.330443956</v>
      </c>
    </row>
    <row r="104" spans="1:10">
      <c r="A104" s="529">
        <v>102</v>
      </c>
      <c r="B104" s="500"/>
      <c r="C104" s="500"/>
      <c r="D104" s="500"/>
      <c r="E104" s="532"/>
      <c r="F104" s="532"/>
      <c r="G104" s="532"/>
      <c r="H104" s="532"/>
      <c r="I104" s="532"/>
      <c r="J104" s="532"/>
    </row>
    <row r="105" spans="1:10">
      <c r="A105" s="529">
        <v>103</v>
      </c>
      <c r="B105" s="794" t="s">
        <v>357</v>
      </c>
      <c r="C105" s="547" t="s">
        <v>358</v>
      </c>
      <c r="D105" s="548" t="s">
        <v>1088</v>
      </c>
      <c r="E105" s="532">
        <f>Detail!I356</f>
        <v>713.94204416858713</v>
      </c>
      <c r="F105" s="532">
        <f>Detail!J356</f>
        <v>266.2506677081779</v>
      </c>
      <c r="G105" s="532">
        <f>Detail!K356</f>
        <v>0</v>
      </c>
      <c r="H105" s="532">
        <f>Detail!L356</f>
        <v>7.2499998874885705</v>
      </c>
      <c r="I105" s="532">
        <f>Detail!M356</f>
        <v>12.557288235746505</v>
      </c>
      <c r="J105" s="532">
        <f>SUM(E105:I105)</f>
        <v>1000.0000000000001</v>
      </c>
    </row>
    <row r="106" spans="1:10">
      <c r="A106" s="529">
        <v>104</v>
      </c>
      <c r="B106" s="794"/>
      <c r="C106" s="547" t="s">
        <v>359</v>
      </c>
      <c r="D106" s="548" t="s">
        <v>1088</v>
      </c>
      <c r="E106" s="532">
        <f>Detail!I357</f>
        <v>20704.319280889027</v>
      </c>
      <c r="F106" s="532">
        <f>Detail!J357</f>
        <v>7721.2693635371588</v>
      </c>
      <c r="G106" s="532">
        <f>Detail!K357</f>
        <v>0</v>
      </c>
      <c r="H106" s="532">
        <f>Detail!L357</f>
        <v>210.24999673716854</v>
      </c>
      <c r="I106" s="532">
        <f>Detail!M357</f>
        <v>364.16135883664867</v>
      </c>
      <c r="J106" s="532">
        <f t="shared" ref="J106:J112" si="24">SUM(E106:I106)</f>
        <v>29000.000000000004</v>
      </c>
    </row>
    <row r="107" spans="1:10">
      <c r="A107" s="529">
        <v>105</v>
      </c>
      <c r="B107" s="794"/>
      <c r="C107" s="547" t="s">
        <v>360</v>
      </c>
      <c r="D107" s="548" t="s">
        <v>1088</v>
      </c>
      <c r="E107" s="532">
        <f>Detail!I358</f>
        <v>172060.03264462948</v>
      </c>
      <c r="F107" s="532">
        <f>Detail!J358</f>
        <v>64166.410917670873</v>
      </c>
      <c r="G107" s="532">
        <f>Detail!K358</f>
        <v>0</v>
      </c>
      <c r="H107" s="532">
        <f>Detail!L358</f>
        <v>1747.2499728847456</v>
      </c>
      <c r="I107" s="532">
        <f>Detail!M358</f>
        <v>3026.3064648149079</v>
      </c>
      <c r="J107" s="532">
        <f t="shared" si="24"/>
        <v>241000</v>
      </c>
    </row>
    <row r="108" spans="1:10">
      <c r="A108" s="529">
        <v>106</v>
      </c>
      <c r="B108" s="794"/>
      <c r="C108" s="547" t="s">
        <v>361</v>
      </c>
      <c r="D108" s="548" t="s">
        <v>1088</v>
      </c>
      <c r="E108" s="532">
        <f>Detail!I359</f>
        <v>12850.956795034568</v>
      </c>
      <c r="F108" s="532">
        <f>Detail!J359</f>
        <v>4792.5120187472021</v>
      </c>
      <c r="G108" s="532">
        <f>Detail!K359</f>
        <v>0</v>
      </c>
      <c r="H108" s="532">
        <f>Detail!L359</f>
        <v>130.49999797479427</v>
      </c>
      <c r="I108" s="532">
        <f>Detail!M359</f>
        <v>226.0311882434371</v>
      </c>
      <c r="J108" s="532">
        <f t="shared" si="24"/>
        <v>18000.000000000004</v>
      </c>
    </row>
    <row r="109" spans="1:10">
      <c r="A109" s="529">
        <v>107</v>
      </c>
      <c r="B109" s="794"/>
      <c r="C109" s="547" t="s">
        <v>362</v>
      </c>
      <c r="D109" s="548" t="s">
        <v>1088</v>
      </c>
      <c r="E109" s="532">
        <f>Detail!I360</f>
        <v>130651.39408285143</v>
      </c>
      <c r="F109" s="532">
        <f>Detail!J360</f>
        <v>48723.872190596558</v>
      </c>
      <c r="G109" s="532">
        <f>Detail!K360</f>
        <v>0</v>
      </c>
      <c r="H109" s="532">
        <f>Detail!L360</f>
        <v>1326.7499794104085</v>
      </c>
      <c r="I109" s="532">
        <f>Detail!M360</f>
        <v>2297.9837471416104</v>
      </c>
      <c r="J109" s="532">
        <f t="shared" si="24"/>
        <v>183000</v>
      </c>
    </row>
    <row r="110" spans="1:10">
      <c r="A110" s="529">
        <v>108</v>
      </c>
      <c r="B110" s="794"/>
      <c r="C110" s="547" t="s">
        <v>363</v>
      </c>
      <c r="D110" s="548" t="s">
        <v>1088</v>
      </c>
      <c r="E110" s="532">
        <f>Detail!I361</f>
        <v>38552.870385103706</v>
      </c>
      <c r="F110" s="532">
        <f>Detail!J361</f>
        <v>14377.536056241606</v>
      </c>
      <c r="G110" s="532">
        <f>Detail!K361</f>
        <v>0</v>
      </c>
      <c r="H110" s="532">
        <f>Detail!L361</f>
        <v>391.49999392438281</v>
      </c>
      <c r="I110" s="532">
        <f>Detail!M361</f>
        <v>678.0935647303113</v>
      </c>
      <c r="J110" s="532">
        <f t="shared" si="24"/>
        <v>54000.000000000015</v>
      </c>
    </row>
    <row r="111" spans="1:10">
      <c r="A111" s="529">
        <v>109</v>
      </c>
      <c r="B111" s="794"/>
      <c r="C111" s="547" t="s">
        <v>364</v>
      </c>
      <c r="D111" s="548" t="s">
        <v>1088</v>
      </c>
      <c r="E111" s="532">
        <f>Detail!I362</f>
        <v>713.94204416858713</v>
      </c>
      <c r="F111" s="532">
        <f>Detail!J362</f>
        <v>266.2506677081779</v>
      </c>
      <c r="G111" s="532">
        <f>Detail!K362</f>
        <v>0</v>
      </c>
      <c r="H111" s="532">
        <f>Detail!L362</f>
        <v>7.2499998874885705</v>
      </c>
      <c r="I111" s="532">
        <f>Detail!M362</f>
        <v>12.557288235746505</v>
      </c>
      <c r="J111" s="532">
        <f t="shared" si="24"/>
        <v>1000.0000000000001</v>
      </c>
    </row>
    <row r="112" spans="1:10">
      <c r="A112" s="529">
        <v>110</v>
      </c>
      <c r="B112" s="794"/>
      <c r="C112" s="547" t="s">
        <v>365</v>
      </c>
      <c r="D112" s="548" t="s">
        <v>1088</v>
      </c>
      <c r="E112" s="532">
        <f>Detail!I363</f>
        <v>27129.79767840631</v>
      </c>
      <c r="F112" s="532">
        <f>Detail!J363</f>
        <v>10117.525372910761</v>
      </c>
      <c r="G112" s="532">
        <f>Detail!K363</f>
        <v>0</v>
      </c>
      <c r="H112" s="532">
        <f>Detail!L363</f>
        <v>275.49999572456568</v>
      </c>
      <c r="I112" s="532">
        <f>Detail!M363</f>
        <v>477.17695295836722</v>
      </c>
      <c r="J112" s="532">
        <f t="shared" si="24"/>
        <v>38000.000000000007</v>
      </c>
    </row>
    <row r="113" spans="1:10">
      <c r="A113" s="529">
        <v>111</v>
      </c>
      <c r="B113" s="501"/>
      <c r="C113" s="560" t="s">
        <v>1162</v>
      </c>
      <c r="D113" s="559"/>
      <c r="E113" s="532">
        <f>SUM(E105:E112)</f>
        <v>403377.2549552517</v>
      </c>
      <c r="F113" s="532">
        <f t="shared" ref="F113:J113" si="25">SUM(F105:F112)</f>
        <v>150431.62725512049</v>
      </c>
      <c r="G113" s="532">
        <f t="shared" si="25"/>
        <v>0</v>
      </c>
      <c r="H113" s="532">
        <f t="shared" si="25"/>
        <v>4096.2499364310424</v>
      </c>
      <c r="I113" s="532">
        <f t="shared" si="25"/>
        <v>7094.8678531967753</v>
      </c>
      <c r="J113" s="532">
        <f t="shared" si="25"/>
        <v>565000</v>
      </c>
    </row>
    <row r="114" spans="1:10">
      <c r="A114" s="529">
        <v>112</v>
      </c>
      <c r="B114" s="794" t="s">
        <v>70</v>
      </c>
      <c r="C114" s="547" t="s">
        <v>358</v>
      </c>
      <c r="D114" s="548"/>
      <c r="E114" s="532">
        <f>Detail!I367</f>
        <v>6005.0414637708864</v>
      </c>
      <c r="F114" s="532">
        <f>Detail!J367</f>
        <v>1535.9235328080131</v>
      </c>
      <c r="G114" s="532">
        <f>Detail!K367</f>
        <v>0</v>
      </c>
      <c r="H114" s="532">
        <f>Detail!L367</f>
        <v>37.912607347240389</v>
      </c>
      <c r="I114" s="532">
        <f>Detail!M367</f>
        <v>421.12239607386067</v>
      </c>
      <c r="J114" s="532">
        <f>SUM(E114:I114)</f>
        <v>8000.0000000000009</v>
      </c>
    </row>
    <row r="115" spans="1:10">
      <c r="A115" s="529">
        <v>113</v>
      </c>
      <c r="B115" s="794"/>
      <c r="C115" s="547" t="s">
        <v>359</v>
      </c>
      <c r="D115" s="548"/>
      <c r="E115" s="532">
        <f>Detail!I368</f>
        <v>15012.603659427215</v>
      </c>
      <c r="F115" s="532">
        <f>Detail!J368</f>
        <v>3839.8088320200332</v>
      </c>
      <c r="G115" s="532">
        <f>Detail!K368</f>
        <v>0</v>
      </c>
      <c r="H115" s="532">
        <f>Detail!L368</f>
        <v>94.781518368100976</v>
      </c>
      <c r="I115" s="532">
        <f>Detail!M368</f>
        <v>1052.8059901846516</v>
      </c>
      <c r="J115" s="532">
        <f t="shared" ref="J115:J126" si="26">SUM(E115:I115)</f>
        <v>20000</v>
      </c>
    </row>
    <row r="116" spans="1:10">
      <c r="A116" s="529">
        <v>114</v>
      </c>
      <c r="B116" s="794"/>
      <c r="C116" s="547" t="s">
        <v>366</v>
      </c>
      <c r="D116" s="548"/>
      <c r="E116" s="532">
        <f>Detail!I369</f>
        <v>4557518.9739121459</v>
      </c>
      <c r="F116" s="532">
        <f>Detail!J369</f>
        <v>2578557.1972827869</v>
      </c>
      <c r="G116" s="532">
        <f>Detail!K369</f>
        <v>0</v>
      </c>
      <c r="H116" s="532">
        <f>Detail!L369</f>
        <v>72055.150832862273</v>
      </c>
      <c r="I116" s="532">
        <f>Detail!M369</f>
        <v>803868.6779722037</v>
      </c>
      <c r="J116" s="532">
        <f t="shared" si="26"/>
        <v>8012000</v>
      </c>
    </row>
    <row r="117" spans="1:10">
      <c r="A117" s="529">
        <v>115</v>
      </c>
      <c r="B117" s="794"/>
      <c r="C117" s="547" t="s">
        <v>366</v>
      </c>
      <c r="D117" s="548"/>
      <c r="E117" s="532">
        <f>Detail!I370</f>
        <v>0</v>
      </c>
      <c r="F117" s="532">
        <f>Detail!J370</f>
        <v>0</v>
      </c>
      <c r="G117" s="532">
        <f>Detail!K370</f>
        <v>0</v>
      </c>
      <c r="H117" s="532">
        <f>Detail!L370</f>
        <v>0</v>
      </c>
      <c r="I117" s="532">
        <f>Detail!M370</f>
        <v>0</v>
      </c>
      <c r="J117" s="532">
        <f t="shared" si="26"/>
        <v>0</v>
      </c>
    </row>
    <row r="118" spans="1:10">
      <c r="A118" s="529">
        <v>116</v>
      </c>
      <c r="B118" s="794"/>
      <c r="C118" s="547" t="s">
        <v>367</v>
      </c>
      <c r="D118" s="548"/>
      <c r="E118" s="532">
        <f>Detail!I371</f>
        <v>102959.42764329737</v>
      </c>
      <c r="F118" s="532">
        <f>Detail!J371</f>
        <v>58252.477871715484</v>
      </c>
      <c r="G118" s="532">
        <f>Detail!K371</f>
        <v>0</v>
      </c>
      <c r="H118" s="532">
        <f>Detail!L371</f>
        <v>1627.8060784757952</v>
      </c>
      <c r="I118" s="532">
        <f>Detail!M371</f>
        <v>18160.288406511343</v>
      </c>
      <c r="J118" s="532">
        <f t="shared" si="26"/>
        <v>180999.99999999997</v>
      </c>
    </row>
    <row r="119" spans="1:10">
      <c r="A119" s="529">
        <v>117</v>
      </c>
      <c r="B119" s="794"/>
      <c r="C119" s="547" t="s">
        <v>368</v>
      </c>
      <c r="D119" s="548"/>
      <c r="E119" s="532">
        <f>Detail!I372</f>
        <v>33561.360392014059</v>
      </c>
      <c r="F119" s="532">
        <f>Detail!J372</f>
        <v>18988.376764813336</v>
      </c>
      <c r="G119" s="532">
        <f>Detail!K372</f>
        <v>0</v>
      </c>
      <c r="H119" s="532">
        <f>Detail!L372</f>
        <v>530.61082116061823</v>
      </c>
      <c r="I119" s="532">
        <f>Detail!M372</f>
        <v>5919.6520220119846</v>
      </c>
      <c r="J119" s="532">
        <f t="shared" si="26"/>
        <v>59000</v>
      </c>
    </row>
    <row r="120" spans="1:10">
      <c r="A120" s="529">
        <v>118</v>
      </c>
      <c r="B120" s="794"/>
      <c r="C120" s="547" t="s">
        <v>369</v>
      </c>
      <c r="D120" s="548"/>
      <c r="E120" s="532">
        <f>Detail!I373</f>
        <v>5894454.7274358487</v>
      </c>
      <c r="F120" s="532">
        <f>Detail!J373</f>
        <v>117982.39311495521</v>
      </c>
      <c r="G120" s="532">
        <f>Detail!K373</f>
        <v>0</v>
      </c>
      <c r="H120" s="532">
        <f>Detail!L373</f>
        <v>453.42199170596996</v>
      </c>
      <c r="I120" s="532">
        <f>Detail!M373</f>
        <v>17109.457457490782</v>
      </c>
      <c r="J120" s="532">
        <f t="shared" si="26"/>
        <v>6030000.0000000009</v>
      </c>
    </row>
    <row r="121" spans="1:10">
      <c r="A121" s="529">
        <v>119</v>
      </c>
      <c r="B121" s="794"/>
      <c r="C121" s="547" t="s">
        <v>370</v>
      </c>
      <c r="D121" s="548"/>
      <c r="E121" s="532">
        <f>Detail!I374</f>
        <v>3545688.9369712495</v>
      </c>
      <c r="F121" s="532">
        <f>Detail!J374</f>
        <v>574287.12775763846</v>
      </c>
      <c r="G121" s="532">
        <f>Detail!K374</f>
        <v>0</v>
      </c>
      <c r="H121" s="532">
        <f>Detail!L374</f>
        <v>4254.8348127706586</v>
      </c>
      <c r="I121" s="532">
        <f>Detail!M374</f>
        <v>24769.100458341403</v>
      </c>
      <c r="J121" s="532">
        <f t="shared" si="26"/>
        <v>4148999.9999999995</v>
      </c>
    </row>
    <row r="122" spans="1:10">
      <c r="A122" s="529">
        <v>120</v>
      </c>
      <c r="B122" s="794"/>
      <c r="C122" s="547" t="s">
        <v>371</v>
      </c>
      <c r="D122" s="548"/>
      <c r="E122" s="532">
        <f>Detail!I375</f>
        <v>0</v>
      </c>
      <c r="F122" s="532">
        <f>Detail!J375</f>
        <v>0</v>
      </c>
      <c r="G122" s="532">
        <f>Detail!K375</f>
        <v>0</v>
      </c>
      <c r="H122" s="532">
        <f>Detail!L375</f>
        <v>0</v>
      </c>
      <c r="I122" s="532">
        <f>Detail!M375</f>
        <v>0</v>
      </c>
      <c r="J122" s="532">
        <f t="shared" si="26"/>
        <v>0</v>
      </c>
    </row>
    <row r="123" spans="1:10">
      <c r="A123" s="529">
        <v>121</v>
      </c>
      <c r="B123" s="794"/>
      <c r="C123" s="547" t="s">
        <v>372</v>
      </c>
      <c r="D123" s="548"/>
      <c r="E123" s="532">
        <f>Detail!I376</f>
        <v>0</v>
      </c>
      <c r="F123" s="532">
        <f>Detail!J376</f>
        <v>0</v>
      </c>
      <c r="G123" s="532">
        <f>Detail!K376</f>
        <v>0</v>
      </c>
      <c r="H123" s="532">
        <f>Detail!L376</f>
        <v>0</v>
      </c>
      <c r="I123" s="532">
        <f>Detail!M376</f>
        <v>0</v>
      </c>
      <c r="J123" s="532">
        <f t="shared" si="26"/>
        <v>0</v>
      </c>
    </row>
    <row r="124" spans="1:10">
      <c r="A124" s="529">
        <v>122</v>
      </c>
      <c r="B124" s="794"/>
      <c r="C124" s="547" t="s">
        <v>373</v>
      </c>
      <c r="D124" s="548"/>
      <c r="E124" s="532">
        <f>Detail!I377</f>
        <v>0</v>
      </c>
      <c r="F124" s="532">
        <f>Detail!J377</f>
        <v>0</v>
      </c>
      <c r="G124" s="532">
        <f>Detail!K377</f>
        <v>0</v>
      </c>
      <c r="H124" s="532">
        <f>Detail!L377</f>
        <v>0</v>
      </c>
      <c r="I124" s="532">
        <f>Detail!M377</f>
        <v>0</v>
      </c>
      <c r="J124" s="532">
        <f t="shared" si="26"/>
        <v>0</v>
      </c>
    </row>
    <row r="125" spans="1:10">
      <c r="A125" s="529">
        <v>123</v>
      </c>
      <c r="B125" s="794"/>
      <c r="C125" s="547" t="s">
        <v>374</v>
      </c>
      <c r="D125" s="548"/>
      <c r="E125" s="532">
        <f>Detail!I378</f>
        <v>0</v>
      </c>
      <c r="F125" s="532">
        <f>Detail!J378</f>
        <v>43211.246305773617</v>
      </c>
      <c r="G125" s="532">
        <f>Detail!K378</f>
        <v>0</v>
      </c>
      <c r="H125" s="532">
        <f>Detail!L378</f>
        <v>411.00624841773794</v>
      </c>
      <c r="I125" s="532">
        <f>Detail!M378</f>
        <v>2377.747445808644</v>
      </c>
      <c r="J125" s="532">
        <f t="shared" si="26"/>
        <v>46000</v>
      </c>
    </row>
    <row r="126" spans="1:10">
      <c r="A126" s="529">
        <v>124</v>
      </c>
      <c r="B126" s="794"/>
      <c r="C126" s="547" t="s">
        <v>365</v>
      </c>
      <c r="D126" s="548"/>
      <c r="E126" s="532">
        <f>Detail!I379</f>
        <v>-8256.9320126849689</v>
      </c>
      <c r="F126" s="532">
        <f>Detail!J379</f>
        <v>-2111.8948576110183</v>
      </c>
      <c r="G126" s="532">
        <f>Detail!K379</f>
        <v>0</v>
      </c>
      <c r="H126" s="532">
        <f>Detail!L379</f>
        <v>-52.129835102455537</v>
      </c>
      <c r="I126" s="532">
        <f>Detail!M379</f>
        <v>-579.04329460155839</v>
      </c>
      <c r="J126" s="532">
        <f t="shared" si="26"/>
        <v>-11000.000000000002</v>
      </c>
    </row>
    <row r="127" spans="1:10">
      <c r="A127" s="529">
        <v>125</v>
      </c>
      <c r="B127" s="501"/>
      <c r="C127" s="560" t="s">
        <v>1163</v>
      </c>
      <c r="D127" s="559"/>
      <c r="E127" s="532">
        <f>SUM(E114:E126)</f>
        <v>14146944.139465069</v>
      </c>
      <c r="F127" s="532">
        <f t="shared" ref="F127:J127" si="27">SUM(F114:F126)</f>
        <v>3394542.6566049</v>
      </c>
      <c r="G127" s="532">
        <f t="shared" si="27"/>
        <v>0</v>
      </c>
      <c r="H127" s="532">
        <f t="shared" si="27"/>
        <v>79413.395076005923</v>
      </c>
      <c r="I127" s="532">
        <f t="shared" si="27"/>
        <v>873099.80885402462</v>
      </c>
      <c r="J127" s="532">
        <f t="shared" si="27"/>
        <v>18494000</v>
      </c>
    </row>
    <row r="128" spans="1:10">
      <c r="A128" s="529">
        <v>126</v>
      </c>
      <c r="B128" s="794" t="s">
        <v>71</v>
      </c>
      <c r="C128" s="547" t="s">
        <v>358</v>
      </c>
      <c r="D128" s="548"/>
      <c r="E128" s="532">
        <f>Detail!I383</f>
        <v>11784.096343652531</v>
      </c>
      <c r="F128" s="532">
        <f>Detail!J383</f>
        <v>1788.2919368260796</v>
      </c>
      <c r="G128" s="532">
        <f>Detail!K383</f>
        <v>0</v>
      </c>
      <c r="H128" s="532">
        <f>Detail!L383</f>
        <v>43.155789325472966</v>
      </c>
      <c r="I128" s="532">
        <f>Detail!M383</f>
        <v>384.45593019591627</v>
      </c>
      <c r="J128" s="532">
        <f>SUM(E128:I128)</f>
        <v>13999.999999999998</v>
      </c>
    </row>
    <row r="129" spans="1:10">
      <c r="A129" s="529">
        <v>127</v>
      </c>
      <c r="B129" s="794"/>
      <c r="C129" s="547" t="s">
        <v>359</v>
      </c>
      <c r="D129" s="548"/>
      <c r="E129" s="532">
        <f>Detail!I384</f>
        <v>1744046.2588605746</v>
      </c>
      <c r="F129" s="532">
        <f>Detail!J384</f>
        <v>264667.20665025979</v>
      </c>
      <c r="G129" s="532">
        <f>Detail!K384</f>
        <v>0</v>
      </c>
      <c r="H129" s="532">
        <f>Detail!L384</f>
        <v>6387.0568201699989</v>
      </c>
      <c r="I129" s="532">
        <f>Detail!M384</f>
        <v>56899.477668995612</v>
      </c>
      <c r="J129" s="532">
        <f t="shared" ref="J129:J137" si="28">SUM(E129:I129)</f>
        <v>2072000</v>
      </c>
    </row>
    <row r="130" spans="1:10">
      <c r="A130" s="529">
        <v>128</v>
      </c>
      <c r="B130" s="794"/>
      <c r="C130" s="547" t="s">
        <v>375</v>
      </c>
      <c r="D130" s="548"/>
      <c r="E130" s="532">
        <f>Detail!I385</f>
        <v>2440991.3854708816</v>
      </c>
      <c r="F130" s="532">
        <f>Detail!J385</f>
        <v>370431.90119968791</v>
      </c>
      <c r="G130" s="532">
        <f>Detail!K385</f>
        <v>0</v>
      </c>
      <c r="H130" s="532">
        <f>Detail!L385</f>
        <v>8939.4135031336846</v>
      </c>
      <c r="I130" s="532">
        <f>Detail!M385</f>
        <v>79637.299826296949</v>
      </c>
      <c r="J130" s="532">
        <f t="shared" si="28"/>
        <v>2900000</v>
      </c>
    </row>
    <row r="131" spans="1:10">
      <c r="A131" s="529">
        <v>129</v>
      </c>
      <c r="B131" s="794"/>
      <c r="C131" s="547" t="s">
        <v>376</v>
      </c>
      <c r="D131" s="548"/>
      <c r="E131" s="532">
        <f>Detail!I386</f>
        <v>0</v>
      </c>
      <c r="F131" s="532">
        <f>Detail!J386</f>
        <v>0</v>
      </c>
      <c r="G131" s="532">
        <f>Detail!K386</f>
        <v>0</v>
      </c>
      <c r="H131" s="532">
        <f>Detail!L386</f>
        <v>0</v>
      </c>
      <c r="I131" s="532">
        <f>Detail!M386</f>
        <v>0</v>
      </c>
      <c r="J131" s="532">
        <f t="shared" si="28"/>
        <v>0</v>
      </c>
    </row>
    <row r="132" spans="1:10">
      <c r="A132" s="529">
        <v>130</v>
      </c>
      <c r="B132" s="794"/>
      <c r="C132" s="547" t="s">
        <v>377</v>
      </c>
      <c r="D132" s="548"/>
      <c r="E132" s="532">
        <f>Detail!I387</f>
        <v>54711.875881243897</v>
      </c>
      <c r="F132" s="532">
        <f>Detail!J387</f>
        <v>8302.7839924067976</v>
      </c>
      <c r="G132" s="532">
        <f>Detail!K387</f>
        <v>0</v>
      </c>
      <c r="H132" s="532">
        <f>Detail!L387</f>
        <v>200.36616472541019</v>
      </c>
      <c r="I132" s="532">
        <f>Detail!M387</f>
        <v>1784.9739616238971</v>
      </c>
      <c r="J132" s="532">
        <f t="shared" si="28"/>
        <v>65000</v>
      </c>
    </row>
    <row r="133" spans="1:10" ht="15.6" customHeight="1">
      <c r="A133" s="529">
        <v>131</v>
      </c>
      <c r="B133" s="794"/>
      <c r="C133" s="547" t="s">
        <v>378</v>
      </c>
      <c r="D133" s="548"/>
      <c r="E133" s="532">
        <f>Detail!I388</f>
        <v>511766.46978148137</v>
      </c>
      <c r="F133" s="532">
        <f>Detail!J388</f>
        <v>77662.96411358974</v>
      </c>
      <c r="G133" s="532">
        <f>Detail!K388</f>
        <v>0</v>
      </c>
      <c r="H133" s="532">
        <f>Detail!L388</f>
        <v>1874.1942792776829</v>
      </c>
      <c r="I133" s="532">
        <f>Detail!M388</f>
        <v>16696.371825651222</v>
      </c>
      <c r="J133" s="532">
        <f t="shared" si="28"/>
        <v>608000.00000000012</v>
      </c>
    </row>
    <row r="134" spans="1:10">
      <c r="A134" s="529">
        <v>132</v>
      </c>
      <c r="B134" s="794"/>
      <c r="C134" s="547" t="s">
        <v>379</v>
      </c>
      <c r="D134" s="548"/>
      <c r="E134" s="532">
        <f>Detail!I389</f>
        <v>40402.61603538011</v>
      </c>
      <c r="F134" s="532">
        <f>Detail!J389</f>
        <v>6131.2866405465584</v>
      </c>
      <c r="G134" s="532">
        <f>Detail!K389</f>
        <v>0</v>
      </c>
      <c r="H134" s="532">
        <f>Detail!L389</f>
        <v>147.96270625876446</v>
      </c>
      <c r="I134" s="532">
        <f>Detail!M389</f>
        <v>1318.1346178145702</v>
      </c>
      <c r="J134" s="532">
        <f t="shared" si="28"/>
        <v>48000.000000000007</v>
      </c>
    </row>
    <row r="135" spans="1:10">
      <c r="A135" s="529">
        <v>133</v>
      </c>
      <c r="B135" s="794"/>
      <c r="C135" s="547" t="s">
        <v>380</v>
      </c>
      <c r="D135" s="548"/>
      <c r="E135" s="532">
        <f>Detail!I390</f>
        <v>0</v>
      </c>
      <c r="F135" s="532">
        <f>Detail!J390</f>
        <v>0</v>
      </c>
      <c r="G135" s="532">
        <f>Detail!K390</f>
        <v>0</v>
      </c>
      <c r="H135" s="532">
        <f>Detail!L390</f>
        <v>0</v>
      </c>
      <c r="I135" s="532">
        <f>Detail!M390</f>
        <v>0</v>
      </c>
      <c r="J135" s="532">
        <f t="shared" si="28"/>
        <v>0</v>
      </c>
    </row>
    <row r="136" spans="1:10">
      <c r="A136" s="529">
        <v>134</v>
      </c>
      <c r="B136" s="794"/>
      <c r="C136" s="547" t="s">
        <v>381</v>
      </c>
      <c r="D136" s="548"/>
      <c r="E136" s="532">
        <f>Detail!I391</f>
        <v>1509206.0531549277</v>
      </c>
      <c r="F136" s="532">
        <f>Detail!J391</f>
        <v>229029.10305208291</v>
      </c>
      <c r="G136" s="532">
        <f>Detail!K391</f>
        <v>0</v>
      </c>
      <c r="H136" s="532">
        <f>Detail!L391</f>
        <v>5527.0235900409307</v>
      </c>
      <c r="I136" s="532">
        <f>Detail!M391</f>
        <v>49237.820202948424</v>
      </c>
      <c r="J136" s="532">
        <f t="shared" si="28"/>
        <v>1793000</v>
      </c>
    </row>
    <row r="137" spans="1:10">
      <c r="A137" s="529">
        <v>135</v>
      </c>
      <c r="B137" s="794"/>
      <c r="C137" s="547" t="s">
        <v>382</v>
      </c>
      <c r="D137" s="548"/>
      <c r="E137" s="532">
        <f>Detail!I392</f>
        <v>13467.538678460036</v>
      </c>
      <c r="F137" s="532">
        <f>Detail!J392</f>
        <v>2043.7622135155195</v>
      </c>
      <c r="G137" s="532">
        <f>Detail!K392</f>
        <v>0</v>
      </c>
      <c r="H137" s="532">
        <f>Detail!L392</f>
        <v>49.320902086254819</v>
      </c>
      <c r="I137" s="532">
        <f>Detail!M392</f>
        <v>439.37820593819004</v>
      </c>
      <c r="J137" s="532">
        <f t="shared" si="28"/>
        <v>16000</v>
      </c>
    </row>
    <row r="138" spans="1:10">
      <c r="A138" s="529">
        <v>136</v>
      </c>
      <c r="B138" s="501"/>
      <c r="C138" s="524" t="s">
        <v>1164</v>
      </c>
      <c r="D138" s="559"/>
      <c r="E138" s="532">
        <f>SUM(E128:E137)</f>
        <v>6326376.2942066016</v>
      </c>
      <c r="F138" s="532">
        <f t="shared" ref="F138:J138" si="29">SUM(F128:F137)</f>
        <v>960057.29979891528</v>
      </c>
      <c r="G138" s="532">
        <f t="shared" si="29"/>
        <v>0</v>
      </c>
      <c r="H138" s="532">
        <f t="shared" si="29"/>
        <v>23168.493755018204</v>
      </c>
      <c r="I138" s="532">
        <f t="shared" si="29"/>
        <v>206397.91223946473</v>
      </c>
      <c r="J138" s="532">
        <f t="shared" si="29"/>
        <v>7516000</v>
      </c>
    </row>
    <row r="139" spans="1:10">
      <c r="A139" s="529">
        <v>137</v>
      </c>
      <c r="B139" s="794" t="s">
        <v>214</v>
      </c>
      <c r="C139" s="521" t="s">
        <v>1046</v>
      </c>
      <c r="D139" s="545">
        <v>407</v>
      </c>
      <c r="E139" s="532">
        <f>Detail!I399</f>
        <v>-1741521.0953583634</v>
      </c>
      <c r="F139" s="532">
        <f>Detail!J399</f>
        <v>-264284.00123522565</v>
      </c>
      <c r="G139" s="532">
        <f>Detail!K399</f>
        <v>0</v>
      </c>
      <c r="H139" s="532">
        <f>Detail!L399</f>
        <v>-6377.8091510288259</v>
      </c>
      <c r="I139" s="532">
        <f>Detail!M399</f>
        <v>-56817.094255382202</v>
      </c>
      <c r="J139" s="532">
        <f t="shared" ref="J139:J144" si="30">SUM(E139:I139)</f>
        <v>-2069000</v>
      </c>
    </row>
    <row r="140" spans="1:10" ht="15.6" customHeight="1">
      <c r="A140" s="529">
        <v>138</v>
      </c>
      <c r="B140" s="794"/>
      <c r="C140" s="521" t="s">
        <v>384</v>
      </c>
      <c r="D140" s="562">
        <v>404.2</v>
      </c>
      <c r="E140" s="532">
        <f>Detail!I400</f>
        <v>66055.456101479751</v>
      </c>
      <c r="F140" s="532">
        <f>Detail!J400</f>
        <v>16895.158860888147</v>
      </c>
      <c r="G140" s="532">
        <f>Detail!K400</f>
        <v>0</v>
      </c>
      <c r="H140" s="532">
        <f>Detail!L400</f>
        <v>417.0386808196443</v>
      </c>
      <c r="I140" s="532">
        <f>Detail!M400</f>
        <v>4632.3463568124671</v>
      </c>
      <c r="J140" s="532">
        <f t="shared" si="30"/>
        <v>88000.000000000015</v>
      </c>
    </row>
    <row r="141" spans="1:10">
      <c r="A141" s="529">
        <v>139</v>
      </c>
      <c r="B141" s="794"/>
      <c r="C141" s="521" t="s">
        <v>385</v>
      </c>
      <c r="D141" s="562">
        <v>404.3</v>
      </c>
      <c r="E141" s="532">
        <f>Detail!I401</f>
        <v>6278398.187664588</v>
      </c>
      <c r="F141" s="532">
        <f>Detail!J401</f>
        <v>952776.39691326628</v>
      </c>
      <c r="G141" s="532">
        <f>Detail!K401</f>
        <v>0</v>
      </c>
      <c r="H141" s="532">
        <f>Detail!L401</f>
        <v>22992.788041335916</v>
      </c>
      <c r="I141" s="532">
        <f>Detail!M401</f>
        <v>204832.62738080998</v>
      </c>
      <c r="J141" s="532">
        <f t="shared" si="30"/>
        <v>7459000</v>
      </c>
    </row>
    <row r="142" spans="1:10">
      <c r="A142" s="529">
        <v>140</v>
      </c>
      <c r="B142" s="794"/>
      <c r="C142" s="521" t="s">
        <v>1043</v>
      </c>
      <c r="D142" s="562">
        <v>407.23</v>
      </c>
      <c r="E142" s="532">
        <v>0</v>
      </c>
      <c r="F142" s="532">
        <v>0</v>
      </c>
      <c r="G142" s="532">
        <v>0</v>
      </c>
      <c r="H142" s="532">
        <v>0</v>
      </c>
      <c r="I142" s="532">
        <v>0</v>
      </c>
      <c r="J142" s="532">
        <f t="shared" si="30"/>
        <v>0</v>
      </c>
    </row>
    <row r="143" spans="1:10">
      <c r="A143" s="529">
        <v>141</v>
      </c>
      <c r="B143" s="794"/>
      <c r="C143" s="521" t="s">
        <v>1044</v>
      </c>
      <c r="D143" s="563">
        <v>407.30200000000002</v>
      </c>
      <c r="E143" s="532">
        <v>0</v>
      </c>
      <c r="F143" s="532">
        <v>0</v>
      </c>
      <c r="G143" s="532">
        <v>0</v>
      </c>
      <c r="H143" s="532">
        <v>0</v>
      </c>
      <c r="I143" s="532">
        <v>0</v>
      </c>
      <c r="J143" s="532">
        <f t="shared" si="30"/>
        <v>0</v>
      </c>
    </row>
    <row r="144" spans="1:10">
      <c r="A144" s="529">
        <v>142</v>
      </c>
      <c r="B144" s="794"/>
      <c r="C144" s="521" t="s">
        <v>1045</v>
      </c>
      <c r="D144" s="563">
        <v>407.41399999999999</v>
      </c>
      <c r="E144" s="532">
        <f>Detail!I403</f>
        <v>2037000</v>
      </c>
      <c r="F144" s="532">
        <f>Detail!J403</f>
        <v>0</v>
      </c>
      <c r="G144" s="532">
        <f>Detail!K403</f>
        <v>0</v>
      </c>
      <c r="H144" s="532">
        <f>Detail!L403</f>
        <v>0</v>
      </c>
      <c r="I144" s="532">
        <f>Detail!M403</f>
        <v>0</v>
      </c>
      <c r="J144" s="532">
        <f t="shared" si="30"/>
        <v>2037000</v>
      </c>
    </row>
    <row r="145" spans="1:10">
      <c r="A145" s="529">
        <v>143</v>
      </c>
      <c r="B145" s="500"/>
      <c r="C145" s="525" t="s">
        <v>1069</v>
      </c>
      <c r="D145" s="525"/>
      <c r="E145" s="532">
        <f t="shared" ref="E145:J145" si="31">SUM(E139:E144)</f>
        <v>6639932.5484077046</v>
      </c>
      <c r="F145" s="532">
        <f t="shared" si="31"/>
        <v>705387.55453892879</v>
      </c>
      <c r="G145" s="532">
        <f t="shared" si="31"/>
        <v>0</v>
      </c>
      <c r="H145" s="532">
        <f t="shared" si="31"/>
        <v>17032.017571126737</v>
      </c>
      <c r="I145" s="532">
        <f t="shared" si="31"/>
        <v>152647.87948224024</v>
      </c>
      <c r="J145" s="532">
        <f t="shared" si="31"/>
        <v>7515000</v>
      </c>
    </row>
    <row r="146" spans="1:10">
      <c r="A146" s="529">
        <v>144</v>
      </c>
      <c r="B146" s="500"/>
      <c r="C146" s="558" t="s">
        <v>639</v>
      </c>
      <c r="D146" s="565"/>
      <c r="E146" s="532">
        <f>E145+E138+E127+E113</f>
        <v>27516630.237034626</v>
      </c>
      <c r="F146" s="532">
        <f t="shared" ref="F146:J146" si="32">F145+F138+F127+F113</f>
        <v>5210419.1381978644</v>
      </c>
      <c r="G146" s="532">
        <f t="shared" si="32"/>
        <v>0</v>
      </c>
      <c r="H146" s="532">
        <f t="shared" si="32"/>
        <v>123710.1563385819</v>
      </c>
      <c r="I146" s="532">
        <f t="shared" si="32"/>
        <v>1239240.4684289265</v>
      </c>
      <c r="J146" s="532">
        <f t="shared" si="32"/>
        <v>34090000</v>
      </c>
    </row>
    <row r="147" spans="1:10" ht="15.6" customHeight="1">
      <c r="A147" s="529">
        <v>145</v>
      </c>
      <c r="B147" s="500"/>
      <c r="C147" s="564"/>
      <c r="D147" s="564"/>
      <c r="E147" s="532"/>
      <c r="F147" s="532"/>
      <c r="G147" s="532"/>
      <c r="H147" s="532"/>
      <c r="I147" s="532"/>
      <c r="J147" s="532"/>
    </row>
    <row r="148" spans="1:1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2">
        <f>Detail!I352</f>
        <v>7876054.3204567973</v>
      </c>
      <c r="F148" s="532">
        <f>Detail!J352</f>
        <v>1942130.2543609454</v>
      </c>
      <c r="G148" s="532">
        <f>Detail!K352</f>
        <v>0</v>
      </c>
      <c r="H148" s="532">
        <f>Detail!L352</f>
        <v>47791.259167469325</v>
      </c>
      <c r="I148" s="532">
        <f>Detail!M352</f>
        <v>522024.16601478856</v>
      </c>
      <c r="J148" s="532">
        <f>SUM(E148:I148)</f>
        <v>10388000.000000002</v>
      </c>
    </row>
    <row r="149" spans="1:10" ht="15.6" customHeight="1">
      <c r="A149" s="529">
        <v>147</v>
      </c>
      <c r="B149" s="794"/>
      <c r="C149" s="521" t="s">
        <v>1071</v>
      </c>
      <c r="D149" s="549">
        <v>409.1</v>
      </c>
      <c r="E149" s="532">
        <f>Detail!I414</f>
        <v>-1920355.2279877372</v>
      </c>
      <c r="F149" s="532">
        <f>Detail!J414</f>
        <v>-1134370.0764975706</v>
      </c>
      <c r="G149" s="532">
        <f>Detail!K414</f>
        <v>0</v>
      </c>
      <c r="H149" s="532">
        <f>Detail!L414</f>
        <v>-35770.844182558678</v>
      </c>
      <c r="I149" s="532">
        <f>Detail!M414</f>
        <v>-9503.8513321341416</v>
      </c>
      <c r="J149" s="532">
        <f>SUM(E149:I149)</f>
        <v>-3100000.0000000009</v>
      </c>
    </row>
    <row r="150" spans="1:10">
      <c r="A150" s="529">
        <v>148</v>
      </c>
      <c r="B150" s="794"/>
      <c r="C150" s="521" t="s">
        <v>1072</v>
      </c>
      <c r="D150" s="549">
        <v>409.1</v>
      </c>
      <c r="E150" s="532">
        <f>Detail!I413</f>
        <v>-176548.78708919519</v>
      </c>
      <c r="F150" s="532">
        <f>Detail!J413</f>
        <v>-104288.86187155085</v>
      </c>
      <c r="G150" s="532">
        <f>Detail!K413</f>
        <v>0</v>
      </c>
      <c r="H150" s="532">
        <f>Detail!L413</f>
        <v>-3288.6098683965238</v>
      </c>
      <c r="I150" s="532">
        <f>Detail!M413</f>
        <v>-873.74117085749367</v>
      </c>
      <c r="J150" s="532">
        <f>SUM(E150:I150)</f>
        <v>-285000.00000000006</v>
      </c>
    </row>
    <row r="151" spans="1:10" ht="15.6" customHeight="1">
      <c r="A151" s="529">
        <v>149</v>
      </c>
      <c r="B151" s="794"/>
      <c r="C151" s="521" t="s">
        <v>1073</v>
      </c>
      <c r="D151" s="549" t="s">
        <v>1090</v>
      </c>
      <c r="E151" s="532">
        <f>Detail!I416</f>
        <v>3666020.0771714286</v>
      </c>
      <c r="F151" s="532">
        <f>Detail!J416</f>
        <v>2165549.0686169751</v>
      </c>
      <c r="G151" s="532">
        <f>Detail!K416</f>
        <v>0</v>
      </c>
      <c r="H151" s="532">
        <f>Detail!L416</f>
        <v>68287.69544270396</v>
      </c>
      <c r="I151" s="532">
        <f>Detail!M416</f>
        <v>18143.1587688935</v>
      </c>
      <c r="J151" s="532">
        <f>SUM(E151:I151)</f>
        <v>5918000</v>
      </c>
    </row>
    <row r="152" spans="1:10" ht="15.6" customHeight="1">
      <c r="A152" s="529">
        <v>150</v>
      </c>
      <c r="B152" s="794"/>
      <c r="C152" s="521" t="s">
        <v>1074</v>
      </c>
      <c r="D152" s="549">
        <v>411.4</v>
      </c>
      <c r="E152" s="532">
        <f>Detail!I415</f>
        <v>0</v>
      </c>
      <c r="F152" s="532">
        <f>Detail!J415</f>
        <v>0</v>
      </c>
      <c r="G152" s="532">
        <f>Detail!K415</f>
        <v>0</v>
      </c>
      <c r="H152" s="532">
        <f>Detail!L415</f>
        <v>0</v>
      </c>
      <c r="I152" s="532">
        <f>Detail!M415</f>
        <v>0</v>
      </c>
      <c r="J152" s="532">
        <f>SUM(E152:I152)</f>
        <v>0</v>
      </c>
    </row>
    <row r="153" spans="1:10">
      <c r="A153" s="529">
        <v>151</v>
      </c>
      <c r="B153" s="500"/>
      <c r="C153" s="525" t="s">
        <v>1075</v>
      </c>
      <c r="D153" s="525"/>
      <c r="E153" s="532">
        <f>SUM(E148:E152)</f>
        <v>9445170.3825512938</v>
      </c>
      <c r="F153" s="532">
        <f t="shared" ref="F153:J153" si="33">SUM(F148:F152)</f>
        <v>2869020.3846087991</v>
      </c>
      <c r="G153" s="532">
        <f t="shared" si="33"/>
        <v>0</v>
      </c>
      <c r="H153" s="532">
        <f t="shared" si="33"/>
        <v>77019.500559218082</v>
      </c>
      <c r="I153" s="532">
        <f t="shared" si="33"/>
        <v>529789.73228069034</v>
      </c>
      <c r="J153" s="532">
        <f t="shared" si="33"/>
        <v>12921000</v>
      </c>
    </row>
    <row r="154" spans="1:10">
      <c r="A154" s="529">
        <v>152</v>
      </c>
      <c r="B154" s="500"/>
      <c r="C154" s="503"/>
      <c r="D154" s="503"/>
      <c r="E154" s="532"/>
      <c r="F154" s="532"/>
      <c r="G154" s="532"/>
      <c r="H154" s="532"/>
      <c r="I154" s="532"/>
      <c r="J154" s="532"/>
    </row>
    <row r="155" spans="1:10">
      <c r="A155" s="529">
        <v>153</v>
      </c>
      <c r="B155" s="500"/>
      <c r="C155" s="566" t="s">
        <v>77</v>
      </c>
      <c r="D155" s="567"/>
      <c r="E155" s="532">
        <f>E153+E146+E103</f>
        <v>77694012.460560054</v>
      </c>
      <c r="F155" s="532">
        <f>F153+F146+F103</f>
        <v>14894978.993386973</v>
      </c>
      <c r="G155" s="532">
        <f>G153+G146+G103</f>
        <v>0</v>
      </c>
      <c r="H155" s="532">
        <f>H153+H146+H103</f>
        <v>369520.6311637914</v>
      </c>
      <c r="I155" s="532">
        <f>I153+I146+I103</f>
        <v>3180488.2453331407</v>
      </c>
      <c r="J155" s="532">
        <f>SUM(E155:I155)</f>
        <v>96139000.330443949</v>
      </c>
    </row>
    <row r="156" spans="1:10">
      <c r="A156" s="529">
        <v>154</v>
      </c>
      <c r="B156" s="500"/>
      <c r="C156" s="503"/>
      <c r="D156" s="503"/>
      <c r="E156" s="532"/>
      <c r="F156" s="532"/>
      <c r="G156" s="532"/>
      <c r="H156" s="532"/>
      <c r="I156" s="532"/>
      <c r="J156" s="532"/>
    </row>
    <row r="157" spans="1:10">
      <c r="A157" s="529">
        <v>155</v>
      </c>
      <c r="B157" s="500"/>
      <c r="C157" s="566" t="s">
        <v>578</v>
      </c>
      <c r="D157" s="566"/>
      <c r="E157" s="532">
        <f>E17+E155</f>
        <v>176531982.85589433</v>
      </c>
      <c r="F157" s="532">
        <f>F17+F155</f>
        <v>39307769.555475093</v>
      </c>
      <c r="G157" s="532">
        <f>G17+G155</f>
        <v>0</v>
      </c>
      <c r="H157" s="532">
        <f>H17+H155</f>
        <v>1024335.0932756899</v>
      </c>
      <c r="I157" s="532">
        <f>I17+I155</f>
        <v>6968912.8257988635</v>
      </c>
      <c r="J157" s="532">
        <f>SUM(E157:I157)</f>
        <v>223833000.33044398</v>
      </c>
    </row>
    <row r="158" spans="1:10" ht="15.6" customHeight="1">
      <c r="A158" s="529">
        <v>156</v>
      </c>
      <c r="B158" s="500"/>
      <c r="C158" s="503"/>
      <c r="D158" s="503"/>
      <c r="E158" s="532"/>
      <c r="F158" s="532"/>
      <c r="G158" s="532"/>
      <c r="H158" s="532"/>
      <c r="I158" s="532"/>
      <c r="J158" s="532"/>
    </row>
    <row r="159" spans="1:1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2">
        <f>Detail!I10</f>
        <v>1485497.1321003232</v>
      </c>
      <c r="F159" s="532">
        <f>Detail!J10</f>
        <v>379949.08392838226</v>
      </c>
      <c r="G159" s="532">
        <f>Detail!K10</f>
        <v>0</v>
      </c>
      <c r="H159" s="532">
        <f>Detail!L10</f>
        <v>9378.6312425235919</v>
      </c>
      <c r="I159" s="532">
        <f>Detail!M10</f>
        <v>104175.15272877128</v>
      </c>
      <c r="J159" s="532">
        <f>SUM(E159:I159)</f>
        <v>1979000.0000000005</v>
      </c>
    </row>
    <row r="160" spans="1:10">
      <c r="A160" s="529">
        <v>158</v>
      </c>
      <c r="B160" s="795"/>
      <c r="C160" s="521" t="s">
        <v>626</v>
      </c>
      <c r="D160" s="549">
        <v>303.10000000000002</v>
      </c>
      <c r="E160" s="532">
        <f>Detail!I11</f>
        <v>36247038.631907783</v>
      </c>
      <c r="F160" s="532">
        <f>Detail!J11</f>
        <v>5500658.2625386762</v>
      </c>
      <c r="G160" s="532">
        <f>Detail!K11</f>
        <v>0</v>
      </c>
      <c r="H160" s="532">
        <f>Detail!L11</f>
        <v>132744.12540877445</v>
      </c>
      <c r="I160" s="532">
        <f>Detail!M11</f>
        <v>1182558.9801447673</v>
      </c>
      <c r="J160" s="532">
        <f>SUM(E160:I160)</f>
        <v>43063000.000000007</v>
      </c>
    </row>
    <row r="161" spans="1:10">
      <c r="A161" s="529"/>
      <c r="B161" s="795"/>
      <c r="C161" s="521" t="s">
        <v>1251</v>
      </c>
      <c r="D161" s="562">
        <v>303.12</v>
      </c>
      <c r="E161" s="532">
        <f>Detail!I12</f>
        <v>3585732.1731399847</v>
      </c>
      <c r="F161" s="532">
        <f>Detail!J12</f>
        <v>544151.68934850709</v>
      </c>
      <c r="G161" s="532"/>
      <c r="H161" s="532">
        <f>Detail!L12</f>
        <v>13131.690180465344</v>
      </c>
      <c r="I161" s="532">
        <f>Detail!M12</f>
        <v>116984.44733104311</v>
      </c>
      <c r="J161" s="532">
        <f>SUM(E161:I161)</f>
        <v>4260000</v>
      </c>
    </row>
    <row r="162" spans="1:10">
      <c r="A162" s="529">
        <v>159</v>
      </c>
      <c r="B162" s="523"/>
      <c r="C162" s="525" t="s">
        <v>1091</v>
      </c>
      <c r="D162" s="525"/>
      <c r="E162" s="532">
        <f>SUM(E159:E161)</f>
        <v>41318267.937148087</v>
      </c>
      <c r="F162" s="532">
        <f t="shared" ref="F162:I162" si="34">SUM(F159:F161)</f>
        <v>6424759.0358155649</v>
      </c>
      <c r="G162" s="532">
        <f t="shared" si="34"/>
        <v>0</v>
      </c>
      <c r="H162" s="532">
        <f t="shared" si="34"/>
        <v>155254.44683176337</v>
      </c>
      <c r="I162" s="532">
        <f t="shared" si="34"/>
        <v>1403718.5802045818</v>
      </c>
      <c r="J162" s="532">
        <f>SUM(J159:J161)</f>
        <v>49302000.000000007</v>
      </c>
    </row>
    <row r="163" spans="1:10">
      <c r="A163" s="529">
        <v>160</v>
      </c>
      <c r="B163" s="795" t="s">
        <v>1092</v>
      </c>
      <c r="C163" s="521" t="s">
        <v>88</v>
      </c>
      <c r="D163" s="545">
        <v>350</v>
      </c>
      <c r="E163" s="532">
        <f>Detail!I16</f>
        <v>725365.11687528447</v>
      </c>
      <c r="F163" s="532">
        <f>Detail!J16</f>
        <v>270510.67839150876</v>
      </c>
      <c r="G163" s="532">
        <f>Detail!K16</f>
        <v>0</v>
      </c>
      <c r="H163" s="532">
        <f>Detail!L16</f>
        <v>7365.9998856883876</v>
      </c>
      <c r="I163" s="532">
        <f>Detail!M16</f>
        <v>12758.204847518449</v>
      </c>
      <c r="J163" s="532">
        <f>SUM(E163:I163)</f>
        <v>1016000.0000000001</v>
      </c>
    </row>
    <row r="164" spans="1:10">
      <c r="A164" s="529">
        <v>161</v>
      </c>
      <c r="B164" s="795"/>
      <c r="C164" s="521" t="s">
        <v>89</v>
      </c>
      <c r="D164" s="545">
        <v>351</v>
      </c>
      <c r="E164" s="532">
        <f>Detail!I17</f>
        <v>1532119.626785788</v>
      </c>
      <c r="F164" s="532">
        <f>Detail!J17</f>
        <v>571373.93290174974</v>
      </c>
      <c r="G164" s="532">
        <f>Detail!K17</f>
        <v>0</v>
      </c>
      <c r="H164" s="532">
        <f>Detail!L17</f>
        <v>15558.499758550472</v>
      </c>
      <c r="I164" s="532">
        <f>Detail!M17</f>
        <v>26947.940553912002</v>
      </c>
      <c r="J164" s="532">
        <f t="shared" ref="J164:J170" si="35">SUM(E164:I164)</f>
        <v>2146000</v>
      </c>
    </row>
    <row r="165" spans="1:10">
      <c r="A165" s="529">
        <v>162</v>
      </c>
      <c r="B165" s="795"/>
      <c r="C165" s="521" t="s">
        <v>237</v>
      </c>
      <c r="D165" s="545">
        <v>352</v>
      </c>
      <c r="E165" s="532">
        <f>Detail!I18</f>
        <v>12761000.097469326</v>
      </c>
      <c r="F165" s="532">
        <f>Detail!J18</f>
        <v>4758964.4346159715</v>
      </c>
      <c r="G165" s="532">
        <f>Detail!K18</f>
        <v>0</v>
      </c>
      <c r="H165" s="532">
        <f>Detail!L18</f>
        <v>129586.4979889707</v>
      </c>
      <c r="I165" s="532">
        <f>Detail!M18</f>
        <v>224448.96992573305</v>
      </c>
      <c r="J165" s="532">
        <f t="shared" si="35"/>
        <v>17874000</v>
      </c>
    </row>
    <row r="166" spans="1:10">
      <c r="A166" s="529">
        <v>163</v>
      </c>
      <c r="B166" s="795"/>
      <c r="C166" s="521" t="s">
        <v>238</v>
      </c>
      <c r="D166" s="545">
        <v>353</v>
      </c>
      <c r="E166" s="532">
        <f>Detail!I19</f>
        <v>1120889.0093446816</v>
      </c>
      <c r="F166" s="532">
        <f>Detail!J19</f>
        <v>418013.54830183933</v>
      </c>
      <c r="G166" s="532">
        <f>Detail!K19</f>
        <v>0</v>
      </c>
      <c r="H166" s="532">
        <f>Detail!L19</f>
        <v>11382.499823357055</v>
      </c>
      <c r="I166" s="532">
        <f>Detail!M19</f>
        <v>19714.942530122014</v>
      </c>
      <c r="J166" s="532">
        <f t="shared" si="35"/>
        <v>1570000</v>
      </c>
    </row>
    <row r="167" spans="1:10">
      <c r="A167" s="529">
        <v>164</v>
      </c>
      <c r="B167" s="795"/>
      <c r="C167" s="521" t="s">
        <v>239</v>
      </c>
      <c r="D167" s="545">
        <v>354</v>
      </c>
      <c r="E167" s="532">
        <f>Detail!I20</f>
        <v>8345982.4963307828</v>
      </c>
      <c r="F167" s="532">
        <f>Detail!J20</f>
        <v>3112470.3055085996</v>
      </c>
      <c r="G167" s="532">
        <f>Detail!K20</f>
        <v>0</v>
      </c>
      <c r="H167" s="532">
        <f>Detail!L20</f>
        <v>84752.498684741382</v>
      </c>
      <c r="I167" s="532">
        <f>Detail!M20</f>
        <v>146794.69947587664</v>
      </c>
      <c r="J167" s="532">
        <f t="shared" si="35"/>
        <v>11690000</v>
      </c>
    </row>
    <row r="168" spans="1:10">
      <c r="A168" s="529">
        <v>165</v>
      </c>
      <c r="B168" s="795"/>
      <c r="C168" s="521" t="s">
        <v>240</v>
      </c>
      <c r="D168" s="545">
        <v>355</v>
      </c>
      <c r="E168" s="532">
        <f>Detail!I21</f>
        <v>1054492.3992370032</v>
      </c>
      <c r="F168" s="532">
        <f>Detail!J21</f>
        <v>393252.23620497878</v>
      </c>
      <c r="G168" s="532">
        <f>Detail!K21</f>
        <v>0</v>
      </c>
      <c r="H168" s="532">
        <f>Detail!L21</f>
        <v>10708.249833820619</v>
      </c>
      <c r="I168" s="532">
        <f>Detail!M21</f>
        <v>18547.114724197589</v>
      </c>
      <c r="J168" s="532">
        <f t="shared" si="35"/>
        <v>1477000.0000000002</v>
      </c>
    </row>
    <row r="169" spans="1:10">
      <c r="A169" s="529">
        <v>166</v>
      </c>
      <c r="B169" s="795"/>
      <c r="C169" s="521" t="s">
        <v>241</v>
      </c>
      <c r="D169" s="545">
        <v>356</v>
      </c>
      <c r="E169" s="532">
        <f>Detail!I22</f>
        <v>296285.94832996366</v>
      </c>
      <c r="F169" s="532">
        <f>Detail!J22</f>
        <v>110494.02709889383</v>
      </c>
      <c r="G169" s="532">
        <f>Detail!K22</f>
        <v>0</v>
      </c>
      <c r="H169" s="532">
        <f>Detail!L22</f>
        <v>3008.7499533077566</v>
      </c>
      <c r="I169" s="532">
        <f>Detail!M22</f>
        <v>5211.2746178347998</v>
      </c>
      <c r="J169" s="532">
        <f t="shared" si="35"/>
        <v>415000</v>
      </c>
    </row>
    <row r="170" spans="1:10">
      <c r="A170" s="529">
        <v>167</v>
      </c>
      <c r="B170" s="795"/>
      <c r="C170" s="521" t="s">
        <v>242</v>
      </c>
      <c r="D170" s="545">
        <v>357</v>
      </c>
      <c r="E170" s="532">
        <f>Detail!I23</f>
        <v>1606369.5993793209</v>
      </c>
      <c r="F170" s="532">
        <f>Detail!J23</f>
        <v>599064.00234340027</v>
      </c>
      <c r="G170" s="532">
        <f>Detail!K23</f>
        <v>0</v>
      </c>
      <c r="H170" s="532">
        <f>Detail!L23</f>
        <v>16312.499746849284</v>
      </c>
      <c r="I170" s="532">
        <f>Detail!M23</f>
        <v>28253.898530429637</v>
      </c>
      <c r="J170" s="532">
        <f t="shared" si="35"/>
        <v>2250000</v>
      </c>
    </row>
    <row r="171" spans="1:10">
      <c r="A171" s="529">
        <v>168</v>
      </c>
      <c r="B171" s="523"/>
      <c r="C171" s="525" t="s">
        <v>1095</v>
      </c>
      <c r="D171" s="525"/>
      <c r="E171" s="532">
        <f t="shared" ref="E171:J171" si="36">SUM(E163:E170)</f>
        <v>27442504.293752149</v>
      </c>
      <c r="F171" s="532">
        <f t="shared" si="36"/>
        <v>10234143.16536694</v>
      </c>
      <c r="G171" s="532">
        <f t="shared" si="36"/>
        <v>0</v>
      </c>
      <c r="H171" s="532">
        <f t="shared" si="36"/>
        <v>278675.4956752857</v>
      </c>
      <c r="I171" s="532">
        <f t="shared" si="36"/>
        <v>482677.04520562413</v>
      </c>
      <c r="J171" s="532">
        <f t="shared" si="36"/>
        <v>38438000</v>
      </c>
    </row>
    <row r="172" spans="1:10">
      <c r="A172" s="529">
        <v>169</v>
      </c>
      <c r="B172" s="795" t="s">
        <v>1098</v>
      </c>
      <c r="C172" s="521" t="s">
        <v>1096</v>
      </c>
      <c r="D172" s="545">
        <v>374</v>
      </c>
      <c r="E172" s="532">
        <f>Detail!I27</f>
        <v>493164.03021218401</v>
      </c>
      <c r="F172" s="532">
        <f>Detail!J27</f>
        <v>126137.72013185808</v>
      </c>
      <c r="G172" s="532">
        <f>Detail!K27</f>
        <v>0</v>
      </c>
      <c r="H172" s="532">
        <f>Detail!L27</f>
        <v>3113.5728783921172</v>
      </c>
      <c r="I172" s="532">
        <f>Detail!M27</f>
        <v>34584.676777565808</v>
      </c>
      <c r="J172" s="532">
        <f>SUM(E172:I172)</f>
        <v>657000</v>
      </c>
    </row>
    <row r="173" spans="1:10">
      <c r="A173" s="529">
        <v>170</v>
      </c>
      <c r="B173" s="795"/>
      <c r="C173" s="521" t="s">
        <v>1093</v>
      </c>
      <c r="D173" s="545">
        <v>375</v>
      </c>
      <c r="E173" s="532">
        <f>Detail!I28</f>
        <v>799421.14486449922</v>
      </c>
      <c r="F173" s="532">
        <f>Detail!J28</f>
        <v>204469.82030506677</v>
      </c>
      <c r="G173" s="532">
        <f>Detail!K28</f>
        <v>0</v>
      </c>
      <c r="H173" s="532">
        <f>Detail!L28</f>
        <v>5047.1158531013771</v>
      </c>
      <c r="I173" s="532">
        <f>Detail!M28</f>
        <v>56061.918977332702</v>
      </c>
      <c r="J173" s="532">
        <f t="shared" ref="J173:J183" si="37">SUM(E173:I173)</f>
        <v>1065000</v>
      </c>
    </row>
    <row r="174" spans="1:10">
      <c r="A174" s="529">
        <v>171</v>
      </c>
      <c r="B174" s="795"/>
      <c r="C174" s="521" t="s">
        <v>244</v>
      </c>
      <c r="D174" s="545">
        <v>376</v>
      </c>
      <c r="E174" s="532">
        <f>Detail!I29</f>
        <v>208617985.03337619</v>
      </c>
      <c r="F174" s="532">
        <f>Detail!J29</f>
        <v>118032071.80697401</v>
      </c>
      <c r="G174" s="532">
        <f>Detail!K29</f>
        <v>0</v>
      </c>
      <c r="H174" s="532">
        <f>Detail!L29</f>
        <v>3298285.8577381517</v>
      </c>
      <c r="I174" s="532">
        <f>Detail!M29</f>
        <v>36796657.301911615</v>
      </c>
      <c r="J174" s="532">
        <f t="shared" si="37"/>
        <v>366744999.99999994</v>
      </c>
    </row>
    <row r="175" spans="1:10">
      <c r="A175" s="529">
        <v>172</v>
      </c>
      <c r="B175" s="795"/>
      <c r="C175" s="521" t="s">
        <v>1099</v>
      </c>
      <c r="D175" s="545">
        <v>378</v>
      </c>
      <c r="E175" s="532">
        <f>Detail!I32</f>
        <v>3110967.4573546592</v>
      </c>
      <c r="F175" s="532">
        <f>Detail!J32</f>
        <v>1760125.9750299004</v>
      </c>
      <c r="G175" s="532">
        <f>Detail!K32</f>
        <v>0</v>
      </c>
      <c r="H175" s="532">
        <f>Detail!L32</f>
        <v>49184.925100464767</v>
      </c>
      <c r="I175" s="532">
        <f>Detail!M32</f>
        <v>548721.64251497528</v>
      </c>
      <c r="J175" s="532">
        <f t="shared" si="37"/>
        <v>5469000</v>
      </c>
    </row>
    <row r="176" spans="1:10" ht="15.75" customHeight="1">
      <c r="A176" s="529">
        <v>173</v>
      </c>
      <c r="B176" s="795"/>
      <c r="C176" s="521" t="s">
        <v>1100</v>
      </c>
      <c r="D176" s="545">
        <v>379</v>
      </c>
      <c r="E176" s="532">
        <f>Detail!I33</f>
        <v>1266230.3090275135</v>
      </c>
      <c r="F176" s="532">
        <f>Detail!J33</f>
        <v>716408.92675380479</v>
      </c>
      <c r="G176" s="532">
        <f>Detail!K33</f>
        <v>0</v>
      </c>
      <c r="H176" s="532">
        <f>Detail!L33</f>
        <v>20019.316744127733</v>
      </c>
      <c r="I176" s="532">
        <f>Detail!M33</f>
        <v>223341.44747455386</v>
      </c>
      <c r="J176" s="532">
        <f t="shared" si="37"/>
        <v>2226000</v>
      </c>
    </row>
    <row r="177" spans="1:10">
      <c r="A177" s="529">
        <v>174</v>
      </c>
      <c r="B177" s="795"/>
      <c r="C177" s="521" t="s">
        <v>91</v>
      </c>
      <c r="D177" s="545">
        <v>380</v>
      </c>
      <c r="E177" s="532">
        <f>Detail!I34</f>
        <v>260518281.08693209</v>
      </c>
      <c r="F177" s="532">
        <f>Detail!J34</f>
        <v>5214489.1553355884</v>
      </c>
      <c r="G177" s="532">
        <f>Detail!K34</f>
        <v>0</v>
      </c>
      <c r="H177" s="532">
        <f>Detail!L34</f>
        <v>20039.973729281319</v>
      </c>
      <c r="I177" s="532">
        <f>Detail!M34</f>
        <v>756189.78400305321</v>
      </c>
      <c r="J177" s="532">
        <f t="shared" si="37"/>
        <v>266509000</v>
      </c>
    </row>
    <row r="178" spans="1:10">
      <c r="A178" s="529">
        <v>175</v>
      </c>
      <c r="B178" s="795"/>
      <c r="C178" s="521" t="s">
        <v>8</v>
      </c>
      <c r="D178" s="545">
        <v>381</v>
      </c>
      <c r="E178" s="532">
        <f>Detail!I35</f>
        <v>83899255.576561198</v>
      </c>
      <c r="F178" s="532">
        <f>Detail!J35</f>
        <v>13588970.539312162</v>
      </c>
      <c r="G178" s="532">
        <f>Detail!K35</f>
        <v>0</v>
      </c>
      <c r="H178" s="532">
        <f>Detail!L35</f>
        <v>100679.29808237152</v>
      </c>
      <c r="I178" s="532">
        <f>Detail!M35</f>
        <v>586094.58604426787</v>
      </c>
      <c r="J178" s="532">
        <f t="shared" si="37"/>
        <v>98175000</v>
      </c>
    </row>
    <row r="179" spans="1:10">
      <c r="A179" s="529">
        <v>176</v>
      </c>
      <c r="B179" s="795"/>
      <c r="C179" s="521" t="s">
        <v>1101</v>
      </c>
      <c r="D179" s="545">
        <v>382</v>
      </c>
      <c r="E179" s="532">
        <f>Detail!I36</f>
        <v>0</v>
      </c>
      <c r="F179" s="532">
        <f>Detail!J36</f>
        <v>0</v>
      </c>
      <c r="G179" s="532">
        <f>Detail!K36</f>
        <v>0</v>
      </c>
      <c r="H179" s="532">
        <f>Detail!L36</f>
        <v>0</v>
      </c>
      <c r="I179" s="532">
        <f>Detail!M36</f>
        <v>0</v>
      </c>
      <c r="J179" s="532">
        <f t="shared" si="37"/>
        <v>0</v>
      </c>
    </row>
    <row r="180" spans="1:10">
      <c r="A180" s="529">
        <v>177</v>
      </c>
      <c r="B180" s="795"/>
      <c r="C180" s="521" t="s">
        <v>1102</v>
      </c>
      <c r="D180" s="545">
        <v>383</v>
      </c>
      <c r="E180" s="532">
        <f>Detail!I37</f>
        <v>0</v>
      </c>
      <c r="F180" s="532">
        <f>Detail!J37</f>
        <v>0</v>
      </c>
      <c r="G180" s="532">
        <f>Detail!K37</f>
        <v>0</v>
      </c>
      <c r="H180" s="532">
        <f>Detail!L37</f>
        <v>0</v>
      </c>
      <c r="I180" s="532">
        <f>Detail!M37</f>
        <v>0</v>
      </c>
      <c r="J180" s="532">
        <f t="shared" si="37"/>
        <v>0</v>
      </c>
    </row>
    <row r="181" spans="1:10">
      <c r="A181" s="529">
        <v>178</v>
      </c>
      <c r="B181" s="795"/>
      <c r="C181" s="521" t="s">
        <v>1103</v>
      </c>
      <c r="D181" s="545">
        <v>384</v>
      </c>
      <c r="E181" s="532">
        <f>Detail!I38</f>
        <v>0</v>
      </c>
      <c r="F181" s="532">
        <f>Detail!J38</f>
        <v>0</v>
      </c>
      <c r="G181" s="532">
        <f>Detail!K38</f>
        <v>0</v>
      </c>
      <c r="H181" s="532">
        <f>Detail!L38</f>
        <v>0</v>
      </c>
      <c r="I181" s="532">
        <f>Detail!M38</f>
        <v>0</v>
      </c>
      <c r="J181" s="532">
        <f t="shared" si="37"/>
        <v>0</v>
      </c>
    </row>
    <row r="182" spans="1:10">
      <c r="A182" s="529">
        <v>179</v>
      </c>
      <c r="B182" s="795"/>
      <c r="C182" s="521" t="s">
        <v>1104</v>
      </c>
      <c r="D182" s="545">
        <v>385</v>
      </c>
      <c r="E182" s="532">
        <f>Detail!I39</f>
        <v>0</v>
      </c>
      <c r="F182" s="532">
        <f>Detail!J39</f>
        <v>3258691.5964071453</v>
      </c>
      <c r="G182" s="532">
        <f>Detail!K39</f>
        <v>0</v>
      </c>
      <c r="H182" s="532">
        <f>Detail!L39</f>
        <v>30995.232081763756</v>
      </c>
      <c r="I182" s="532">
        <f>Detail!M39</f>
        <v>179313.171511091</v>
      </c>
      <c r="J182" s="532">
        <f t="shared" si="37"/>
        <v>3469000</v>
      </c>
    </row>
    <row r="183" spans="1:10" ht="15.75" customHeight="1">
      <c r="A183" s="529">
        <v>180</v>
      </c>
      <c r="B183" s="795"/>
      <c r="C183" s="521" t="s">
        <v>1094</v>
      </c>
      <c r="D183" s="545">
        <v>387</v>
      </c>
      <c r="E183" s="532">
        <f>Detail!I40</f>
        <v>0</v>
      </c>
      <c r="F183" s="532">
        <f>Detail!J40</f>
        <v>0</v>
      </c>
      <c r="G183" s="532">
        <f>Detail!K40</f>
        <v>0</v>
      </c>
      <c r="H183" s="532">
        <f>Detail!L40</f>
        <v>0</v>
      </c>
      <c r="I183" s="532">
        <f>Detail!M40</f>
        <v>0</v>
      </c>
      <c r="J183" s="532">
        <f t="shared" si="37"/>
        <v>0</v>
      </c>
    </row>
    <row r="184" spans="1:10">
      <c r="A184" s="529">
        <v>181</v>
      </c>
      <c r="B184" s="523"/>
      <c r="C184" s="525" t="s">
        <v>1105</v>
      </c>
      <c r="D184" s="525"/>
      <c r="E184" s="532">
        <f>SUM(E172:E183)</f>
        <v>558705304.63832831</v>
      </c>
      <c r="F184" s="532">
        <f t="shared" ref="F184:J184" si="38">SUM(F172:F183)</f>
        <v>142901365.54024953</v>
      </c>
      <c r="G184" s="532">
        <f t="shared" si="38"/>
        <v>0</v>
      </c>
      <c r="H184" s="532">
        <f t="shared" si="38"/>
        <v>3527365.2922076546</v>
      </c>
      <c r="I184" s="532">
        <f t="shared" si="38"/>
        <v>39180964.529214457</v>
      </c>
      <c r="J184" s="532">
        <f t="shared" si="38"/>
        <v>744315000</v>
      </c>
    </row>
    <row r="185" spans="1:10">
      <c r="A185" s="529">
        <v>182</v>
      </c>
      <c r="B185" s="795" t="s">
        <v>1106</v>
      </c>
      <c r="C185" s="521" t="s">
        <v>1096</v>
      </c>
      <c r="D185" s="545">
        <v>389</v>
      </c>
      <c r="E185" s="532">
        <f>Detail!I46</f>
        <v>4673235.9214256322</v>
      </c>
      <c r="F185" s="532">
        <f>Detail!J46</f>
        <v>709185.48808988533</v>
      </c>
      <c r="G185" s="532">
        <f>Detail!K46</f>
        <v>0</v>
      </c>
      <c r="H185" s="532">
        <f>Detail!L46</f>
        <v>17114.35302393042</v>
      </c>
      <c r="I185" s="532">
        <f>Detail!M46</f>
        <v>152464.23746055196</v>
      </c>
      <c r="J185" s="532">
        <f>SUM(E185:I185)</f>
        <v>5552000</v>
      </c>
    </row>
    <row r="186" spans="1:10">
      <c r="A186" s="529">
        <v>183</v>
      </c>
      <c r="B186" s="795"/>
      <c r="C186" s="521" t="s">
        <v>1093</v>
      </c>
      <c r="D186" s="545">
        <v>390</v>
      </c>
      <c r="E186" s="532">
        <f>Detail!I47</f>
        <v>44129757.364643924</v>
      </c>
      <c r="F186" s="532">
        <f>Detail!J47</f>
        <v>6696897.8331369786</v>
      </c>
      <c r="G186" s="532">
        <f>Detail!K47</f>
        <v>0</v>
      </c>
      <c r="H186" s="532">
        <f>Detail!L47</f>
        <v>161612.26591113547</v>
      </c>
      <c r="I186" s="532">
        <f>Detail!M47</f>
        <v>1439732.5363079642</v>
      </c>
      <c r="J186" s="532">
        <f t="shared" ref="J186:J194" si="39">SUM(E186:I186)</f>
        <v>52427999.999999993</v>
      </c>
    </row>
    <row r="187" spans="1:10">
      <c r="A187" s="529">
        <v>184</v>
      </c>
      <c r="B187" s="795"/>
      <c r="C187" s="521" t="s">
        <v>1107</v>
      </c>
      <c r="D187" s="545">
        <v>391</v>
      </c>
      <c r="E187" s="532">
        <f>Detail!I48</f>
        <v>10943216.897416184</v>
      </c>
      <c r="F187" s="532">
        <f>Detail!J48</f>
        <v>1660684.5336197044</v>
      </c>
      <c r="G187" s="532">
        <f>Detail!K48</f>
        <v>0</v>
      </c>
      <c r="H187" s="532">
        <f>Detail!L48</f>
        <v>40076.315501462428</v>
      </c>
      <c r="I187" s="532">
        <f>Detail!M48</f>
        <v>357022.25346265052</v>
      </c>
      <c r="J187" s="532">
        <f t="shared" si="39"/>
        <v>13001000</v>
      </c>
    </row>
    <row r="188" spans="1:10">
      <c r="A188" s="529">
        <v>185</v>
      </c>
      <c r="B188" s="795"/>
      <c r="C188" s="521" t="s">
        <v>1108</v>
      </c>
      <c r="D188" s="545">
        <v>392</v>
      </c>
      <c r="E188" s="532">
        <f>Detail!I49</f>
        <v>12874966.976607794</v>
      </c>
      <c r="F188" s="532">
        <f>Detail!J49</f>
        <v>1953836.6761208368</v>
      </c>
      <c r="G188" s="532">
        <f>Detail!K49</f>
        <v>0</v>
      </c>
      <c r="H188" s="532">
        <f>Detail!L49</f>
        <v>47150.782394459602</v>
      </c>
      <c r="I188" s="532">
        <f>Detail!M49</f>
        <v>420045.56487690966</v>
      </c>
      <c r="J188" s="532">
        <f t="shared" si="39"/>
        <v>15296000</v>
      </c>
    </row>
    <row r="189" spans="1:10">
      <c r="A189" s="529">
        <v>186</v>
      </c>
      <c r="B189" s="795"/>
      <c r="C189" s="521" t="s">
        <v>1109</v>
      </c>
      <c r="D189" s="545">
        <v>393</v>
      </c>
      <c r="E189" s="532">
        <f>Detail!I50</f>
        <v>1015957.449056329</v>
      </c>
      <c r="F189" s="532">
        <f>Detail!J50</f>
        <v>154176.31198207699</v>
      </c>
      <c r="G189" s="532">
        <f>Detail!K50</f>
        <v>0</v>
      </c>
      <c r="H189" s="532">
        <f>Detail!L50</f>
        <v>3720.6455511318477</v>
      </c>
      <c r="I189" s="532">
        <f>Detail!M50</f>
        <v>33145.593410462214</v>
      </c>
      <c r="J189" s="532">
        <f t="shared" si="39"/>
        <v>1207000</v>
      </c>
    </row>
    <row r="190" spans="1:10">
      <c r="A190" s="529">
        <v>187</v>
      </c>
      <c r="B190" s="795"/>
      <c r="C190" s="521" t="s">
        <v>1110</v>
      </c>
      <c r="D190" s="545">
        <v>394</v>
      </c>
      <c r="E190" s="532">
        <f>Detail!I51</f>
        <v>7496368.7168978173</v>
      </c>
      <c r="F190" s="532">
        <f>Detail!J51</f>
        <v>1137609.1420980762</v>
      </c>
      <c r="G190" s="532">
        <f>Detail!K51</f>
        <v>0</v>
      </c>
      <c r="H190" s="532">
        <f>Detail!L51</f>
        <v>27453.247123761586</v>
      </c>
      <c r="I190" s="532">
        <f>Detail!M51</f>
        <v>244568.89388034504</v>
      </c>
      <c r="J190" s="532">
        <f t="shared" si="39"/>
        <v>8906000</v>
      </c>
    </row>
    <row r="191" spans="1:10">
      <c r="A191" s="529">
        <v>188</v>
      </c>
      <c r="B191" s="795"/>
      <c r="C191" s="521" t="s">
        <v>1111</v>
      </c>
      <c r="D191" s="545">
        <v>395</v>
      </c>
      <c r="E191" s="532">
        <f>Detail!I52</f>
        <v>450320.82456100744</v>
      </c>
      <c r="F191" s="532">
        <f>Detail!J52</f>
        <v>68338.299014425182</v>
      </c>
      <c r="G191" s="532">
        <f>Detail!K52</f>
        <v>0</v>
      </c>
      <c r="H191" s="532">
        <f>Detail!L52</f>
        <v>1649.1676635091453</v>
      </c>
      <c r="I191" s="532">
        <f>Detail!M52</f>
        <v>14691.708761058229</v>
      </c>
      <c r="J191" s="532">
        <f t="shared" si="39"/>
        <v>535000</v>
      </c>
    </row>
    <row r="192" spans="1:10">
      <c r="A192" s="529">
        <v>189</v>
      </c>
      <c r="B192" s="795"/>
      <c r="C192" s="521" t="s">
        <v>1112</v>
      </c>
      <c r="D192" s="545">
        <v>396</v>
      </c>
      <c r="E192" s="532">
        <f>Detail!I53</f>
        <v>3043663.741331968</v>
      </c>
      <c r="F192" s="532">
        <f>Detail!J53</f>
        <v>461890.26025450742</v>
      </c>
      <c r="G192" s="532">
        <f>Detail!K53</f>
        <v>0</v>
      </c>
      <c r="H192" s="532">
        <f>Detail!L53</f>
        <v>11146.523871493588</v>
      </c>
      <c r="I192" s="532">
        <f>Detail!M53</f>
        <v>99299.474542030948</v>
      </c>
      <c r="J192" s="532">
        <f t="shared" si="39"/>
        <v>3616000</v>
      </c>
    </row>
    <row r="193" spans="1:10">
      <c r="A193" s="529">
        <v>190</v>
      </c>
      <c r="B193" s="795"/>
      <c r="C193" s="521" t="s">
        <v>1097</v>
      </c>
      <c r="D193" s="545">
        <v>397</v>
      </c>
      <c r="E193" s="532">
        <f>Detail!I54</f>
        <v>16372318.427170385</v>
      </c>
      <c r="F193" s="532">
        <f>Detail!J54</f>
        <v>2484576.1759431483</v>
      </c>
      <c r="G193" s="532">
        <f>Detail!K54</f>
        <v>0</v>
      </c>
      <c r="H193" s="532">
        <f>Detail!L54</f>
        <v>59958.804154983904</v>
      </c>
      <c r="I193" s="532">
        <f>Detail!M54</f>
        <v>534146.5927314834</v>
      </c>
      <c r="J193" s="532">
        <f t="shared" si="39"/>
        <v>19451000</v>
      </c>
    </row>
    <row r="194" spans="1:10">
      <c r="A194" s="529">
        <v>191</v>
      </c>
      <c r="B194" s="795"/>
      <c r="C194" s="521" t="s">
        <v>1113</v>
      </c>
      <c r="D194" s="545">
        <v>398</v>
      </c>
      <c r="E194" s="532">
        <f>Detail!I55</f>
        <v>108582.03059508404</v>
      </c>
      <c r="F194" s="532">
        <f>Detail!J55</f>
        <v>16477.832846468875</v>
      </c>
      <c r="G194" s="532">
        <f>Detail!K55</f>
        <v>0</v>
      </c>
      <c r="H194" s="532">
        <f>Detail!L55</f>
        <v>397.64977307042943</v>
      </c>
      <c r="I194" s="532">
        <f>Detail!M55</f>
        <v>3542.4867853766573</v>
      </c>
      <c r="J194" s="532">
        <f t="shared" si="39"/>
        <v>129000</v>
      </c>
    </row>
    <row r="195" spans="1:10">
      <c r="A195" s="529">
        <v>192</v>
      </c>
      <c r="B195" s="523"/>
      <c r="C195" s="525" t="s">
        <v>1114</v>
      </c>
      <c r="D195" s="525"/>
      <c r="E195" s="532">
        <f>SUM(E185:E194)</f>
        <v>101108388.34970611</v>
      </c>
      <c r="F195" s="532">
        <f t="shared" ref="F195:J195" si="40">SUM(F185:F194)</f>
        <v>15343672.553106109</v>
      </c>
      <c r="G195" s="532">
        <f t="shared" si="40"/>
        <v>0</v>
      </c>
      <c r="H195" s="532">
        <f t="shared" si="40"/>
        <v>370279.75496893842</v>
      </c>
      <c r="I195" s="532">
        <f t="shared" si="40"/>
        <v>3298659.3422188326</v>
      </c>
      <c r="J195" s="532">
        <f t="shared" si="40"/>
        <v>120121000</v>
      </c>
    </row>
    <row r="196" spans="1:10">
      <c r="A196" s="529">
        <v>193</v>
      </c>
      <c r="B196" s="523"/>
      <c r="C196" s="564"/>
      <c r="D196" s="564"/>
      <c r="E196" s="532"/>
      <c r="F196" s="532"/>
      <c r="G196" s="532"/>
      <c r="H196" s="532"/>
      <c r="I196" s="532"/>
      <c r="J196" s="532"/>
    </row>
    <row r="197" spans="1:10">
      <c r="A197" s="529">
        <v>194</v>
      </c>
      <c r="B197" s="500"/>
      <c r="C197" s="566" t="s">
        <v>1076</v>
      </c>
      <c r="D197" s="566"/>
      <c r="E197" s="532">
        <f>E195+E184+E171+E162</f>
        <v>728574465.21893477</v>
      </c>
      <c r="F197" s="532">
        <f t="shared" ref="F197:I197" si="41">F195+F184+F171+F162</f>
        <v>174903940.29453814</v>
      </c>
      <c r="G197" s="532">
        <f t="shared" si="41"/>
        <v>0</v>
      </c>
      <c r="H197" s="532">
        <f t="shared" si="41"/>
        <v>4331574.9896836421</v>
      </c>
      <c r="I197" s="532">
        <f t="shared" si="41"/>
        <v>44366019.496843494</v>
      </c>
      <c r="J197" s="532">
        <f>J195+J184+J171+J162</f>
        <v>952176000</v>
      </c>
    </row>
    <row r="198" spans="1:10">
      <c r="A198" s="529">
        <v>195</v>
      </c>
      <c r="B198" s="500"/>
      <c r="C198" s="546"/>
      <c r="D198" s="546"/>
      <c r="E198" s="532"/>
      <c r="F198" s="532"/>
      <c r="G198" s="532"/>
      <c r="H198" s="532"/>
      <c r="I198" s="532"/>
      <c r="J198" s="532"/>
    </row>
    <row r="199" spans="1:10">
      <c r="A199" s="529">
        <v>196</v>
      </c>
      <c r="B199" s="794" t="s">
        <v>632</v>
      </c>
      <c r="C199" s="550" t="s">
        <v>252</v>
      </c>
      <c r="D199" s="551">
        <v>350</v>
      </c>
      <c r="E199" s="532">
        <f>Detail!I63</f>
        <v>-16420.667015877501</v>
      </c>
      <c r="F199" s="532">
        <f>Detail!J63</f>
        <v>-6123.7653572880918</v>
      </c>
      <c r="G199" s="532">
        <f>Detail!K63</f>
        <v>0</v>
      </c>
      <c r="H199" s="532">
        <f>Detail!L63</f>
        <v>-166.74999741223712</v>
      </c>
      <c r="I199" s="532">
        <f>Detail!M63</f>
        <v>-288.8176294221696</v>
      </c>
      <c r="J199" s="532">
        <f>SUM(E199:I199)</f>
        <v>-23000</v>
      </c>
    </row>
    <row r="200" spans="1:10">
      <c r="A200" s="529">
        <v>197</v>
      </c>
      <c r="B200" s="794"/>
      <c r="C200" s="550" t="s">
        <v>253</v>
      </c>
      <c r="D200" s="551">
        <v>351</v>
      </c>
      <c r="E200" s="532">
        <f>Detail!I64</f>
        <v>-551163.25809814921</v>
      </c>
      <c r="F200" s="532">
        <f>Detail!J64</f>
        <v>-205545.51547071335</v>
      </c>
      <c r="G200" s="532">
        <f>Detail!K64</f>
        <v>0</v>
      </c>
      <c r="H200" s="532">
        <f>Detail!L64</f>
        <v>-5596.9999131411769</v>
      </c>
      <c r="I200" s="532">
        <f>Detail!M64</f>
        <v>-9694.2265179963015</v>
      </c>
      <c r="J200" s="532">
        <f t="shared" ref="J200:J206" si="42">SUM(E200:I200)</f>
        <v>-772000</v>
      </c>
    </row>
    <row r="201" spans="1:10">
      <c r="A201" s="529">
        <v>198</v>
      </c>
      <c r="B201" s="794"/>
      <c r="C201" s="550" t="s">
        <v>254</v>
      </c>
      <c r="D201" s="551">
        <v>352</v>
      </c>
      <c r="E201" s="532">
        <f>Detail!I65</f>
        <v>-5742949.8032921143</v>
      </c>
      <c r="F201" s="532">
        <f>Detail!J65</f>
        <v>-2141720.3710445832</v>
      </c>
      <c r="G201" s="532">
        <f>Detail!K65</f>
        <v>0</v>
      </c>
      <c r="H201" s="532">
        <f>Detail!L65</f>
        <v>-58318.999094958061</v>
      </c>
      <c r="I201" s="532">
        <f>Detail!M65</f>
        <v>-101010.82656834488</v>
      </c>
      <c r="J201" s="532">
        <f t="shared" si="42"/>
        <v>-8044000.0000000009</v>
      </c>
    </row>
    <row r="202" spans="1:10">
      <c r="A202" s="529">
        <v>199</v>
      </c>
      <c r="B202" s="794"/>
      <c r="C202" s="550" t="s">
        <v>255</v>
      </c>
      <c r="D202" s="551">
        <v>353</v>
      </c>
      <c r="E202" s="532">
        <f>Detail!I66</f>
        <v>-367680.15274682234</v>
      </c>
      <c r="F202" s="532">
        <f>Detail!J66</f>
        <v>-137119.09386971162</v>
      </c>
      <c r="G202" s="532">
        <f>Detail!K66</f>
        <v>0</v>
      </c>
      <c r="H202" s="532">
        <f>Detail!L66</f>
        <v>-3733.7499420566137</v>
      </c>
      <c r="I202" s="532">
        <f>Detail!M66</f>
        <v>-6467.0034414094507</v>
      </c>
      <c r="J202" s="532">
        <f t="shared" si="42"/>
        <v>-515000</v>
      </c>
    </row>
    <row r="203" spans="1:10">
      <c r="A203" s="529">
        <v>200</v>
      </c>
      <c r="B203" s="794"/>
      <c r="C203" s="550" t="s">
        <v>256</v>
      </c>
      <c r="D203" s="551">
        <v>354</v>
      </c>
      <c r="E203" s="532">
        <f>Detail!I67</f>
        <v>-2343157.788961303</v>
      </c>
      <c r="F203" s="532">
        <f>Detail!J67</f>
        <v>-873834.69141823985</v>
      </c>
      <c r="G203" s="532">
        <f>Detail!K67</f>
        <v>0</v>
      </c>
      <c r="H203" s="532">
        <f>Detail!L67</f>
        <v>-23794.499630737489</v>
      </c>
      <c r="I203" s="532">
        <f>Detail!M67</f>
        <v>-41213.019989720029</v>
      </c>
      <c r="J203" s="532">
        <f t="shared" si="42"/>
        <v>-3282000.0000000005</v>
      </c>
    </row>
    <row r="204" spans="1:10">
      <c r="A204" s="529">
        <v>201</v>
      </c>
      <c r="B204" s="794"/>
      <c r="C204" s="550" t="s">
        <v>257</v>
      </c>
      <c r="D204" s="551">
        <v>355</v>
      </c>
      <c r="E204" s="532">
        <f>Detail!I68</f>
        <v>-520463.7501989</v>
      </c>
      <c r="F204" s="532">
        <f>Detail!J68</f>
        <v>-194096.73675926169</v>
      </c>
      <c r="G204" s="532">
        <f>Detail!K68</f>
        <v>0</v>
      </c>
      <c r="H204" s="532">
        <f>Detail!L68</f>
        <v>-5285.2499179791675</v>
      </c>
      <c r="I204" s="532">
        <f>Detail!M68</f>
        <v>-9154.2631238592021</v>
      </c>
      <c r="J204" s="532">
        <f t="shared" si="42"/>
        <v>-729000</v>
      </c>
    </row>
    <row r="205" spans="1:10">
      <c r="A205" s="529">
        <v>202</v>
      </c>
      <c r="B205" s="794"/>
      <c r="C205" s="550" t="s">
        <v>258</v>
      </c>
      <c r="D205" s="551">
        <v>356</v>
      </c>
      <c r="E205" s="532">
        <f>Detail!I69</f>
        <v>-218466.26551558764</v>
      </c>
      <c r="F205" s="532">
        <f>Detail!J69</f>
        <v>-81472.704318702439</v>
      </c>
      <c r="G205" s="532">
        <f>Detail!K69</f>
        <v>0</v>
      </c>
      <c r="H205" s="532">
        <f>Detail!L69</f>
        <v>-2218.4999655715028</v>
      </c>
      <c r="I205" s="532">
        <f>Detail!M69</f>
        <v>-3842.5302001384307</v>
      </c>
      <c r="J205" s="532">
        <f t="shared" si="42"/>
        <v>-306000.00000000006</v>
      </c>
    </row>
    <row r="206" spans="1:10">
      <c r="A206" s="529">
        <v>203</v>
      </c>
      <c r="B206" s="794"/>
      <c r="C206" s="550" t="s">
        <v>259</v>
      </c>
      <c r="D206" s="551">
        <v>357</v>
      </c>
      <c r="E206" s="532">
        <f>Detail!I70</f>
        <v>-587574.30235074717</v>
      </c>
      <c r="F206" s="532">
        <f>Detail!J70</f>
        <v>-219124.29952383041</v>
      </c>
      <c r="G206" s="532">
        <f>Detail!K70</f>
        <v>0</v>
      </c>
      <c r="H206" s="532">
        <f>Detail!L70</f>
        <v>-5966.7499074030939</v>
      </c>
      <c r="I206" s="532">
        <f>Detail!M70</f>
        <v>-10334.648218019374</v>
      </c>
      <c r="J206" s="532">
        <f t="shared" si="42"/>
        <v>-823000.00000000012</v>
      </c>
    </row>
    <row r="207" spans="1:10">
      <c r="A207" s="529">
        <v>204</v>
      </c>
      <c r="B207" s="500"/>
      <c r="C207" s="525" t="s">
        <v>631</v>
      </c>
      <c r="D207" s="525"/>
      <c r="E207" s="532">
        <f t="shared" ref="E207:J207" si="43">SUM(E199:E206)</f>
        <v>-10347875.988179501</v>
      </c>
      <c r="F207" s="532">
        <f t="shared" si="43"/>
        <v>-3859037.1777623305</v>
      </c>
      <c r="G207" s="532">
        <f t="shared" si="43"/>
        <v>0</v>
      </c>
      <c r="H207" s="532">
        <f t="shared" si="43"/>
        <v>-105081.49836925935</v>
      </c>
      <c r="I207" s="532">
        <f t="shared" si="43"/>
        <v>-182005.33568890986</v>
      </c>
      <c r="J207" s="532">
        <f t="shared" si="43"/>
        <v>-14494000</v>
      </c>
    </row>
    <row r="208" spans="1:10">
      <c r="A208" s="529">
        <v>205</v>
      </c>
      <c r="B208" s="794" t="s">
        <v>1165</v>
      </c>
      <c r="C208" s="550" t="s">
        <v>252</v>
      </c>
      <c r="D208" s="551">
        <v>374</v>
      </c>
      <c r="E208" s="532">
        <f>Detail!I74</f>
        <v>-41284.660063424839</v>
      </c>
      <c r="F208" s="532">
        <f>Detail!J74</f>
        <v>-10559.474288055091</v>
      </c>
      <c r="G208" s="532">
        <f>Detail!K74</f>
        <v>0</v>
      </c>
      <c r="H208" s="532">
        <f>Detail!L74</f>
        <v>-260.64917551227768</v>
      </c>
      <c r="I208" s="532">
        <f>Detail!M74</f>
        <v>-2895.216473007792</v>
      </c>
      <c r="J208" s="532">
        <f>SUM(E208:I208)</f>
        <v>-55000</v>
      </c>
    </row>
    <row r="209" spans="1:10">
      <c r="A209" s="529">
        <v>206</v>
      </c>
      <c r="B209" s="794"/>
      <c r="C209" s="550" t="s">
        <v>253</v>
      </c>
      <c r="D209" s="551">
        <v>375</v>
      </c>
      <c r="E209" s="532">
        <f>Detail!I75</f>
        <v>-184655.02501095473</v>
      </c>
      <c r="F209" s="532">
        <f>Detail!J75</f>
        <v>-47229.648633846409</v>
      </c>
      <c r="G209" s="532">
        <f>Detail!K75</f>
        <v>0</v>
      </c>
      <c r="H209" s="532">
        <f>Detail!L75</f>
        <v>-1165.812675927642</v>
      </c>
      <c r="I209" s="532">
        <f>Detail!M75</f>
        <v>-12949.513679271215</v>
      </c>
      <c r="J209" s="532">
        <f t="shared" ref="J209:J219" si="44">SUM(E209:I209)</f>
        <v>-246000</v>
      </c>
    </row>
    <row r="210" spans="1:10">
      <c r="A210" s="529">
        <v>207</v>
      </c>
      <c r="B210" s="794"/>
      <c r="C210" s="550" t="s">
        <v>260</v>
      </c>
      <c r="D210" s="551">
        <v>376</v>
      </c>
      <c r="E210" s="532">
        <f>Detail!I76</f>
        <v>-59933194.784118526</v>
      </c>
      <c r="F210" s="532">
        <f>Detail!J76</f>
        <v>-33909057.02233047</v>
      </c>
      <c r="G210" s="532">
        <f>Detail!K76</f>
        <v>0</v>
      </c>
      <c r="H210" s="532">
        <f>Detail!L76</f>
        <v>-947554.01234413392</v>
      </c>
      <c r="I210" s="532">
        <f>Detail!M76</f>
        <v>-10571194.18120686</v>
      </c>
      <c r="J210" s="532">
        <f t="shared" si="44"/>
        <v>-105361000</v>
      </c>
    </row>
    <row r="211" spans="1:10">
      <c r="A211" s="529">
        <v>208</v>
      </c>
      <c r="B211" s="794"/>
      <c r="C211" s="550" t="s">
        <v>261</v>
      </c>
      <c r="D211" s="551">
        <v>378</v>
      </c>
      <c r="E211" s="532">
        <f>Detail!I78</f>
        <v>-1045521.70170376</v>
      </c>
      <c r="F211" s="532">
        <f>Detail!J78</f>
        <v>-591536.2117580832</v>
      </c>
      <c r="G211" s="532">
        <f>Detail!K78</f>
        <v>0</v>
      </c>
      <c r="H211" s="532">
        <f>Detail!L78</f>
        <v>-16529.876089715533</v>
      </c>
      <c r="I211" s="532">
        <f>Detail!M78</f>
        <v>-184412.21044844115</v>
      </c>
      <c r="J211" s="532">
        <f t="shared" si="44"/>
        <v>-1837999.9999999998</v>
      </c>
    </row>
    <row r="212" spans="1:10">
      <c r="A212" s="529">
        <v>209</v>
      </c>
      <c r="B212" s="794"/>
      <c r="C212" s="550" t="s">
        <v>262</v>
      </c>
      <c r="D212" s="551">
        <v>379</v>
      </c>
      <c r="E212" s="532">
        <f>Detail!I79</f>
        <v>-411837.71057318948</v>
      </c>
      <c r="F212" s="532">
        <f>Detail!J79</f>
        <v>-233009.91148686194</v>
      </c>
      <c r="G212" s="532">
        <f>Detail!K79</f>
        <v>0</v>
      </c>
      <c r="H212" s="532">
        <f>Detail!L79</f>
        <v>-6511.2243139031807</v>
      </c>
      <c r="I212" s="532">
        <f>Detail!M79</f>
        <v>-72641.153626045372</v>
      </c>
      <c r="J212" s="532">
        <f t="shared" si="44"/>
        <v>-723999.99999999988</v>
      </c>
    </row>
    <row r="213" spans="1:10">
      <c r="A213" s="529">
        <v>210</v>
      </c>
      <c r="B213" s="794"/>
      <c r="C213" s="550" t="s">
        <v>263</v>
      </c>
      <c r="D213" s="551">
        <v>380</v>
      </c>
      <c r="E213" s="532">
        <f>Detail!I80</f>
        <v>-93977940.802811787</v>
      </c>
      <c r="F213" s="532">
        <f>Detail!J80</f>
        <v>-1881046.3170279732</v>
      </c>
      <c r="G213" s="532">
        <f>Detail!K80</f>
        <v>0</v>
      </c>
      <c r="H213" s="532">
        <f>Detail!L80</f>
        <v>-7229.1105904842861</v>
      </c>
      <c r="I213" s="532">
        <f>Detail!M80</f>
        <v>-272783.76956976886</v>
      </c>
      <c r="J213" s="532">
        <f t="shared" si="44"/>
        <v>-96139000.000000015</v>
      </c>
    </row>
    <row r="214" spans="1:10">
      <c r="A214" s="529">
        <v>211</v>
      </c>
      <c r="B214" s="794"/>
      <c r="C214" s="550" t="s">
        <v>264</v>
      </c>
      <c r="D214" s="551">
        <v>381</v>
      </c>
      <c r="E214" s="532">
        <f>Detail!I81</f>
        <v>-17544708.092557181</v>
      </c>
      <c r="F214" s="532">
        <f>Detail!J81</f>
        <v>-2841676.243158428</v>
      </c>
      <c r="G214" s="532">
        <f>Detail!K81</f>
        <v>0</v>
      </c>
      <c r="H214" s="532">
        <f>Detail!L81</f>
        <v>-21053.689733955562</v>
      </c>
      <c r="I214" s="532">
        <f>Detail!M81</f>
        <v>-122561.9745504336</v>
      </c>
      <c r="J214" s="532">
        <f t="shared" si="44"/>
        <v>-20529999.999999996</v>
      </c>
    </row>
    <row r="215" spans="1:10">
      <c r="A215" s="529">
        <v>212</v>
      </c>
      <c r="B215" s="794"/>
      <c r="C215" s="550" t="s">
        <v>265</v>
      </c>
      <c r="D215" s="551">
        <v>382</v>
      </c>
      <c r="E215" s="532">
        <f>Detail!I82</f>
        <v>0</v>
      </c>
      <c r="F215" s="532">
        <f>Detail!J82</f>
        <v>0</v>
      </c>
      <c r="G215" s="532">
        <f>Detail!K82</f>
        <v>0</v>
      </c>
      <c r="H215" s="532">
        <f>Detail!L82</f>
        <v>0</v>
      </c>
      <c r="I215" s="532">
        <f>Detail!M82</f>
        <v>0</v>
      </c>
      <c r="J215" s="532">
        <f t="shared" si="44"/>
        <v>0</v>
      </c>
    </row>
    <row r="216" spans="1:10">
      <c r="A216" s="529">
        <v>213</v>
      </c>
      <c r="B216" s="794"/>
      <c r="C216" s="550" t="s">
        <v>266</v>
      </c>
      <c r="D216" s="551">
        <v>383</v>
      </c>
      <c r="E216" s="532">
        <f>Detail!I83</f>
        <v>0</v>
      </c>
      <c r="F216" s="532">
        <f>Detail!J83</f>
        <v>0</v>
      </c>
      <c r="G216" s="532">
        <f>Detail!K83</f>
        <v>0</v>
      </c>
      <c r="H216" s="532">
        <f>Detail!L83</f>
        <v>0</v>
      </c>
      <c r="I216" s="532">
        <f>Detail!M83</f>
        <v>0</v>
      </c>
      <c r="J216" s="532">
        <f t="shared" si="44"/>
        <v>0</v>
      </c>
    </row>
    <row r="217" spans="1:10">
      <c r="A217" s="529">
        <v>214</v>
      </c>
      <c r="B217" s="794"/>
      <c r="C217" s="550" t="s">
        <v>267</v>
      </c>
      <c r="D217" s="551">
        <v>384</v>
      </c>
      <c r="E217" s="532">
        <f>Detail!I84</f>
        <v>0</v>
      </c>
      <c r="F217" s="532">
        <f>Detail!J84</f>
        <v>0</v>
      </c>
      <c r="G217" s="532">
        <f>Detail!K84</f>
        <v>0</v>
      </c>
      <c r="H217" s="532">
        <f>Detail!L84</f>
        <v>0</v>
      </c>
      <c r="I217" s="532">
        <f>Detail!M84</f>
        <v>0</v>
      </c>
      <c r="J217" s="532">
        <f t="shared" si="44"/>
        <v>0</v>
      </c>
    </row>
    <row r="218" spans="1:10">
      <c r="A218" s="529">
        <v>215</v>
      </c>
      <c r="B218" s="794"/>
      <c r="C218" s="550" t="s">
        <v>268</v>
      </c>
      <c r="D218" s="551">
        <v>385</v>
      </c>
      <c r="E218" s="532">
        <f>Detail!I85</f>
        <v>0</v>
      </c>
      <c r="F218" s="532">
        <f>Detail!J85</f>
        <v>-1485151.7480310455</v>
      </c>
      <c r="G218" s="532">
        <f>Detail!K85</f>
        <v>0</v>
      </c>
      <c r="H218" s="532">
        <f>Detail!L85</f>
        <v>-14126.106059748774</v>
      </c>
      <c r="I218" s="532">
        <f>Detail!M85</f>
        <v>-81722.145909205778</v>
      </c>
      <c r="J218" s="532">
        <f t="shared" si="44"/>
        <v>-1581000</v>
      </c>
    </row>
    <row r="219" spans="1:10">
      <c r="A219" s="529">
        <v>216</v>
      </c>
      <c r="B219" s="794"/>
      <c r="C219" s="550" t="s">
        <v>259</v>
      </c>
      <c r="D219" s="551">
        <v>387</v>
      </c>
      <c r="E219" s="532">
        <f>Detail!I86</f>
        <v>0</v>
      </c>
      <c r="F219" s="532">
        <f>Detail!J86</f>
        <v>0</v>
      </c>
      <c r="G219" s="532">
        <f>Detail!K86</f>
        <v>0</v>
      </c>
      <c r="H219" s="532">
        <f>Detail!L86</f>
        <v>0</v>
      </c>
      <c r="I219" s="532">
        <f>Detail!M86</f>
        <v>0</v>
      </c>
      <c r="J219" s="532">
        <f t="shared" si="44"/>
        <v>0</v>
      </c>
    </row>
    <row r="220" spans="1:10">
      <c r="A220" s="529">
        <v>217</v>
      </c>
      <c r="B220" s="500"/>
      <c r="C220" s="525" t="s">
        <v>630</v>
      </c>
      <c r="D220" s="525"/>
      <c r="E220" s="532">
        <f t="shared" ref="E220:J220" si="45">SUM(E208:E219)</f>
        <v>-173139142.77683884</v>
      </c>
      <c r="F220" s="532">
        <f t="shared" si="45"/>
        <v>-40999266.576714762</v>
      </c>
      <c r="G220" s="532">
        <f t="shared" si="45"/>
        <v>0</v>
      </c>
      <c r="H220" s="532">
        <f t="shared" si="45"/>
        <v>-1014430.4809833812</v>
      </c>
      <c r="I220" s="532">
        <f t="shared" si="45"/>
        <v>-11321160.165463034</v>
      </c>
      <c r="J220" s="532">
        <f t="shared" si="45"/>
        <v>-226474000</v>
      </c>
    </row>
    <row r="221" spans="1:10">
      <c r="A221" s="529">
        <v>218</v>
      </c>
      <c r="B221" s="794" t="s">
        <v>1166</v>
      </c>
      <c r="C221" s="568" t="s">
        <v>252</v>
      </c>
      <c r="D221" s="551">
        <v>389</v>
      </c>
      <c r="E221" s="532">
        <f>Detail!I92</f>
        <v>-60603.924053070165</v>
      </c>
      <c r="F221" s="532">
        <f>Detail!J92</f>
        <v>-9196.929960819838</v>
      </c>
      <c r="G221" s="532">
        <f>Detail!K92</f>
        <v>0</v>
      </c>
      <c r="H221" s="532">
        <f>Detail!L92</f>
        <v>-221.94405938814668</v>
      </c>
      <c r="I221" s="532">
        <f>Detail!M92</f>
        <v>-1977.2019267218552</v>
      </c>
      <c r="J221" s="532">
        <f>SUM(E221:I221)</f>
        <v>-72000</v>
      </c>
    </row>
    <row r="222" spans="1:10">
      <c r="A222" s="529">
        <v>219</v>
      </c>
      <c r="B222" s="794"/>
      <c r="C222" s="568" t="s">
        <v>253</v>
      </c>
      <c r="D222" s="551">
        <v>390</v>
      </c>
      <c r="E222" s="532">
        <f>Detail!I93</f>
        <v>-6351627.9292287147</v>
      </c>
      <c r="F222" s="532">
        <f>Detail!J93</f>
        <v>-963889.35394925694</v>
      </c>
      <c r="G222" s="532">
        <f>Detail!K93</f>
        <v>0</v>
      </c>
      <c r="H222" s="532">
        <f>Detail!L93</f>
        <v>-23260.970446429928</v>
      </c>
      <c r="I222" s="532">
        <f>Detail!M93</f>
        <v>-207221.74637559889</v>
      </c>
      <c r="J222" s="532">
        <f t="shared" ref="J222:J230" si="46">SUM(E222:I222)</f>
        <v>-7546000.0000000009</v>
      </c>
    </row>
    <row r="223" spans="1:10">
      <c r="A223" s="529">
        <v>220</v>
      </c>
      <c r="B223" s="794"/>
      <c r="C223" s="568" t="s">
        <v>269</v>
      </c>
      <c r="D223" s="551">
        <v>391</v>
      </c>
      <c r="E223" s="532">
        <f>Detail!I94</f>
        <v>-9395291.6705606822</v>
      </c>
      <c r="F223" s="532">
        <f>Detail!J94</f>
        <v>-1425779.6142037644</v>
      </c>
      <c r="G223" s="532">
        <f>Detail!K94</f>
        <v>0</v>
      </c>
      <c r="H223" s="532">
        <f>Detail!L94</f>
        <v>-34407.494317923512</v>
      </c>
      <c r="I223" s="532">
        <f>Detail!M94</f>
        <v>-306521.22091762983</v>
      </c>
      <c r="J223" s="532">
        <f t="shared" si="46"/>
        <v>-11161999.999999998</v>
      </c>
    </row>
    <row r="224" spans="1:10">
      <c r="A224" s="529">
        <v>221</v>
      </c>
      <c r="B224" s="794"/>
      <c r="C224" s="568" t="s">
        <v>270</v>
      </c>
      <c r="D224" s="551">
        <v>392</v>
      </c>
      <c r="E224" s="532">
        <f>Detail!I95</f>
        <v>-9576261.7215524893</v>
      </c>
      <c r="F224" s="532">
        <f>Detail!J95</f>
        <v>-1453242.6689478792</v>
      </c>
      <c r="G224" s="532">
        <f>Detail!K95</f>
        <v>0</v>
      </c>
      <c r="H224" s="532">
        <f>Detail!L95</f>
        <v>-35070.243939707565</v>
      </c>
      <c r="I224" s="532">
        <f>Detail!M95</f>
        <v>-312425.36555992428</v>
      </c>
      <c r="J224" s="532">
        <f t="shared" si="46"/>
        <v>-11377000</v>
      </c>
    </row>
    <row r="225" spans="1:10">
      <c r="A225" s="529">
        <v>222</v>
      </c>
      <c r="B225" s="794"/>
      <c r="C225" s="568" t="s">
        <v>271</v>
      </c>
      <c r="D225" s="551">
        <v>393</v>
      </c>
      <c r="E225" s="532">
        <f>Detail!I96</f>
        <v>-361940.10198361345</v>
      </c>
      <c r="F225" s="532">
        <f>Detail!J96</f>
        <v>-54926.109488229587</v>
      </c>
      <c r="G225" s="532">
        <f>Detail!K96</f>
        <v>0</v>
      </c>
      <c r="H225" s="532">
        <f>Detail!L96</f>
        <v>-1325.4992435680981</v>
      </c>
      <c r="I225" s="532">
        <f>Detail!M96</f>
        <v>-11808.289284588858</v>
      </c>
      <c r="J225" s="532">
        <f t="shared" si="46"/>
        <v>-430000.00000000006</v>
      </c>
    </row>
    <row r="226" spans="1:10">
      <c r="A226" s="529">
        <v>223</v>
      </c>
      <c r="B226" s="794"/>
      <c r="C226" s="568" t="s">
        <v>272</v>
      </c>
      <c r="D226" s="551">
        <v>394</v>
      </c>
      <c r="E226" s="532">
        <f>Detail!I97</f>
        <v>-3478833.584879708</v>
      </c>
      <c r="F226" s="532">
        <f>Detail!J97</f>
        <v>-527929.3267787277</v>
      </c>
      <c r="G226" s="532">
        <f>Detail!K97</f>
        <v>0</v>
      </c>
      <c r="H226" s="532">
        <f>Detail!L97</f>
        <v>-12740.205520155698</v>
      </c>
      <c r="I226" s="532">
        <f>Detail!M97</f>
        <v>-113496.88282140871</v>
      </c>
      <c r="J226" s="532">
        <f t="shared" si="46"/>
        <v>-4133000</v>
      </c>
    </row>
    <row r="227" spans="1:10" ht="15.75" customHeight="1">
      <c r="A227" s="529">
        <v>224</v>
      </c>
      <c r="B227" s="794"/>
      <c r="C227" s="568" t="s">
        <v>273</v>
      </c>
      <c r="D227" s="551">
        <v>395</v>
      </c>
      <c r="E227" s="532">
        <f>Detail!I98</f>
        <v>-266825.61006698944</v>
      </c>
      <c r="F227" s="532">
        <f>Detail!J98</f>
        <v>-40492.038855276231</v>
      </c>
      <c r="G227" s="532">
        <f>Detail!K98</f>
        <v>0</v>
      </c>
      <c r="H227" s="532">
        <f>Detail!L98</f>
        <v>-977.17037258392349</v>
      </c>
      <c r="I227" s="532">
        <f>Detail!M98</f>
        <v>-8705.1807051503911</v>
      </c>
      <c r="J227" s="532">
        <f t="shared" si="46"/>
        <v>-317000</v>
      </c>
    </row>
    <row r="228" spans="1:10" ht="15.75" customHeight="1">
      <c r="A228" s="529">
        <v>225</v>
      </c>
      <c r="B228" s="794"/>
      <c r="C228" s="568" t="s">
        <v>274</v>
      </c>
      <c r="D228" s="551">
        <v>396</v>
      </c>
      <c r="E228" s="532">
        <f>Detail!I99</f>
        <v>-3024304.154481682</v>
      </c>
      <c r="F228" s="532">
        <f>Detail!J99</f>
        <v>-458952.35207257885</v>
      </c>
      <c r="G228" s="532">
        <f>Detail!K99</f>
        <v>0</v>
      </c>
      <c r="H228" s="532">
        <f>Detail!L99</f>
        <v>-11075.625074744597</v>
      </c>
      <c r="I228" s="532">
        <f>Detail!M99</f>
        <v>-98667.868370994809</v>
      </c>
      <c r="J228" s="532">
        <f t="shared" si="46"/>
        <v>-3593000.0000000005</v>
      </c>
    </row>
    <row r="229" spans="1:10">
      <c r="A229" s="529">
        <v>226</v>
      </c>
      <c r="B229" s="794"/>
      <c r="C229" s="568" t="s">
        <v>275</v>
      </c>
      <c r="D229" s="551">
        <v>397</v>
      </c>
      <c r="E229" s="532">
        <f>Detail!I100</f>
        <v>-5582294.7822216852</v>
      </c>
      <c r="F229" s="532">
        <f>Detail!J100</f>
        <v>-847139.4375021829</v>
      </c>
      <c r="G229" s="532">
        <f>Detail!K100</f>
        <v>0</v>
      </c>
      <c r="H229" s="532">
        <f>Detail!L100</f>
        <v>-20443.513914752621</v>
      </c>
      <c r="I229" s="532">
        <f>Detail!M100</f>
        <v>-182122.26636137976</v>
      </c>
      <c r="J229" s="532">
        <f>SUM(E229:I229)</f>
        <v>-6632000.0000000009</v>
      </c>
    </row>
    <row r="230" spans="1:10">
      <c r="A230" s="529">
        <v>227</v>
      </c>
      <c r="B230" s="794"/>
      <c r="C230" s="568" t="s">
        <v>276</v>
      </c>
      <c r="D230" s="551">
        <v>398</v>
      </c>
      <c r="E230" s="532">
        <f>Detail!I101</f>
        <v>-115315.79993431405</v>
      </c>
      <c r="F230" s="532">
        <f>Detail!J101</f>
        <v>-17499.713953226637</v>
      </c>
      <c r="G230" s="532">
        <f>Detail!K101</f>
        <v>0</v>
      </c>
      <c r="H230" s="532">
        <f>Detail!L101</f>
        <v>-422.31022411355684</v>
      </c>
      <c r="I230" s="532">
        <f>Detail!M101</f>
        <v>-3762.1758883457524</v>
      </c>
      <c r="J230" s="532">
        <f t="shared" si="46"/>
        <v>-137000</v>
      </c>
    </row>
    <row r="231" spans="1:10">
      <c r="A231" s="529">
        <v>228</v>
      </c>
      <c r="B231" s="500"/>
      <c r="C231" s="525" t="s">
        <v>629</v>
      </c>
      <c r="D231" s="525"/>
      <c r="E231" s="532">
        <f t="shared" ref="E231:J231" si="47">SUM(E221:E230)</f>
        <v>-38213299.278962947</v>
      </c>
      <c r="F231" s="532">
        <f t="shared" si="47"/>
        <v>-5799047.5457119429</v>
      </c>
      <c r="G231" s="532">
        <f t="shared" si="47"/>
        <v>0</v>
      </c>
      <c r="H231" s="532">
        <f t="shared" si="47"/>
        <v>-139944.97711336764</v>
      </c>
      <c r="I231" s="532">
        <f t="shared" si="47"/>
        <v>-1246708.198211743</v>
      </c>
      <c r="J231" s="532">
        <f t="shared" si="47"/>
        <v>-45399000</v>
      </c>
    </row>
    <row r="232" spans="1:1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32">
        <f>Detail!I107</f>
        <v>-18412650.536957081</v>
      </c>
      <c r="F232" s="532">
        <f>Detail!J107</f>
        <v>-2794206.1512907492</v>
      </c>
      <c r="G232" s="532">
        <f>Detail!K107</f>
        <v>0</v>
      </c>
      <c r="H232" s="532">
        <f>Detail!L107</f>
        <v>-67430.920821051506</v>
      </c>
      <c r="I232" s="532">
        <f>Detail!M107</f>
        <v>-600712.39093111921</v>
      </c>
      <c r="J232" s="532">
        <f>SUM(E232:I232)</f>
        <v>-21875000</v>
      </c>
    </row>
    <row r="233" spans="1:10">
      <c r="A233" s="529"/>
      <c r="B233" s="794"/>
      <c r="C233" s="550" t="s">
        <v>1251</v>
      </c>
      <c r="D233" s="551">
        <v>303.12</v>
      </c>
      <c r="E233" s="532">
        <f>Detail!I108</f>
        <v>-2991477.0289529357</v>
      </c>
      <c r="F233" s="532">
        <f>Detail!J108</f>
        <v>-453970.68167713477</v>
      </c>
      <c r="G233" s="532">
        <f>Detail!K108</f>
        <v>0</v>
      </c>
      <c r="H233" s="532">
        <f>Detail!L108</f>
        <v>-10955.405375909351</v>
      </c>
      <c r="I233" s="532">
        <f>Detail!M108</f>
        <v>-97596.883994020463</v>
      </c>
      <c r="J233" s="532">
        <f>SUM(E233:I233)</f>
        <v>-3554000.0000000005</v>
      </c>
    </row>
    <row r="234" spans="1:10">
      <c r="A234" s="529">
        <v>230</v>
      </c>
      <c r="B234" s="794"/>
      <c r="C234" s="550" t="s">
        <v>278</v>
      </c>
      <c r="D234" s="551">
        <v>303</v>
      </c>
      <c r="E234" s="532">
        <f>Detail!I109</f>
        <v>-816685.63907284057</v>
      </c>
      <c r="F234" s="532">
        <f>Detail!J109</f>
        <v>-208885.60046188979</v>
      </c>
      <c r="G234" s="532">
        <f>Detail!K109</f>
        <v>0</v>
      </c>
      <c r="H234" s="532">
        <f>Detail!L109</f>
        <v>-5156.1145992246929</v>
      </c>
      <c r="I234" s="532">
        <f>Detail!M109</f>
        <v>-57272.645866045052</v>
      </c>
      <c r="J234" s="532">
        <f>SUM(E234:I234)</f>
        <v>-1088000</v>
      </c>
    </row>
    <row r="235" spans="1:10">
      <c r="A235" s="529">
        <v>231</v>
      </c>
      <c r="B235" s="500"/>
      <c r="C235" s="525" t="s">
        <v>625</v>
      </c>
      <c r="D235" s="525"/>
      <c r="E235" s="532">
        <f>SUM(E232:E234)</f>
        <v>-22220813.204982858</v>
      </c>
      <c r="F235" s="532">
        <f t="shared" ref="F235:J235" si="48">SUM(F232:F234)</f>
        <v>-3457062.4334297739</v>
      </c>
      <c r="G235" s="532">
        <f t="shared" si="48"/>
        <v>0</v>
      </c>
      <c r="H235" s="532">
        <f t="shared" si="48"/>
        <v>-83542.440796185547</v>
      </c>
      <c r="I235" s="532">
        <f t="shared" si="48"/>
        <v>-755581.92079118476</v>
      </c>
      <c r="J235" s="532">
        <f t="shared" si="48"/>
        <v>-26517000</v>
      </c>
    </row>
    <row r="236" spans="1:10">
      <c r="A236" s="529">
        <v>232</v>
      </c>
      <c r="B236" s="500"/>
      <c r="C236" s="546"/>
      <c r="D236" s="546"/>
      <c r="E236" s="532"/>
      <c r="F236" s="532"/>
      <c r="G236" s="532"/>
      <c r="H236" s="532"/>
      <c r="I236" s="532"/>
      <c r="J236" s="532"/>
    </row>
    <row r="237" spans="1:10">
      <c r="A237" s="529">
        <v>233</v>
      </c>
      <c r="B237" s="500"/>
      <c r="C237" s="558" t="s">
        <v>137</v>
      </c>
      <c r="D237" s="558"/>
      <c r="E237" s="532">
        <f>E235+E231+E220+E207+E197</f>
        <v>484653333.96997064</v>
      </c>
      <c r="F237" s="532">
        <f t="shared" ref="F237:I237" si="49">F235+F231+F220+F207+F197</f>
        <v>120789526.56091933</v>
      </c>
      <c r="G237" s="532">
        <f t="shared" si="49"/>
        <v>0</v>
      </c>
      <c r="H237" s="532">
        <f t="shared" si="49"/>
        <v>2988575.5924214483</v>
      </c>
      <c r="I237" s="532">
        <f t="shared" si="49"/>
        <v>30860563.876688622</v>
      </c>
      <c r="J237" s="532">
        <f>J235+J231+J220+J207+J197</f>
        <v>639292000</v>
      </c>
    </row>
    <row r="238" spans="1:10">
      <c r="A238" s="529">
        <v>234</v>
      </c>
      <c r="B238" s="500"/>
      <c r="C238" s="546"/>
      <c r="D238" s="546"/>
      <c r="E238" s="532"/>
      <c r="F238" s="532"/>
      <c r="G238" s="532"/>
      <c r="H238" s="532"/>
      <c r="I238" s="532"/>
      <c r="J238" s="532"/>
    </row>
    <row r="239" spans="1:10">
      <c r="A239" s="529">
        <v>235</v>
      </c>
      <c r="B239" s="500"/>
      <c r="C239" s="558" t="s">
        <v>395</v>
      </c>
      <c r="D239" s="558"/>
      <c r="E239" s="532">
        <f>Detail!I119</f>
        <v>-65774593.777500004</v>
      </c>
      <c r="F239" s="532">
        <f>Detail!J119</f>
        <v>-15790061.513479434</v>
      </c>
      <c r="G239" s="532">
        <f>Detail!K119</f>
        <v>0</v>
      </c>
      <c r="H239" s="532">
        <f>Detail!L119</f>
        <v>-391047.99710158154</v>
      </c>
      <c r="I239" s="532">
        <f>Detail!M119</f>
        <v>-4005296.7119189776</v>
      </c>
      <c r="J239" s="532">
        <f>SUM(E239:I239)</f>
        <v>-85961000</v>
      </c>
    </row>
    <row r="240" spans="1:10">
      <c r="A240" s="529">
        <v>236</v>
      </c>
      <c r="B240" s="500"/>
      <c r="C240" s="546"/>
      <c r="D240" s="546"/>
      <c r="E240" s="532"/>
      <c r="F240" s="532"/>
      <c r="G240" s="532"/>
      <c r="H240" s="532"/>
      <c r="I240" s="532"/>
      <c r="J240" s="532"/>
    </row>
    <row r="241" spans="1:10">
      <c r="A241" s="529">
        <v>237</v>
      </c>
      <c r="B241" s="794" t="s">
        <v>279</v>
      </c>
      <c r="C241" s="550" t="s">
        <v>620</v>
      </c>
      <c r="D241" s="546"/>
      <c r="E241" s="532">
        <f>Detail!I121</f>
        <v>0</v>
      </c>
      <c r="F241" s="532">
        <f>Detail!J121</f>
        <v>0</v>
      </c>
      <c r="G241" s="532">
        <f>Detail!K121</f>
        <v>0</v>
      </c>
      <c r="H241" s="532">
        <f>Detail!L121</f>
        <v>0</v>
      </c>
      <c r="I241" s="532">
        <f>Detail!M121</f>
        <v>0</v>
      </c>
      <c r="J241" s="532">
        <f>SUM(E241:I241)</f>
        <v>0</v>
      </c>
    </row>
    <row r="242" spans="1:10">
      <c r="A242" s="529">
        <v>238</v>
      </c>
      <c r="B242" s="794"/>
      <c r="C242" s="550" t="s">
        <v>619</v>
      </c>
      <c r="D242" s="546"/>
      <c r="E242" s="532">
        <f>Detail!I122</f>
        <v>-1000</v>
      </c>
      <c r="F242" s="532">
        <f>Detail!J122</f>
        <v>0</v>
      </c>
      <c r="G242" s="532">
        <f>Detail!K122</f>
        <v>0</v>
      </c>
      <c r="H242" s="532">
        <f>Detail!L122</f>
        <v>0</v>
      </c>
      <c r="I242" s="532">
        <f>Detail!M122</f>
        <v>0</v>
      </c>
      <c r="J242" s="532">
        <f t="shared" ref="J242:J248" si="50">SUM(E242:I242)</f>
        <v>-1000</v>
      </c>
    </row>
    <row r="243" spans="1:10">
      <c r="A243" s="529">
        <v>239</v>
      </c>
      <c r="B243" s="794"/>
      <c r="C243" s="550" t="s">
        <v>280</v>
      </c>
      <c r="D243" s="546"/>
      <c r="E243" s="532">
        <f>Detail!I123</f>
        <v>13958994.847584214</v>
      </c>
      <c r="F243" s="532">
        <f>Detail!J123</f>
        <v>5205733.0550302947</v>
      </c>
      <c r="G243" s="532">
        <f>Detail!K123</f>
        <v>0</v>
      </c>
      <c r="H243" s="532">
        <f>Detail!L123</f>
        <v>141751.99780017653</v>
      </c>
      <c r="I243" s="532">
        <f>Detail!M123</f>
        <v>245520.09958531568</v>
      </c>
      <c r="J243" s="532">
        <f t="shared" si="50"/>
        <v>19552000</v>
      </c>
    </row>
    <row r="244" spans="1:10">
      <c r="A244" s="529">
        <v>240</v>
      </c>
      <c r="B244" s="794"/>
      <c r="C244" s="550" t="s">
        <v>618</v>
      </c>
      <c r="D244" s="546"/>
      <c r="E244" s="532">
        <f>Detail!I124</f>
        <v>11017651.909612762</v>
      </c>
      <c r="F244" s="532">
        <f>Detail!J124</f>
        <v>2644933.1177230417</v>
      </c>
      <c r="G244" s="532">
        <f>Detail!K124</f>
        <v>0</v>
      </c>
      <c r="H244" s="532">
        <f>Detail!L124</f>
        <v>65502.96192768433</v>
      </c>
      <c r="I244" s="532">
        <f>Detail!M124</f>
        <v>670912.0107365126</v>
      </c>
      <c r="J244" s="532">
        <f t="shared" si="50"/>
        <v>14399000</v>
      </c>
    </row>
    <row r="245" spans="1:10">
      <c r="A245" s="529">
        <v>241</v>
      </c>
      <c r="B245" s="794"/>
      <c r="C245" s="550" t="s">
        <v>1042</v>
      </c>
      <c r="D245" s="546"/>
      <c r="E245" s="532">
        <f>Detail!I125</f>
        <v>5599498.3453396894</v>
      </c>
      <c r="F245" s="532">
        <f>Detail!J125</f>
        <v>1344233.6659141064</v>
      </c>
      <c r="G245" s="532">
        <f>Detail!K125</f>
        <v>0</v>
      </c>
      <c r="H245" s="532">
        <f>Detail!L125</f>
        <v>33290.553190276682</v>
      </c>
      <c r="I245" s="532">
        <f>Detail!M125</f>
        <v>340977.4355559274</v>
      </c>
      <c r="J245" s="532">
        <f t="shared" si="50"/>
        <v>7318000</v>
      </c>
    </row>
    <row r="246" spans="1:10">
      <c r="A246" s="529"/>
      <c r="B246" s="794"/>
      <c r="C246" s="550" t="s">
        <v>1271</v>
      </c>
      <c r="D246" s="546"/>
      <c r="E246" s="532">
        <f>Detail!I126</f>
        <v>1219677.5570472076</v>
      </c>
      <c r="F246" s="532">
        <f>Detail!J126</f>
        <v>292799.73537402099</v>
      </c>
      <c r="G246" s="532"/>
      <c r="H246" s="532">
        <f>Detail!L126</f>
        <v>7251.3175437689297</v>
      </c>
      <c r="I246" s="532">
        <f>Detail!M126</f>
        <v>74271.390035002507</v>
      </c>
      <c r="J246" s="532">
        <f t="shared" ref="J246:J247" si="51">SUM(E246:I246)</f>
        <v>1594000.0000000002</v>
      </c>
    </row>
    <row r="247" spans="1:10">
      <c r="A247" s="529"/>
      <c r="B247" s="794"/>
      <c r="C247" s="550" t="s">
        <v>1272</v>
      </c>
      <c r="D247" s="546"/>
      <c r="E247" s="532">
        <f>Detail!I127</f>
        <v>-10355781.717112238</v>
      </c>
      <c r="F247" s="532">
        <f>Detail!J127</f>
        <v>-2486042.4206725219</v>
      </c>
      <c r="G247" s="532"/>
      <c r="H247" s="532">
        <f>Detail!L127</f>
        <v>-61567.962131347987</v>
      </c>
      <c r="I247" s="532">
        <f>Detail!M127</f>
        <v>-630607.90008389205</v>
      </c>
      <c r="J247" s="532">
        <f t="shared" si="51"/>
        <v>-13534000</v>
      </c>
    </row>
    <row r="248" spans="1:10">
      <c r="A248" s="529">
        <v>242</v>
      </c>
      <c r="B248" s="794"/>
      <c r="C248" s="550" t="s">
        <v>607</v>
      </c>
      <c r="D248" s="546"/>
      <c r="E248" s="532">
        <f>Detail!I128</f>
        <v>3425000</v>
      </c>
      <c r="F248" s="532">
        <f>Detail!J128</f>
        <v>0</v>
      </c>
      <c r="G248" s="532">
        <f>Detail!K128</f>
        <v>0</v>
      </c>
      <c r="H248" s="532">
        <f>Detail!L128</f>
        <v>0</v>
      </c>
      <c r="I248" s="532">
        <f>Detail!M128</f>
        <v>0</v>
      </c>
      <c r="J248" s="532">
        <f t="shared" si="50"/>
        <v>3425000</v>
      </c>
    </row>
    <row r="249" spans="1:10">
      <c r="A249" s="529">
        <v>243</v>
      </c>
      <c r="B249" s="500"/>
      <c r="C249" s="525" t="s">
        <v>617</v>
      </c>
      <c r="D249" s="525"/>
      <c r="E249" s="532">
        <f>SUM(E241:E248)</f>
        <v>24864040.942471638</v>
      </c>
      <c r="F249" s="532">
        <f>SUM(F241:F248)</f>
        <v>7001657.1533689415</v>
      </c>
      <c r="G249" s="532">
        <f>SUM(G241:G248)</f>
        <v>0</v>
      </c>
      <c r="H249" s="532">
        <f>SUM(H241:H248)</f>
        <v>186228.86833055847</v>
      </c>
      <c r="I249" s="532">
        <f>SUM(I241:I248)</f>
        <v>701073.03582886606</v>
      </c>
      <c r="J249" s="532">
        <f>SUM(E249:I249)</f>
        <v>32753000.000000004</v>
      </c>
    </row>
    <row r="250" spans="1:10">
      <c r="A250" s="529">
        <v>244</v>
      </c>
      <c r="B250" s="500"/>
      <c r="C250" s="546"/>
      <c r="D250" s="546"/>
      <c r="E250" s="532"/>
      <c r="F250" s="532"/>
      <c r="G250" s="532"/>
      <c r="H250" s="532"/>
      <c r="I250" s="532"/>
      <c r="J250" s="532"/>
    </row>
    <row r="251" spans="1:10">
      <c r="A251" s="529">
        <v>245</v>
      </c>
      <c r="B251" s="500"/>
      <c r="C251" s="566" t="s">
        <v>110</v>
      </c>
      <c r="D251" s="566"/>
      <c r="E251" s="532">
        <f>E249+E239+E237</f>
        <v>443742781.13494229</v>
      </c>
      <c r="F251" s="532">
        <f>F249+F239+F237</f>
        <v>112001122.20080884</v>
      </c>
      <c r="G251" s="532">
        <f>G249+G239+G237</f>
        <v>0</v>
      </c>
      <c r="H251" s="532">
        <f>H249+H239+H237</f>
        <v>2783756.4636504254</v>
      </c>
      <c r="I251" s="532">
        <f>I249+I239+I237</f>
        <v>27556340.200598512</v>
      </c>
      <c r="J251" s="532">
        <f t="shared" ref="J251" si="52">SUM(E251:I251)</f>
        <v>586084000.00000012</v>
      </c>
    </row>
  </sheetData>
  <mergeCells count="24">
    <mergeCell ref="B208:B219"/>
    <mergeCell ref="B221:B230"/>
    <mergeCell ref="B241:B248"/>
    <mergeCell ref="B232:B234"/>
    <mergeCell ref="B163:B170"/>
    <mergeCell ref="B172:B183"/>
    <mergeCell ref="B185:B194"/>
    <mergeCell ref="B199:B206"/>
    <mergeCell ref="B159:B161"/>
    <mergeCell ref="B105:B112"/>
    <mergeCell ref="B114:B126"/>
    <mergeCell ref="B128:B137"/>
    <mergeCell ref="B139:B144"/>
    <mergeCell ref="B148:B152"/>
    <mergeCell ref="B60:B68"/>
    <mergeCell ref="B71:B75"/>
    <mergeCell ref="B77:B80"/>
    <mergeCell ref="B82:B85"/>
    <mergeCell ref="B89:B100"/>
    <mergeCell ref="B4:B16"/>
    <mergeCell ref="B18:B24"/>
    <mergeCell ref="B26:B37"/>
    <mergeCell ref="B38:B46"/>
    <mergeCell ref="B49:B58"/>
  </mergeCells>
  <phoneticPr fontId="8" type="noConversion"/>
  <pageMargins left="0.7" right="0.7" top="0.75" bottom="0.75" header="0.3" footer="0.3"/>
  <pageSetup scale="55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6" manualBreakCount="6">
    <brk id="37" max="16383" man="1"/>
    <brk id="76" max="16383" man="1"/>
    <brk id="113" max="16383" man="1"/>
    <brk id="146" max="16383" man="1"/>
    <brk id="184" max="16383" man="1"/>
    <brk id="22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theme="7" tint="0.59999389629810485"/>
    <pageSetUpPr fitToPage="1"/>
  </sheetPr>
  <dimension ref="A1:J49"/>
  <sheetViews>
    <sheetView zoomScale="75" workbookViewId="0">
      <pane ySplit="3" topLeftCell="A4" activePane="bottomLeft" state="frozen"/>
      <selection activeCell="H15" sqref="H15"/>
      <selection pane="bottomLeft" activeCell="L33" sqref="L33"/>
    </sheetView>
  </sheetViews>
  <sheetFormatPr defaultColWidth="9.140625" defaultRowHeight="12.75"/>
  <cols>
    <col min="1" max="1" width="5.28515625" style="218" customWidth="1"/>
    <col min="2" max="2" width="12.5703125" style="218" customWidth="1"/>
    <col min="3" max="3" width="9.7109375" style="218" customWidth="1"/>
    <col min="4" max="4" width="9.140625" style="218"/>
    <col min="5" max="5" width="14.28515625" style="218" bestFit="1" customWidth="1"/>
    <col min="6" max="6" width="28.140625" style="218" bestFit="1" customWidth="1"/>
    <col min="7" max="7" width="9.140625" style="218"/>
    <col min="8" max="8" width="9.85546875" style="218" bestFit="1" customWidth="1"/>
    <col min="9" max="16384" width="9.140625" style="218"/>
  </cols>
  <sheetData>
    <row r="1" spans="1:10">
      <c r="A1" s="218" t="s">
        <v>834</v>
      </c>
    </row>
    <row r="2" spans="1:10">
      <c r="A2" s="218" t="s">
        <v>833</v>
      </c>
    </row>
    <row r="4" spans="1:10">
      <c r="E4" s="218" t="s">
        <v>779</v>
      </c>
    </row>
    <row r="5" spans="1:10">
      <c r="B5" s="448"/>
      <c r="C5" s="220"/>
      <c r="D5" s="448"/>
      <c r="E5" s="218">
        <v>1</v>
      </c>
      <c r="F5" s="772" t="s">
        <v>967</v>
      </c>
      <c r="G5" s="219" t="s">
        <v>816</v>
      </c>
    </row>
    <row r="6" spans="1:10">
      <c r="B6" s="448"/>
      <c r="C6" s="220"/>
      <c r="D6" s="448"/>
      <c r="E6" s="218">
        <v>2</v>
      </c>
      <c r="F6" s="772" t="s">
        <v>826</v>
      </c>
      <c r="G6" s="219" t="s">
        <v>816</v>
      </c>
    </row>
    <row r="7" spans="1:10">
      <c r="B7" s="448"/>
      <c r="C7" s="220"/>
      <c r="D7" s="448"/>
      <c r="E7" s="218">
        <v>3</v>
      </c>
      <c r="F7" s="772" t="s">
        <v>759</v>
      </c>
      <c r="G7" s="219" t="s">
        <v>816</v>
      </c>
    </row>
    <row r="8" spans="1:10">
      <c r="B8" s="448"/>
      <c r="C8" s="220"/>
      <c r="D8" s="448"/>
      <c r="E8" s="218">
        <v>4</v>
      </c>
      <c r="F8" s="773" t="s">
        <v>825</v>
      </c>
      <c r="G8" s="219" t="s">
        <v>816</v>
      </c>
    </row>
    <row r="9" spans="1:10">
      <c r="B9" s="448"/>
      <c r="C9" s="220"/>
      <c r="D9" s="448"/>
      <c r="E9" s="218" t="s">
        <v>778</v>
      </c>
      <c r="F9" s="448"/>
      <c r="G9" s="219"/>
      <c r="J9" s="220"/>
    </row>
    <row r="10" spans="1:10">
      <c r="B10" s="448"/>
      <c r="C10" s="220"/>
      <c r="D10" s="448"/>
      <c r="E10" s="218">
        <v>1</v>
      </c>
      <c r="F10" s="773" t="s">
        <v>765</v>
      </c>
      <c r="G10" s="219" t="s">
        <v>814</v>
      </c>
      <c r="J10" s="626"/>
    </row>
    <row r="11" spans="1:10">
      <c r="B11" s="448"/>
      <c r="C11" s="220"/>
      <c r="D11" s="448"/>
      <c r="E11" s="218">
        <v>2</v>
      </c>
      <c r="F11" s="773" t="s">
        <v>777</v>
      </c>
      <c r="G11" s="219" t="s">
        <v>812</v>
      </c>
      <c r="J11" s="626"/>
    </row>
    <row r="12" spans="1:10">
      <c r="B12" s="448"/>
      <c r="C12" s="220"/>
      <c r="D12" s="448"/>
      <c r="E12" s="218">
        <v>3</v>
      </c>
      <c r="F12" s="773" t="s">
        <v>831</v>
      </c>
      <c r="G12" s="219" t="s">
        <v>812</v>
      </c>
      <c r="J12" s="626"/>
    </row>
    <row r="13" spans="1:10">
      <c r="B13" s="448"/>
      <c r="C13" s="220"/>
      <c r="D13" s="448"/>
      <c r="E13" s="218">
        <v>4</v>
      </c>
      <c r="F13" s="773" t="s">
        <v>768</v>
      </c>
      <c r="G13" s="219" t="s">
        <v>812</v>
      </c>
      <c r="J13" s="626"/>
    </row>
    <row r="14" spans="1:10">
      <c r="B14" s="449"/>
      <c r="D14" s="448"/>
      <c r="E14" s="218">
        <v>5</v>
      </c>
      <c r="F14" s="773" t="s">
        <v>764</v>
      </c>
      <c r="G14" s="221" t="s">
        <v>812</v>
      </c>
      <c r="J14" s="626"/>
    </row>
    <row r="15" spans="1:10">
      <c r="B15" s="449"/>
      <c r="D15" s="448"/>
      <c r="E15" s="218">
        <v>6</v>
      </c>
      <c r="F15" s="773" t="s">
        <v>830</v>
      </c>
      <c r="G15" s="221" t="s">
        <v>812</v>
      </c>
      <c r="J15" s="626"/>
    </row>
    <row r="16" spans="1:10">
      <c r="B16" s="448"/>
      <c r="D16" s="448"/>
      <c r="E16" s="218">
        <v>7</v>
      </c>
      <c r="F16" s="773" t="s">
        <v>829</v>
      </c>
      <c r="G16" s="219" t="s">
        <v>812</v>
      </c>
      <c r="J16" s="626"/>
    </row>
    <row r="17" spans="2:10">
      <c r="B17" s="448"/>
      <c r="D17" s="448"/>
      <c r="E17" s="218">
        <v>8</v>
      </c>
      <c r="F17" s="773" t="s">
        <v>761</v>
      </c>
      <c r="G17" s="219" t="s">
        <v>812</v>
      </c>
      <c r="J17" s="626"/>
    </row>
    <row r="18" spans="2:10">
      <c r="B18" s="449"/>
      <c r="D18" s="448"/>
      <c r="E18" s="218">
        <v>9</v>
      </c>
      <c r="F18" s="773" t="s">
        <v>828</v>
      </c>
      <c r="G18" s="219" t="s">
        <v>812</v>
      </c>
      <c r="J18" s="626"/>
    </row>
    <row r="19" spans="2:10">
      <c r="B19" s="448"/>
      <c r="C19" s="220"/>
      <c r="D19" s="448"/>
      <c r="E19" s="218">
        <v>10</v>
      </c>
      <c r="F19" s="773" t="s">
        <v>760</v>
      </c>
      <c r="G19" s="219" t="s">
        <v>812</v>
      </c>
      <c r="H19" s="220"/>
      <c r="J19" s="626"/>
    </row>
    <row r="20" spans="2:10">
      <c r="B20" s="448"/>
      <c r="C20" s="220"/>
      <c r="D20" s="448"/>
      <c r="E20" s="218">
        <v>11</v>
      </c>
      <c r="F20" s="773" t="s">
        <v>758</v>
      </c>
      <c r="G20" s="219" t="s">
        <v>812</v>
      </c>
      <c r="J20" s="626"/>
    </row>
    <row r="21" spans="2:10">
      <c r="B21" s="448"/>
      <c r="C21" s="220"/>
      <c r="D21" s="448"/>
      <c r="E21" s="218">
        <v>13</v>
      </c>
      <c r="F21" s="773" t="s">
        <v>776</v>
      </c>
      <c r="G21" s="219" t="s">
        <v>816</v>
      </c>
      <c r="J21" s="626"/>
    </row>
    <row r="22" spans="2:10">
      <c r="B22" s="448"/>
      <c r="D22" s="448"/>
      <c r="E22" s="218">
        <v>14</v>
      </c>
      <c r="F22" s="773" t="s">
        <v>775</v>
      </c>
      <c r="G22" s="219" t="s">
        <v>816</v>
      </c>
      <c r="J22" s="626"/>
    </row>
    <row r="23" spans="2:10">
      <c r="B23" s="449"/>
      <c r="D23" s="448"/>
      <c r="E23" s="218">
        <v>15</v>
      </c>
      <c r="F23" s="773" t="s">
        <v>824</v>
      </c>
      <c r="G23" s="219" t="s">
        <v>816</v>
      </c>
      <c r="J23" s="627"/>
    </row>
    <row r="24" spans="2:10">
      <c r="B24" s="449"/>
      <c r="D24" s="448"/>
      <c r="E24" s="218">
        <v>16</v>
      </c>
      <c r="F24" s="773" t="s">
        <v>823</v>
      </c>
      <c r="G24" s="219" t="s">
        <v>816</v>
      </c>
      <c r="J24" s="626"/>
    </row>
    <row r="25" spans="2:10">
      <c r="B25" s="448"/>
      <c r="C25" s="220"/>
      <c r="D25" s="448"/>
      <c r="E25" s="218">
        <v>17</v>
      </c>
      <c r="F25" s="773" t="s">
        <v>770</v>
      </c>
      <c r="G25" s="219" t="s">
        <v>816</v>
      </c>
      <c r="J25" s="626"/>
    </row>
    <row r="26" spans="2:10">
      <c r="B26" s="448"/>
      <c r="C26" s="220"/>
      <c r="D26" s="448"/>
      <c r="E26" s="218">
        <v>18</v>
      </c>
      <c r="F26" s="773" t="s">
        <v>822</v>
      </c>
      <c r="G26" s="221" t="s">
        <v>816</v>
      </c>
      <c r="J26" s="626"/>
    </row>
    <row r="27" spans="2:10">
      <c r="B27" s="448"/>
      <c r="C27" s="220"/>
      <c r="D27" s="448"/>
      <c r="E27" s="218">
        <v>19</v>
      </c>
      <c r="F27" s="773" t="s">
        <v>769</v>
      </c>
      <c r="G27" s="219" t="s">
        <v>816</v>
      </c>
      <c r="J27" s="626"/>
    </row>
    <row r="28" spans="2:10">
      <c r="B28" s="448"/>
      <c r="C28" s="220"/>
      <c r="D28" s="448"/>
      <c r="E28" s="218">
        <v>20</v>
      </c>
      <c r="F28" s="773" t="s">
        <v>767</v>
      </c>
      <c r="G28" s="219" t="s">
        <v>816</v>
      </c>
      <c r="J28" s="626"/>
    </row>
    <row r="29" spans="2:10">
      <c r="B29" s="448"/>
      <c r="C29" s="220"/>
      <c r="D29" s="448"/>
      <c r="E29" s="218">
        <v>21</v>
      </c>
      <c r="F29" s="773" t="s">
        <v>766</v>
      </c>
      <c r="G29" s="219" t="s">
        <v>816</v>
      </c>
      <c r="J29" s="626"/>
    </row>
    <row r="30" spans="2:10">
      <c r="B30" s="448"/>
      <c r="C30" s="220"/>
      <c r="D30" s="448"/>
      <c r="E30" s="218">
        <v>22</v>
      </c>
      <c r="F30" s="773" t="s">
        <v>821</v>
      </c>
      <c r="G30" s="219" t="s">
        <v>816</v>
      </c>
      <c r="J30" s="626"/>
    </row>
    <row r="31" spans="2:10">
      <c r="B31" s="448"/>
      <c r="C31" s="220"/>
      <c r="D31" s="450"/>
      <c r="E31" s="218">
        <v>23</v>
      </c>
      <c r="F31" s="773" t="s">
        <v>762</v>
      </c>
      <c r="G31" s="219" t="s">
        <v>816</v>
      </c>
      <c r="J31" s="626"/>
    </row>
    <row r="32" spans="2:10">
      <c r="E32" s="218">
        <v>24</v>
      </c>
      <c r="F32" s="773" t="s">
        <v>771</v>
      </c>
      <c r="G32" s="219" t="s">
        <v>812</v>
      </c>
      <c r="J32" s="626"/>
    </row>
    <row r="33" spans="1:10">
      <c r="E33" s="218">
        <v>25</v>
      </c>
      <c r="F33" s="773" t="s">
        <v>774</v>
      </c>
      <c r="G33" s="219" t="s">
        <v>812</v>
      </c>
      <c r="H33" s="220"/>
      <c r="J33" s="626"/>
    </row>
    <row r="34" spans="1:10">
      <c r="A34" s="232" t="s">
        <v>582</v>
      </c>
      <c r="B34" s="231"/>
      <c r="C34" s="231"/>
      <c r="D34" s="230"/>
      <c r="E34" s="218">
        <v>26</v>
      </c>
      <c r="F34" s="773" t="s">
        <v>818</v>
      </c>
      <c r="G34" s="219" t="s">
        <v>812</v>
      </c>
      <c r="J34" s="626"/>
    </row>
    <row r="35" spans="1:10">
      <c r="A35" s="227"/>
      <c r="B35" s="229" t="s">
        <v>820</v>
      </c>
      <c r="C35" s="229" t="s">
        <v>966</v>
      </c>
      <c r="D35" s="228" t="s">
        <v>819</v>
      </c>
      <c r="E35" s="218">
        <v>27</v>
      </c>
      <c r="F35" s="773" t="s">
        <v>773</v>
      </c>
      <c r="G35" s="221" t="s">
        <v>814</v>
      </c>
      <c r="J35" s="626"/>
    </row>
    <row r="36" spans="1:10">
      <c r="A36" s="227" t="s">
        <v>796</v>
      </c>
      <c r="B36" s="226">
        <f>COUNTIF($C$5:$C$31,$A36)</f>
        <v>0</v>
      </c>
      <c r="C36" s="226">
        <f>COUNTIF($G$5:$G$8,$A36)</f>
        <v>0</v>
      </c>
      <c r="D36" s="225">
        <f>COUNTIF($G$9:$G$49,$A36)</f>
        <v>1</v>
      </c>
      <c r="E36" s="218">
        <v>27</v>
      </c>
      <c r="F36" s="773" t="s">
        <v>773</v>
      </c>
      <c r="G36" s="221" t="s">
        <v>814</v>
      </c>
      <c r="J36" s="626"/>
    </row>
    <row r="37" spans="1:10">
      <c r="A37" s="227" t="s">
        <v>797</v>
      </c>
      <c r="B37" s="226">
        <f>COUNTIF($C$5:$C$31,$A37)</f>
        <v>0</v>
      </c>
      <c r="C37" s="226">
        <f>COUNTIF($G$5:$G$8,$A37)</f>
        <v>0</v>
      </c>
      <c r="D37" s="225">
        <f>COUNTIF($G$9:$G$49,$A37)</f>
        <v>0</v>
      </c>
      <c r="E37" s="218">
        <v>27</v>
      </c>
      <c r="F37" s="773" t="s">
        <v>773</v>
      </c>
      <c r="G37" s="221" t="s">
        <v>814</v>
      </c>
      <c r="J37" s="626"/>
    </row>
    <row r="38" spans="1:10">
      <c r="A38" s="227" t="s">
        <v>814</v>
      </c>
      <c r="B38" s="226">
        <f>COUNTIF($C$5:$C$31,$A38)</f>
        <v>0</v>
      </c>
      <c r="C38" s="226">
        <f>COUNTIF($G$5:$G$8,$A38)</f>
        <v>0</v>
      </c>
      <c r="D38" s="225">
        <f>COUNTIF($G$9:$G$49,$A38)</f>
        <v>8</v>
      </c>
      <c r="E38" s="218">
        <v>27</v>
      </c>
      <c r="F38" s="773" t="s">
        <v>773</v>
      </c>
      <c r="G38" s="221" t="s">
        <v>814</v>
      </c>
      <c r="J38" s="626"/>
    </row>
    <row r="39" spans="1:10">
      <c r="A39" s="227" t="s">
        <v>812</v>
      </c>
      <c r="B39" s="226">
        <f>COUNTIF($C$5:$C$31,$A39)</f>
        <v>0</v>
      </c>
      <c r="C39" s="226">
        <f>COUNTIF($G$5:$G$8,$A39)</f>
        <v>0</v>
      </c>
      <c r="D39" s="225">
        <f>COUNTIF($G$9:$G$49,$A39)</f>
        <v>18</v>
      </c>
      <c r="E39" s="218">
        <v>27</v>
      </c>
      <c r="F39" s="773" t="s">
        <v>773</v>
      </c>
      <c r="G39" s="221" t="s">
        <v>796</v>
      </c>
      <c r="J39" s="626"/>
    </row>
    <row r="40" spans="1:10">
      <c r="A40" s="227" t="s">
        <v>816</v>
      </c>
      <c r="B40" s="226">
        <f>COUNTIF($C$5:$C$31,$A40)</f>
        <v>0</v>
      </c>
      <c r="C40" s="226">
        <f>COUNTIF($G$5:$G$8,$A40)</f>
        <v>4</v>
      </c>
      <c r="D40" s="225">
        <f>COUNTIF($G$9:$G$49,$A40)</f>
        <v>13</v>
      </c>
      <c r="E40" s="218">
        <v>28</v>
      </c>
      <c r="F40" s="773" t="s">
        <v>817</v>
      </c>
      <c r="G40" s="219" t="s">
        <v>816</v>
      </c>
      <c r="J40" s="626"/>
    </row>
    <row r="41" spans="1:10">
      <c r="A41" s="224"/>
      <c r="B41" s="223"/>
      <c r="C41" s="223"/>
      <c r="D41" s="222"/>
      <c r="E41" s="218">
        <v>29</v>
      </c>
      <c r="F41" s="773" t="s">
        <v>815</v>
      </c>
      <c r="G41" s="219" t="s">
        <v>814</v>
      </c>
      <c r="J41" s="626"/>
    </row>
    <row r="42" spans="1:10">
      <c r="E42" s="218">
        <v>30</v>
      </c>
      <c r="F42" s="773" t="s">
        <v>763</v>
      </c>
      <c r="G42" s="219" t="s">
        <v>812</v>
      </c>
      <c r="J42" s="626"/>
    </row>
    <row r="43" spans="1:10">
      <c r="E43" s="218">
        <v>32</v>
      </c>
      <c r="F43" s="773" t="s">
        <v>813</v>
      </c>
      <c r="G43" s="219" t="s">
        <v>812</v>
      </c>
      <c r="J43" s="220"/>
    </row>
    <row r="44" spans="1:10">
      <c r="E44" s="218">
        <v>33</v>
      </c>
      <c r="F44" s="773" t="s">
        <v>813</v>
      </c>
      <c r="G44" s="219" t="s">
        <v>812</v>
      </c>
      <c r="J44" s="220"/>
    </row>
    <row r="45" spans="1:10">
      <c r="E45" s="218">
        <v>34</v>
      </c>
      <c r="F45" s="773" t="s">
        <v>968</v>
      </c>
      <c r="G45" s="219" t="s">
        <v>812</v>
      </c>
    </row>
    <row r="46" spans="1:10">
      <c r="E46" s="218">
        <v>35</v>
      </c>
      <c r="F46" s="773" t="s">
        <v>827</v>
      </c>
      <c r="G46" s="219" t="s">
        <v>814</v>
      </c>
    </row>
    <row r="47" spans="1:10">
      <c r="E47" s="218">
        <v>36</v>
      </c>
      <c r="F47" s="773" t="s">
        <v>1041</v>
      </c>
      <c r="G47" s="219" t="s">
        <v>814</v>
      </c>
    </row>
    <row r="48" spans="1:10">
      <c r="E48" s="218">
        <v>37</v>
      </c>
      <c r="F48" s="773" t="s">
        <v>1033</v>
      </c>
      <c r="G48" s="219" t="s">
        <v>812</v>
      </c>
    </row>
    <row r="49" spans="5:7">
      <c r="E49" s="218">
        <v>38</v>
      </c>
      <c r="F49" s="773" t="s">
        <v>1205</v>
      </c>
      <c r="G49" s="219" t="s">
        <v>816</v>
      </c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1">
    <tabColor rgb="FF7030A0"/>
  </sheetPr>
  <dimension ref="A1:R33"/>
  <sheetViews>
    <sheetView workbookViewId="0">
      <selection activeCell="D15" sqref="D15"/>
    </sheetView>
  </sheetViews>
  <sheetFormatPr defaultColWidth="9.140625" defaultRowHeight="12.75"/>
  <cols>
    <col min="1" max="1" width="28.7109375" style="203" customWidth="1"/>
    <col min="2" max="2" width="8.42578125" style="203" customWidth="1"/>
    <col min="3" max="3" width="3.28515625" style="203" customWidth="1"/>
    <col min="4" max="4" width="12.28515625" style="203" customWidth="1"/>
    <col min="5" max="5" width="3.7109375" style="203" customWidth="1"/>
    <col min="6" max="6" width="12.28515625" style="203" customWidth="1"/>
    <col min="7" max="7" width="3.7109375" style="203" customWidth="1"/>
    <col min="8" max="8" width="15.85546875" style="203" hidden="1" customWidth="1"/>
    <col min="9" max="9" width="3.7109375" style="203" hidden="1" customWidth="1"/>
    <col min="10" max="10" width="12.42578125" style="203" bestFit="1" customWidth="1"/>
    <col min="11" max="11" width="3.7109375" style="203" customWidth="1"/>
    <col min="12" max="12" width="12.7109375" style="203" bestFit="1" customWidth="1"/>
    <col min="13" max="13" width="2.7109375" style="203" customWidth="1"/>
    <col min="14" max="16384" width="9.140625" style="203"/>
  </cols>
  <sheetData>
    <row r="1" spans="1:18">
      <c r="A1" s="203" t="s">
        <v>811</v>
      </c>
    </row>
    <row r="2" spans="1:18">
      <c r="A2" s="203" t="s">
        <v>810</v>
      </c>
    </row>
    <row r="3" spans="1:18">
      <c r="A3" s="203" t="s">
        <v>809</v>
      </c>
    </row>
    <row r="4" spans="1:18">
      <c r="A4" s="203" t="s">
        <v>808</v>
      </c>
    </row>
    <row r="5" spans="1:18">
      <c r="A5" s="203" t="s">
        <v>1651</v>
      </c>
      <c r="B5" s="207"/>
      <c r="C5" s="207"/>
      <c r="D5" s="207"/>
      <c r="H5" s="804" t="s">
        <v>807</v>
      </c>
    </row>
    <row r="6" spans="1:18">
      <c r="D6" s="205" t="s">
        <v>806</v>
      </c>
      <c r="F6" s="205" t="s">
        <v>805</v>
      </c>
      <c r="G6" s="205"/>
      <c r="H6" s="804"/>
      <c r="J6" s="205" t="s">
        <v>804</v>
      </c>
      <c r="L6" s="205" t="s">
        <v>803</v>
      </c>
    </row>
    <row r="7" spans="1:18">
      <c r="D7" s="205" t="s">
        <v>802</v>
      </c>
      <c r="F7" s="205" t="s">
        <v>801</v>
      </c>
      <c r="G7" s="205"/>
      <c r="H7" s="205" t="s">
        <v>800</v>
      </c>
      <c r="J7" s="205" t="s">
        <v>400</v>
      </c>
      <c r="L7" s="205" t="s">
        <v>401</v>
      </c>
    </row>
    <row r="8" spans="1:18">
      <c r="C8" s="207"/>
      <c r="D8" s="217"/>
      <c r="E8" s="216"/>
      <c r="F8" s="217"/>
      <c r="G8" s="217"/>
      <c r="H8" s="217"/>
      <c r="I8" s="216"/>
      <c r="J8" s="216"/>
      <c r="K8" s="216"/>
      <c r="L8" s="216"/>
      <c r="M8" s="207"/>
    </row>
    <row r="9" spans="1:18">
      <c r="A9" s="203" t="s">
        <v>799</v>
      </c>
      <c r="C9" s="207"/>
      <c r="D9" s="679">
        <v>0.5</v>
      </c>
      <c r="E9" s="207"/>
      <c r="F9" s="679">
        <v>10</v>
      </c>
      <c r="G9" s="207"/>
      <c r="H9" s="679">
        <v>0</v>
      </c>
      <c r="I9" s="207"/>
      <c r="J9" s="679">
        <v>110</v>
      </c>
      <c r="K9" s="207"/>
      <c r="L9" s="679">
        <v>250</v>
      </c>
      <c r="M9" s="207"/>
      <c r="P9" s="207"/>
      <c r="Q9" s="207"/>
      <c r="R9" s="207"/>
    </row>
    <row r="10" spans="1:18"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</row>
    <row r="11" spans="1:18">
      <c r="A11" s="203" t="s">
        <v>798</v>
      </c>
      <c r="C11" s="207"/>
      <c r="D11" s="207" t="s">
        <v>797</v>
      </c>
      <c r="E11" s="207"/>
      <c r="F11" s="207" t="s">
        <v>796</v>
      </c>
      <c r="G11" s="207"/>
      <c r="H11" s="207" t="s">
        <v>795</v>
      </c>
      <c r="I11" s="207"/>
      <c r="J11" s="207" t="s">
        <v>795</v>
      </c>
      <c r="K11" s="207"/>
      <c r="L11" s="207" t="s">
        <v>795</v>
      </c>
      <c r="M11" s="207"/>
    </row>
    <row r="12" spans="1:18">
      <c r="A12" s="203" t="s">
        <v>794</v>
      </c>
      <c r="C12" s="207"/>
      <c r="D12" s="207" t="s">
        <v>793</v>
      </c>
      <c r="E12" s="207"/>
      <c r="F12" s="207" t="s">
        <v>793</v>
      </c>
      <c r="G12" s="207"/>
      <c r="H12" s="207" t="s">
        <v>792</v>
      </c>
      <c r="I12" s="207"/>
      <c r="J12" s="207" t="s">
        <v>792</v>
      </c>
      <c r="K12" s="207"/>
      <c r="L12" s="207" t="s">
        <v>791</v>
      </c>
      <c r="M12" s="207"/>
    </row>
    <row r="13" spans="1:18"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</row>
    <row r="14" spans="1:18">
      <c r="A14" s="203" t="s">
        <v>790</v>
      </c>
      <c r="C14" s="207"/>
      <c r="D14" s="679">
        <v>83</v>
      </c>
      <c r="E14" s="207" t="s">
        <v>789</v>
      </c>
      <c r="F14" s="679">
        <v>83</v>
      </c>
      <c r="G14" s="207" t="s">
        <v>789</v>
      </c>
      <c r="H14" s="679">
        <v>0</v>
      </c>
      <c r="I14" s="207" t="s">
        <v>789</v>
      </c>
      <c r="J14" s="679">
        <v>250</v>
      </c>
      <c r="K14" s="207" t="s">
        <v>789</v>
      </c>
      <c r="L14" s="679">
        <v>300</v>
      </c>
      <c r="M14" s="207" t="s">
        <v>789</v>
      </c>
    </row>
    <row r="15" spans="1:18">
      <c r="A15" s="203" t="s">
        <v>788</v>
      </c>
      <c r="C15" s="207"/>
      <c r="D15" s="680">
        <v>15.931740000000001</v>
      </c>
      <c r="E15" s="214"/>
      <c r="F15" s="680">
        <v>15.931740000000001</v>
      </c>
      <c r="G15" s="214"/>
      <c r="H15" s="680">
        <v>0</v>
      </c>
      <c r="I15" s="214"/>
      <c r="J15" s="680">
        <v>28.273838999999995</v>
      </c>
      <c r="K15" s="214"/>
      <c r="L15" s="680">
        <v>79.19207999999999</v>
      </c>
      <c r="M15" s="214"/>
    </row>
    <row r="16" spans="1:18">
      <c r="A16" s="203" t="s">
        <v>787</v>
      </c>
      <c r="C16" s="207"/>
      <c r="D16" s="214">
        <f>D15*D14</f>
        <v>1322.3344200000001</v>
      </c>
      <c r="E16" s="214"/>
      <c r="F16" s="214">
        <f>F15*F14</f>
        <v>1322.3344200000001</v>
      </c>
      <c r="G16" s="214"/>
      <c r="H16" s="214">
        <f>H15*H14</f>
        <v>0</v>
      </c>
      <c r="I16" s="214"/>
      <c r="J16" s="214">
        <f>J15*J14</f>
        <v>7068.4597499999991</v>
      </c>
      <c r="K16" s="214"/>
      <c r="L16" s="214">
        <f>L15*L14</f>
        <v>23757.623999999996</v>
      </c>
      <c r="M16" s="214"/>
    </row>
    <row r="17" spans="1:13">
      <c r="A17" s="203" t="s">
        <v>786</v>
      </c>
      <c r="C17" s="207"/>
      <c r="D17" s="681">
        <v>565.17014399999994</v>
      </c>
      <c r="E17" s="681"/>
      <c r="F17" s="681">
        <v>565.17014399999994</v>
      </c>
      <c r="G17" s="681"/>
      <c r="H17" s="681">
        <v>0</v>
      </c>
      <c r="I17" s="681"/>
      <c r="J17" s="681">
        <v>665.16014399999995</v>
      </c>
      <c r="K17" s="681"/>
      <c r="L17" s="681">
        <v>665.16014399999995</v>
      </c>
      <c r="M17" s="214"/>
    </row>
    <row r="18" spans="1:13">
      <c r="A18" s="203" t="s">
        <v>785</v>
      </c>
      <c r="B18" s="203" t="s">
        <v>784</v>
      </c>
      <c r="C18" s="207"/>
      <c r="D18" s="215">
        <f>(D16+D17)</f>
        <v>1887.5045640000001</v>
      </c>
      <c r="E18" s="215"/>
      <c r="F18" s="215">
        <f>(F16+F17)</f>
        <v>1887.5045640000001</v>
      </c>
      <c r="G18" s="215"/>
      <c r="H18" s="215">
        <f>(H16+H17)</f>
        <v>0</v>
      </c>
      <c r="I18" s="215"/>
      <c r="J18" s="215">
        <f>(J16+J17)</f>
        <v>7733.6198939999995</v>
      </c>
      <c r="K18" s="215"/>
      <c r="L18" s="215">
        <f>(L16+L17)</f>
        <v>24422.784143999997</v>
      </c>
      <c r="M18" s="214"/>
    </row>
    <row r="19" spans="1:13"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</row>
    <row r="20" spans="1:13">
      <c r="A20" s="203" t="s">
        <v>783</v>
      </c>
      <c r="C20" s="207"/>
      <c r="D20" s="526">
        <f>D18/$D$18</f>
        <v>1</v>
      </c>
      <c r="E20" s="215"/>
      <c r="F20" s="526">
        <f>F18/$D$18</f>
        <v>1</v>
      </c>
      <c r="G20" s="215"/>
      <c r="H20" s="526">
        <f>H18/$D$18</f>
        <v>0</v>
      </c>
      <c r="I20" s="526"/>
      <c r="J20" s="526">
        <f>J18/$D$18</f>
        <v>4.0972721557880156</v>
      </c>
      <c r="K20" s="526"/>
      <c r="L20" s="526">
        <f>L18/$D$18</f>
        <v>12.939192100411788</v>
      </c>
      <c r="M20" s="207"/>
    </row>
    <row r="21" spans="1:13">
      <c r="C21" s="207"/>
      <c r="D21" s="214"/>
      <c r="E21" s="214"/>
      <c r="F21" s="214"/>
      <c r="G21" s="214"/>
      <c r="H21" s="214"/>
      <c r="I21" s="214"/>
      <c r="J21" s="207"/>
      <c r="K21" s="207"/>
      <c r="L21" s="207"/>
      <c r="M21" s="207"/>
    </row>
    <row r="22" spans="1:13">
      <c r="A22" s="205"/>
      <c r="C22" s="207"/>
      <c r="D22" s="214"/>
      <c r="E22" s="214"/>
      <c r="F22" s="214"/>
      <c r="G22" s="214"/>
      <c r="H22" s="214"/>
      <c r="I22" s="214"/>
      <c r="J22" s="207"/>
      <c r="K22" s="207"/>
      <c r="L22" s="207"/>
      <c r="M22" s="207"/>
    </row>
    <row r="23" spans="1:13">
      <c r="A23" s="393" t="s">
        <v>1648</v>
      </c>
      <c r="C23" s="207"/>
      <c r="D23" s="214"/>
      <c r="E23" s="214"/>
      <c r="F23" s="214"/>
      <c r="G23" s="214"/>
      <c r="H23" s="214"/>
      <c r="I23" s="214"/>
      <c r="J23" s="207"/>
      <c r="K23" s="207"/>
      <c r="L23" s="207"/>
      <c r="M23" s="207"/>
    </row>
    <row r="24" spans="1:13">
      <c r="A24" s="213" t="s">
        <v>782</v>
      </c>
      <c r="C24" s="207"/>
      <c r="D24" s="526"/>
      <c r="E24" s="215"/>
      <c r="F24" s="526"/>
      <c r="G24" s="215"/>
      <c r="H24" s="526"/>
      <c r="I24" s="215"/>
      <c r="J24" s="526"/>
      <c r="K24" s="527"/>
      <c r="L24" s="526"/>
      <c r="M24" s="207"/>
    </row>
    <row r="25" spans="1:13">
      <c r="A25" s="206" t="s">
        <v>1058</v>
      </c>
      <c r="C25" s="207"/>
      <c r="D25" s="214"/>
      <c r="E25" s="214"/>
      <c r="F25" s="214"/>
      <c r="G25" s="214"/>
      <c r="H25" s="214"/>
      <c r="I25" s="214"/>
      <c r="J25" s="207"/>
      <c r="K25" s="207"/>
      <c r="L25" s="207"/>
      <c r="M25" s="207"/>
    </row>
    <row r="26" spans="1:13">
      <c r="A26" s="206" t="s">
        <v>781</v>
      </c>
      <c r="C26" s="207"/>
      <c r="D26" s="214"/>
      <c r="E26" s="214"/>
      <c r="F26" s="214"/>
      <c r="G26" s="214"/>
      <c r="H26" s="214"/>
      <c r="I26" s="214"/>
      <c r="J26" s="207"/>
      <c r="K26" s="207"/>
      <c r="L26" s="207"/>
      <c r="M26" s="207"/>
    </row>
    <row r="27" spans="1:13">
      <c r="A27" s="206" t="s">
        <v>780</v>
      </c>
      <c r="C27" s="207"/>
      <c r="D27" s="212"/>
      <c r="E27" s="212"/>
      <c r="F27" s="212"/>
      <c r="G27" s="212"/>
      <c r="H27" s="212"/>
      <c r="I27" s="212"/>
      <c r="J27" s="212"/>
      <c r="L27" s="212"/>
    </row>
    <row r="32" spans="1:13">
      <c r="A32" s="211"/>
      <c r="B32" s="210"/>
    </row>
    <row r="33" spans="1:2">
      <c r="A33" s="210"/>
      <c r="B33" s="210"/>
    </row>
  </sheetData>
  <mergeCells count="1">
    <mergeCell ref="H5:H6"/>
  </mergeCells>
  <printOptions horizontalCentered="1" gridLines="1" gridLinesSet="0"/>
  <pageMargins left="0.75" right="0.75" top="1.32" bottom="1" header="0.84" footer="0.5"/>
  <pageSetup orientation="landscape" r:id="rId1"/>
  <headerFooter alignWithMargins="0">
    <oddFooter>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>
    <tabColor theme="7" tint="0.59999389629810485"/>
    <pageSetUpPr fitToPage="1"/>
  </sheetPr>
  <dimension ref="A1:M69"/>
  <sheetViews>
    <sheetView zoomScaleNormal="100" workbookViewId="0">
      <pane ySplit="8" topLeftCell="A51" activePane="bottomLeft" state="frozen"/>
      <selection activeCell="H15" sqref="H15"/>
      <selection pane="bottomLeft" activeCell="B66" sqref="B6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3.85546875" style="218" customWidth="1"/>
    <col min="6" max="6" width="18.5703125" style="218" customWidth="1"/>
    <col min="7" max="7" width="14.42578125" style="218" customWidth="1"/>
    <col min="8" max="8" width="9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13">
      <c r="A1" s="218" t="s">
        <v>811</v>
      </c>
    </row>
    <row r="2" spans="1:13">
      <c r="A2" s="218" t="s">
        <v>847</v>
      </c>
    </row>
    <row r="3" spans="1:13">
      <c r="A3" s="245" t="s">
        <v>846</v>
      </c>
    </row>
    <row r="4" spans="1:13">
      <c r="A4" s="245" t="s">
        <v>1651</v>
      </c>
    </row>
    <row r="6" spans="1:13">
      <c r="A6" s="246"/>
    </row>
    <row r="8" spans="1:13" s="664" customFormat="1" ht="25.5">
      <c r="A8" s="664" t="s">
        <v>845</v>
      </c>
      <c r="B8" s="664" t="s">
        <v>844</v>
      </c>
      <c r="C8" s="664" t="s">
        <v>843</v>
      </c>
      <c r="D8" s="675" t="s">
        <v>1259</v>
      </c>
      <c r="E8" s="675" t="s">
        <v>1253</v>
      </c>
      <c r="F8" s="664" t="s">
        <v>842</v>
      </c>
      <c r="G8" s="664" t="s">
        <v>841</v>
      </c>
      <c r="H8" s="665" t="s">
        <v>783</v>
      </c>
    </row>
    <row r="9" spans="1:13">
      <c r="A9" s="242" t="s">
        <v>397</v>
      </c>
    </row>
    <row r="10" spans="1:13">
      <c r="B10" s="218" t="s">
        <v>796</v>
      </c>
      <c r="C10" s="239">
        <f>(A15*M10)</f>
        <v>7801.4219382961383</v>
      </c>
      <c r="D10" s="623">
        <f>VLOOKUP(B10,Cost,4)</f>
        <v>1623.8491769974919</v>
      </c>
      <c r="E10" s="623">
        <f>$D$66</f>
        <v>102.00029448641722</v>
      </c>
      <c r="F10" s="623">
        <f>C10*(D10+E10)</f>
        <v>13464079.929031365</v>
      </c>
      <c r="L10" s="239">
        <v>7662.4591593118039</v>
      </c>
      <c r="M10" s="666">
        <f>L10/SUM($L$10:$L$14)</f>
        <v>4.5066573369332036E-2</v>
      </c>
    </row>
    <row r="11" spans="1:13">
      <c r="B11" s="218" t="s">
        <v>797</v>
      </c>
      <c r="C11" s="239">
        <f>($A15*M11)</f>
        <v>165169.14099009597</v>
      </c>
      <c r="D11" s="623">
        <f>VLOOKUP(B11,Cost,4)</f>
        <v>477.81704767844826</v>
      </c>
      <c r="E11" s="623">
        <f>$D$66</f>
        <v>102.00029448641722</v>
      </c>
      <c r="F11" s="623">
        <f>C11*(D11+E11)</f>
        <v>95767932.336531386</v>
      </c>
      <c r="L11" s="239">
        <v>162227.06670979472</v>
      </c>
      <c r="M11" s="666">
        <f>L11/SUM($L$10:$L$14)</f>
        <v>0.95413467822321385</v>
      </c>
    </row>
    <row r="12" spans="1:13">
      <c r="B12" s="218" t="s">
        <v>814</v>
      </c>
      <c r="C12" s="239">
        <f>(A15*M12)</f>
        <v>66.278375922246354</v>
      </c>
      <c r="D12" s="623">
        <f>VLOOKUP(B12,Cost,4)</f>
        <v>8698.499503875646</v>
      </c>
      <c r="E12" s="623">
        <f>$D$66</f>
        <v>102.00029448641722</v>
      </c>
      <c r="F12" s="623">
        <f>C12*(D12+E12)</f>
        <v>583282.8339394941</v>
      </c>
      <c r="L12" s="239">
        <v>65.097792769896657</v>
      </c>
      <c r="M12" s="666">
        <f>L12/SUM($L$10:$L$14)</f>
        <v>3.8287113745733952E-4</v>
      </c>
    </row>
    <row r="13" spans="1:13">
      <c r="B13" s="218" t="s">
        <v>812</v>
      </c>
      <c r="C13" s="239">
        <f>($A15*M13)</f>
        <v>70.849298399642663</v>
      </c>
      <c r="D13" s="623">
        <f>VLOOKUP(B13,Cost,4)</f>
        <v>15090.371703226116</v>
      </c>
      <c r="E13" s="623">
        <f>$D$66</f>
        <v>102.00029448641722</v>
      </c>
      <c r="F13" s="623">
        <f>C13*(D13+E13)</f>
        <v>1076368.8970643105</v>
      </c>
      <c r="L13" s="239">
        <v>69.587295719544713</v>
      </c>
      <c r="M13" s="666">
        <f>L13/SUM($L$10:$L$14)</f>
        <v>4.0927604348888028E-4</v>
      </c>
    </row>
    <row r="14" spans="1:13">
      <c r="B14" s="218" t="s">
        <v>816</v>
      </c>
      <c r="C14" s="239">
        <f>(A15*M14)</f>
        <v>1.1427306193490752</v>
      </c>
      <c r="D14" s="623">
        <f>VLOOKUP(B14,Cost,4)</f>
        <v>33237.14720028943</v>
      </c>
      <c r="E14" s="623">
        <f>$D$66</f>
        <v>102.00029448641722</v>
      </c>
      <c r="F14" s="623">
        <f>C14*(D14+E14)</f>
        <v>38097.66466527537</v>
      </c>
      <c r="L14" s="239">
        <v>1.1223757374120114</v>
      </c>
      <c r="M14" s="666">
        <f>L14/SUM($L$10:$L$14)</f>
        <v>6.6012265078851648E-6</v>
      </c>
    </row>
    <row r="15" spans="1:13">
      <c r="A15" s="239">
        <f>Factors!E43/12</f>
        <v>173108.83333333334</v>
      </c>
      <c r="F15" s="667">
        <f>SUM(F10:F14)</f>
        <v>110929761.66123183</v>
      </c>
      <c r="G15" s="623">
        <f>F15/A15</f>
        <v>640.80936556038534</v>
      </c>
      <c r="H15" s="243">
        <f>G15/$G$15</f>
        <v>1</v>
      </c>
      <c r="L15" s="220"/>
      <c r="M15" s="668">
        <f>SUM(M10:M14)</f>
        <v>1</v>
      </c>
    </row>
    <row r="16" spans="1:13">
      <c r="A16" s="241"/>
      <c r="F16" s="624"/>
      <c r="G16" s="623"/>
      <c r="H16" s="240"/>
      <c r="L16" s="220"/>
    </row>
    <row r="17" spans="1:13">
      <c r="A17" s="242" t="s">
        <v>840</v>
      </c>
      <c r="H17" s="240"/>
      <c r="L17" s="220"/>
    </row>
    <row r="18" spans="1:13">
      <c r="B18" s="218" t="s">
        <v>796</v>
      </c>
      <c r="C18" s="239">
        <f>A23*M18</f>
        <v>2236.8027481047748</v>
      </c>
      <c r="D18" s="623">
        <f>VLOOKUP(B18,Cost,4)</f>
        <v>1623.8491769974919</v>
      </c>
      <c r="E18" s="623">
        <f>$D$67</f>
        <v>110.60724884565927</v>
      </c>
      <c r="F18" s="623">
        <f>C18*(D18+E18)</f>
        <v>3879636.8997939462</v>
      </c>
      <c r="H18" s="240"/>
      <c r="L18" s="239">
        <v>2053.3568410113553</v>
      </c>
      <c r="M18" s="666">
        <f>L18/SUM($L$18:$L$22)</f>
        <v>0.64555744431701811</v>
      </c>
    </row>
    <row r="19" spans="1:13">
      <c r="B19" s="218" t="s">
        <v>797</v>
      </c>
      <c r="C19" s="239">
        <f>A23*M19</f>
        <v>91.941393051869753</v>
      </c>
      <c r="D19" s="623">
        <f>VLOOKUP(B19,Cost,4)</f>
        <v>477.81704767844826</v>
      </c>
      <c r="E19" s="623">
        <f>$D$67</f>
        <v>110.60724884565927</v>
      </c>
      <c r="F19" s="623">
        <f>C19*(D19+E19)</f>
        <v>54100.549527992924</v>
      </c>
      <c r="H19" s="240"/>
      <c r="L19" s="239">
        <v>84.40104455125946</v>
      </c>
      <c r="M19" s="666">
        <f>L19/SUM($L$18:$L$22)</f>
        <v>2.6534950735285532E-2</v>
      </c>
    </row>
    <row r="20" spans="1:13">
      <c r="B20" s="218" t="s">
        <v>814</v>
      </c>
      <c r="C20" s="239">
        <f>A23*M20</f>
        <v>521.43904345131853</v>
      </c>
      <c r="D20" s="623">
        <f>VLOOKUP(B20,Cost,4)</f>
        <v>8698.499503875646</v>
      </c>
      <c r="E20" s="623">
        <f>$D$67</f>
        <v>110.60724884565927</v>
      </c>
      <c r="F20" s="623">
        <f>C20*(D20+E20)</f>
        <v>4593412.1987995477</v>
      </c>
      <c r="H20" s="240"/>
      <c r="L20" s="239">
        <v>478.6744955264287</v>
      </c>
      <c r="M20" s="666">
        <f>L20/SUM($L$18:$L$22)</f>
        <v>0.15049107774154796</v>
      </c>
    </row>
    <row r="21" spans="1:13">
      <c r="B21" s="218" t="s">
        <v>812</v>
      </c>
      <c r="C21" s="239">
        <f>A23*M21</f>
        <v>609.47968817002504</v>
      </c>
      <c r="D21" s="623">
        <f>VLOOKUP(B21,Cost,4)</f>
        <v>15090.371703226116</v>
      </c>
      <c r="E21" s="623">
        <f>$D$67</f>
        <v>110.60724884565927</v>
      </c>
      <c r="F21" s="623">
        <f>C21*(D21+E21)</f>
        <v>9264687.9115878195</v>
      </c>
      <c r="H21" s="240"/>
      <c r="L21" s="239">
        <v>559.49470207945569</v>
      </c>
      <c r="M21" s="666">
        <f>L21/SUM($L$18:$L$22)</f>
        <v>0.17590024430698914</v>
      </c>
    </row>
    <row r="22" spans="1:13">
      <c r="B22" s="218" t="s">
        <v>816</v>
      </c>
      <c r="C22" s="239">
        <f>A23*M22</f>
        <v>5.2537938886782714</v>
      </c>
      <c r="D22" s="623">
        <f>VLOOKUP(B22,Cost,4)</f>
        <v>33237.14720028943</v>
      </c>
      <c r="E22" s="623">
        <f>$D$67</f>
        <v>110.60724884565927</v>
      </c>
      <c r="F22" s="623">
        <f>C22*(D22+E22)</f>
        <v>175202.22852600954</v>
      </c>
      <c r="H22" s="240"/>
      <c r="L22" s="239">
        <v>4.8229168315005397</v>
      </c>
      <c r="M22" s="666">
        <f>L22/SUM($L$18:$L$22)</f>
        <v>1.516282899159173E-3</v>
      </c>
    </row>
    <row r="23" spans="1:13">
      <c r="A23" s="239">
        <f>Factors!F43/12</f>
        <v>3464.9166666666665</v>
      </c>
      <c r="F23" s="669">
        <f>SUM(F18:F22)</f>
        <v>17967039.788235318</v>
      </c>
      <c r="G23" s="623">
        <f>F23/A23</f>
        <v>5185.4175775950316</v>
      </c>
      <c r="H23" s="238">
        <f>G23/$G$15</f>
        <v>8.0919815724921627</v>
      </c>
      <c r="M23" s="668">
        <f>SUM(M18:M22)</f>
        <v>1</v>
      </c>
    </row>
    <row r="24" spans="1:13">
      <c r="H24" s="240"/>
    </row>
    <row r="25" spans="1:13">
      <c r="A25" s="242" t="s">
        <v>839</v>
      </c>
      <c r="G25" s="237"/>
      <c r="H25" s="240"/>
    </row>
    <row r="26" spans="1:13">
      <c r="B26" s="218" t="s">
        <v>796</v>
      </c>
      <c r="C26" s="241">
        <v>0</v>
      </c>
      <c r="D26" s="623">
        <f>VLOOKUP(B26,Cost,4)</f>
        <v>1623.8491769974919</v>
      </c>
      <c r="E26" s="623">
        <v>0</v>
      </c>
      <c r="F26" s="623">
        <f>C26*D26</f>
        <v>0</v>
      </c>
      <c r="H26" s="240"/>
    </row>
    <row r="27" spans="1:13">
      <c r="B27" s="218" t="s">
        <v>797</v>
      </c>
      <c r="C27" s="241">
        <v>0</v>
      </c>
      <c r="D27" s="623">
        <f>VLOOKUP(B27,Cost,4)</f>
        <v>477.81704767844826</v>
      </c>
      <c r="E27" s="623">
        <v>0</v>
      </c>
      <c r="F27" s="623">
        <f>C27*D27</f>
        <v>0</v>
      </c>
      <c r="H27" s="240"/>
    </row>
    <row r="28" spans="1:13">
      <c r="B28" s="218" t="s">
        <v>814</v>
      </c>
      <c r="C28" s="241">
        <v>0</v>
      </c>
      <c r="D28" s="623">
        <f>VLOOKUP(B28,Cost,4)</f>
        <v>8698.499503875646</v>
      </c>
      <c r="E28" s="623">
        <v>0</v>
      </c>
      <c r="F28" s="623">
        <f>C28*D28</f>
        <v>0</v>
      </c>
      <c r="H28" s="240"/>
    </row>
    <row r="29" spans="1:13">
      <c r="B29" s="218" t="s">
        <v>812</v>
      </c>
      <c r="C29" s="241">
        <v>0</v>
      </c>
      <c r="D29" s="623">
        <f>VLOOKUP(B29,Cost,4)</f>
        <v>15090.371703226116</v>
      </c>
      <c r="E29" s="623">
        <v>0</v>
      </c>
      <c r="F29" s="623">
        <f>C29*D29</f>
        <v>0</v>
      </c>
      <c r="H29" s="240"/>
    </row>
    <row r="30" spans="1:13">
      <c r="B30" s="218" t="s">
        <v>816</v>
      </c>
      <c r="C30" s="241">
        <v>0</v>
      </c>
      <c r="D30" s="623">
        <f>VLOOKUP(B30,Cost,4)</f>
        <v>33237.14720028943</v>
      </c>
      <c r="E30" s="623">
        <v>0</v>
      </c>
      <c r="F30" s="623">
        <f>C30*D30</f>
        <v>0</v>
      </c>
      <c r="H30" s="240"/>
    </row>
    <row r="31" spans="1:13">
      <c r="A31" s="684">
        <f>Factors!G43/12</f>
        <v>8.3333333333333339E-4</v>
      </c>
      <c r="F31" s="669">
        <f>SUM(F26:F30)</f>
        <v>0</v>
      </c>
      <c r="G31" s="685">
        <f>F31/A31</f>
        <v>0</v>
      </c>
      <c r="H31" s="238">
        <f>G31/$G$15</f>
        <v>0</v>
      </c>
      <c r="I31" s="237"/>
    </row>
    <row r="32" spans="1:13">
      <c r="H32" s="240"/>
    </row>
    <row r="33" spans="1:9">
      <c r="A33" s="242" t="s">
        <v>838</v>
      </c>
      <c r="H33" s="240"/>
    </row>
    <row r="34" spans="1:9">
      <c r="B34" s="218" t="s">
        <v>796</v>
      </c>
      <c r="C34" s="241">
        <f>'Industrial Meter Installations'!C34</f>
        <v>0</v>
      </c>
      <c r="D34" s="623">
        <f>VLOOKUP(B34,Cost,4)</f>
        <v>1623.8491769974919</v>
      </c>
      <c r="E34" s="623">
        <f>$D$68</f>
        <v>41.844561163289981</v>
      </c>
      <c r="F34" s="623">
        <f>C34*(D34+E34)</f>
        <v>0</v>
      </c>
      <c r="H34" s="240"/>
    </row>
    <row r="35" spans="1:9">
      <c r="B35" s="218" t="s">
        <v>797</v>
      </c>
      <c r="C35" s="241">
        <f>'Industrial Meter Installations'!C35</f>
        <v>0</v>
      </c>
      <c r="D35" s="623">
        <f>VLOOKUP(B35,Cost,4)</f>
        <v>477.81704767844826</v>
      </c>
      <c r="E35" s="623">
        <f>$D$68</f>
        <v>41.844561163289981</v>
      </c>
      <c r="F35" s="623">
        <f>C35*(D35+E35)</f>
        <v>0</v>
      </c>
      <c r="H35" s="240"/>
    </row>
    <row r="36" spans="1:9">
      <c r="B36" s="218" t="s">
        <v>814</v>
      </c>
      <c r="C36" s="241">
        <f>'Industrial Meter Installations'!C36</f>
        <v>0</v>
      </c>
      <c r="D36" s="623">
        <f>VLOOKUP(B36,Cost,4)</f>
        <v>8698.499503875646</v>
      </c>
      <c r="E36" s="623">
        <f>$D$68</f>
        <v>41.844561163289981</v>
      </c>
      <c r="F36" s="623">
        <f>C36*(D36+E36)</f>
        <v>0</v>
      </c>
      <c r="H36" s="240"/>
    </row>
    <row r="37" spans="1:9">
      <c r="B37" s="218" t="s">
        <v>812</v>
      </c>
      <c r="C37" s="241">
        <f>'Industrial Meter Installations'!C37</f>
        <v>0</v>
      </c>
      <c r="D37" s="623">
        <f>VLOOKUP(B37,Cost,4)</f>
        <v>15090.371703226116</v>
      </c>
      <c r="E37" s="623">
        <f>$D$68</f>
        <v>41.844561163289981</v>
      </c>
      <c r="F37" s="623">
        <f>C37*(D37+E37)</f>
        <v>0</v>
      </c>
      <c r="H37" s="240"/>
    </row>
    <row r="38" spans="1:9">
      <c r="B38" s="218" t="s">
        <v>816</v>
      </c>
      <c r="C38" s="771">
        <f>'Meters 121_131_146'!C40</f>
        <v>4</v>
      </c>
      <c r="D38" s="623">
        <f>VLOOKUP(B38,Cost,4)</f>
        <v>33237.14720028943</v>
      </c>
      <c r="E38" s="623">
        <f>$D$68</f>
        <v>41.844561163289981</v>
      </c>
      <c r="F38" s="623">
        <f>C38*(D38+E38)</f>
        <v>133115.96704581089</v>
      </c>
      <c r="H38" s="240"/>
    </row>
    <row r="39" spans="1:9">
      <c r="A39" s="239">
        <f>Factors!H43/12</f>
        <v>3.25</v>
      </c>
      <c r="F39" s="669">
        <f>SUM(F34:F38)</f>
        <v>133115.96704581089</v>
      </c>
      <c r="G39" s="623">
        <f>F39/A39</f>
        <v>40958.759091018735</v>
      </c>
      <c r="H39" s="238">
        <f>G39/$G$15</f>
        <v>63.917229198422305</v>
      </c>
      <c r="I39" s="237"/>
    </row>
    <row r="40" spans="1:9">
      <c r="H40" s="240"/>
    </row>
    <row r="41" spans="1:9">
      <c r="A41" s="242" t="s">
        <v>401</v>
      </c>
      <c r="H41" s="240"/>
    </row>
    <row r="42" spans="1:9">
      <c r="B42" s="218" t="s">
        <v>796</v>
      </c>
      <c r="C42" s="771">
        <f>'Meters 121_131_146'!D36</f>
        <v>1</v>
      </c>
      <c r="D42" s="623">
        <f>VLOOKUP(B42,Cost,4)</f>
        <v>1623.8491769974919</v>
      </c>
      <c r="E42" s="623">
        <v>0</v>
      </c>
      <c r="F42" s="623">
        <f>C42*D42</f>
        <v>1623.8491769974919</v>
      </c>
      <c r="H42" s="240"/>
    </row>
    <row r="43" spans="1:9">
      <c r="B43" s="218" t="s">
        <v>797</v>
      </c>
      <c r="C43" s="771">
        <f>'Meters 121_131_146'!D37</f>
        <v>0</v>
      </c>
      <c r="D43" s="623">
        <f>VLOOKUP(B43,Cost,4)</f>
        <v>477.81704767844826</v>
      </c>
      <c r="E43" s="623">
        <v>0</v>
      </c>
      <c r="F43" s="623">
        <f>C43*D43</f>
        <v>0</v>
      </c>
      <c r="H43" s="240"/>
    </row>
    <row r="44" spans="1:9">
      <c r="B44" s="218" t="s">
        <v>814</v>
      </c>
      <c r="C44" s="771">
        <f>'Meters 121_131_146'!D38</f>
        <v>8</v>
      </c>
      <c r="D44" s="623">
        <f>VLOOKUP(B44,Cost,4)</f>
        <v>8698.499503875646</v>
      </c>
      <c r="E44" s="623">
        <v>0</v>
      </c>
      <c r="F44" s="623">
        <f>C44*D44</f>
        <v>69587.996031005168</v>
      </c>
      <c r="H44" s="240"/>
    </row>
    <row r="45" spans="1:9">
      <c r="B45" s="218" t="s">
        <v>812</v>
      </c>
      <c r="C45" s="771">
        <f>'Meters 121_131_146'!D39</f>
        <v>18</v>
      </c>
      <c r="D45" s="623">
        <f>VLOOKUP(B45,Cost,4)</f>
        <v>15090.371703226116</v>
      </c>
      <c r="E45" s="623">
        <v>0</v>
      </c>
      <c r="F45" s="623">
        <f>C45*D45</f>
        <v>271626.69065807009</v>
      </c>
      <c r="H45" s="240"/>
    </row>
    <row r="46" spans="1:9">
      <c r="B46" s="218" t="s">
        <v>816</v>
      </c>
      <c r="C46" s="771">
        <f>'Meters 121_131_146'!D40</f>
        <v>13</v>
      </c>
      <c r="D46" s="623">
        <f>VLOOKUP(B46,Cost,4)</f>
        <v>33237.14720028943</v>
      </c>
      <c r="E46" s="623">
        <v>0</v>
      </c>
      <c r="F46" s="623">
        <f>C46*D46</f>
        <v>432082.91360376257</v>
      </c>
      <c r="H46" s="240"/>
    </row>
    <row r="47" spans="1:9">
      <c r="A47" s="239">
        <f>Factors!I43/12</f>
        <v>38.833333333333336</v>
      </c>
      <c r="F47" s="669">
        <f>SUM(F42:F46)</f>
        <v>774921.44946983526</v>
      </c>
      <c r="G47" s="623">
        <f>F47/A47</f>
        <v>19955.05878463095</v>
      </c>
      <c r="H47" s="238">
        <f>G47/$G$15</f>
        <v>31.140398154418868</v>
      </c>
      <c r="I47" s="237"/>
    </row>
    <row r="49" spans="1:8">
      <c r="A49" s="241"/>
      <c r="F49" s="237"/>
      <c r="G49" s="623"/>
      <c r="H49" s="623"/>
    </row>
    <row r="50" spans="1:8">
      <c r="A50" s="241"/>
      <c r="F50" s="237"/>
      <c r="G50" s="623"/>
      <c r="H50" s="623"/>
    </row>
    <row r="51" spans="1:8">
      <c r="A51" s="235" t="s">
        <v>837</v>
      </c>
      <c r="B51" s="234" t="s">
        <v>836</v>
      </c>
      <c r="C51" s="234" t="s">
        <v>835</v>
      </c>
      <c r="D51" s="233" t="s">
        <v>1060</v>
      </c>
      <c r="E51" s="233"/>
    </row>
    <row r="52" spans="1:8">
      <c r="A52" s="670" t="s">
        <v>796</v>
      </c>
      <c r="B52" s="682">
        <f>'Meter Install Costs'!E4</f>
        <v>1487.1156515844095</v>
      </c>
      <c r="C52" s="682">
        <f>'Meter Install Costs'!D4</f>
        <v>136.73352541308239</v>
      </c>
      <c r="D52" s="623">
        <f>B52+C52</f>
        <v>1623.8491769974919</v>
      </c>
      <c r="E52" s="623"/>
      <c r="G52" s="237"/>
      <c r="H52" s="237"/>
    </row>
    <row r="53" spans="1:8">
      <c r="A53" s="670" t="s">
        <v>797</v>
      </c>
      <c r="B53" s="682">
        <f>'Meter Install Costs'!E5</f>
        <v>371.11686600644828</v>
      </c>
      <c r="C53" s="682">
        <f>'Meter Install Costs'!D5</f>
        <v>106.70018167199999</v>
      </c>
      <c r="D53" s="623">
        <f>B53+C53</f>
        <v>477.81704767844826</v>
      </c>
      <c r="E53" s="623"/>
    </row>
    <row r="54" spans="1:8">
      <c r="A54" s="670" t="s">
        <v>814</v>
      </c>
      <c r="B54" s="682">
        <f>'Meter Install Costs'!E6</f>
        <v>8331.251974863646</v>
      </c>
      <c r="C54" s="682">
        <f>'Meter Install Costs'!D6</f>
        <v>367.24752901199997</v>
      </c>
      <c r="D54" s="623">
        <f>B54+C54</f>
        <v>8698.499503875646</v>
      </c>
      <c r="E54" s="623"/>
    </row>
    <row r="55" spans="1:8">
      <c r="A55" s="670" t="s">
        <v>812</v>
      </c>
      <c r="B55" s="682">
        <f>'Meter Install Costs'!E7</f>
        <v>14129.956803418116</v>
      </c>
      <c r="C55" s="682">
        <f>'Meter Install Costs'!D7</f>
        <v>960.41489980800031</v>
      </c>
      <c r="D55" s="623">
        <f>B55+C55</f>
        <v>15090.371703226116</v>
      </c>
      <c r="E55" s="623"/>
    </row>
    <row r="56" spans="1:8">
      <c r="A56" s="670" t="s">
        <v>816</v>
      </c>
      <c r="B56" s="682">
        <f>'Meter Install Costs'!E8</f>
        <v>27744.32</v>
      </c>
      <c r="C56" s="682">
        <f>'Meter Install Costs'!D8</f>
        <v>5492.8272002894264</v>
      </c>
      <c r="D56" s="625">
        <f>B56+C56</f>
        <v>33237.14720028943</v>
      </c>
      <c r="E56" s="624"/>
    </row>
    <row r="57" spans="1:8">
      <c r="B57" s="237">
        <f>SUM(B52:B56)</f>
        <v>52063.761295872617</v>
      </c>
      <c r="C57" s="237">
        <f>SUM(C52:C56)</f>
        <v>7063.9233361945089</v>
      </c>
      <c r="D57" s="237">
        <f>SUM(D52:D56)</f>
        <v>59127.684632067132</v>
      </c>
      <c r="E57" s="237"/>
    </row>
    <row r="58" spans="1:8">
      <c r="B58" s="671">
        <f>B57/D57</f>
        <v>0.88053103414836764</v>
      </c>
      <c r="C58" s="671">
        <f>C57/D57</f>
        <v>0.11946896585163225</v>
      </c>
      <c r="D58" s="258">
        <f>SUM(B58:C58)</f>
        <v>0.99999999999999989</v>
      </c>
      <c r="E58" s="258"/>
    </row>
    <row r="62" spans="1:8">
      <c r="A62" s="218" t="s">
        <v>1254</v>
      </c>
    </row>
    <row r="64" spans="1:8" ht="38.25">
      <c r="B64" s="664" t="s">
        <v>1255</v>
      </c>
      <c r="C64" s="664" t="s">
        <v>1256</v>
      </c>
      <c r="D64" s="664" t="s">
        <v>1257</v>
      </c>
      <c r="E64" s="664"/>
    </row>
    <row r="66" spans="1:5">
      <c r="A66" s="218" t="s">
        <v>802</v>
      </c>
      <c r="B66" s="683">
        <f>'Meter Install Costs'!I24</f>
        <v>17657151.978200119</v>
      </c>
      <c r="C66" s="683">
        <f>A15</f>
        <v>173108.83333333334</v>
      </c>
      <c r="D66" s="672">
        <f>B66/C66</f>
        <v>102.00029448641722</v>
      </c>
      <c r="E66" s="672"/>
    </row>
    <row r="67" spans="1:5">
      <c r="A67" s="218" t="s">
        <v>801</v>
      </c>
      <c r="B67" s="683">
        <f>'Meter Install Costs'!I29</f>
        <v>383244.89997947222</v>
      </c>
      <c r="C67" s="683">
        <f>A23</f>
        <v>3464.9166666666665</v>
      </c>
      <c r="D67" s="672">
        <f>B67/C67</f>
        <v>110.60724884565927</v>
      </c>
      <c r="E67" s="672"/>
    </row>
    <row r="68" spans="1:5">
      <c r="A68" s="218" t="s">
        <v>1167</v>
      </c>
      <c r="B68" s="683">
        <f>'Meter Install Costs'!I30</f>
        <v>135.99482378069243</v>
      </c>
      <c r="C68" s="683">
        <f>A39</f>
        <v>3.25</v>
      </c>
      <c r="D68" s="672">
        <f>B68/C68</f>
        <v>41.844561163289981</v>
      </c>
      <c r="E68" s="672"/>
    </row>
    <row r="69" spans="1:5">
      <c r="A69" s="218" t="s">
        <v>778</v>
      </c>
      <c r="B69" s="673">
        <v>0</v>
      </c>
      <c r="C69" s="673">
        <v>0</v>
      </c>
      <c r="D69" s="672" t="s">
        <v>1258</v>
      </c>
      <c r="E69" s="672"/>
    </row>
  </sheetData>
  <printOptions horizontalCentered="1"/>
  <pageMargins left="0.75" right="0.75" top="1" bottom="1" header="0.68" footer="0.5"/>
  <pageSetup scale="61" orientation="portrait" r:id="rId1"/>
  <headerFooter alignWithMargins="0">
    <oddHeader>&amp;A</oddHeader>
    <oddFooter>Page 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B2D6-1902-4815-9D8A-EEFB962544A0}">
  <sheetPr>
    <tabColor theme="7" tint="0.59999389629810485"/>
  </sheetPr>
  <dimension ref="A1:L38"/>
  <sheetViews>
    <sheetView topLeftCell="A7" workbookViewId="0">
      <selection activeCell="D12" sqref="D12"/>
    </sheetView>
  </sheetViews>
  <sheetFormatPr defaultRowHeight="12.75"/>
  <cols>
    <col min="1" max="1" width="19.42578125" customWidth="1"/>
    <col min="2" max="2" width="13.5703125" customWidth="1"/>
    <col min="3" max="3" width="14.7109375" style="36" customWidth="1"/>
    <col min="4" max="4" width="17.140625" customWidth="1"/>
    <col min="5" max="5" width="20.42578125" customWidth="1"/>
    <col min="6" max="6" width="12.42578125" customWidth="1"/>
    <col min="7" max="7" width="11.85546875" customWidth="1"/>
    <col min="8" max="8" width="14.7109375" customWidth="1"/>
    <col min="9" max="9" width="15" bestFit="1" customWidth="1"/>
    <col min="10" max="10" width="3.5703125" customWidth="1"/>
    <col min="11" max="11" width="14.85546875" bestFit="1" customWidth="1"/>
    <col min="12" max="12" width="13.85546875" bestFit="1" customWidth="1"/>
  </cols>
  <sheetData>
    <row r="1" spans="1:6">
      <c r="A1" s="1" t="s">
        <v>1644</v>
      </c>
    </row>
    <row r="3" spans="1:6" s="36" customFormat="1">
      <c r="A3" s="758" t="s">
        <v>837</v>
      </c>
      <c r="B3" s="758" t="s">
        <v>1613</v>
      </c>
      <c r="C3" s="758" t="s">
        <v>1614</v>
      </c>
      <c r="D3" s="758" t="s">
        <v>1615</v>
      </c>
      <c r="E3" s="758" t="s">
        <v>1616</v>
      </c>
      <c r="F3" s="758" t="s">
        <v>197</v>
      </c>
    </row>
    <row r="4" spans="1:6">
      <c r="A4" s="38" t="s">
        <v>1617</v>
      </c>
      <c r="B4" s="24" t="s">
        <v>796</v>
      </c>
      <c r="C4" s="774">
        <v>2023</v>
      </c>
      <c r="D4" s="775">
        <v>136.73352541308239</v>
      </c>
      <c r="E4" s="775">
        <v>1487.1156515844095</v>
      </c>
      <c r="F4" s="775">
        <v>1623.8491769974919</v>
      </c>
    </row>
    <row r="5" spans="1:6">
      <c r="A5" s="38" t="s">
        <v>1617</v>
      </c>
      <c r="B5" s="24" t="s">
        <v>797</v>
      </c>
      <c r="C5" s="774">
        <v>2023</v>
      </c>
      <c r="D5" s="775">
        <v>106.70018167199999</v>
      </c>
      <c r="E5" s="775">
        <v>371.11686600644828</v>
      </c>
      <c r="F5" s="775">
        <v>477.81704767844826</v>
      </c>
    </row>
    <row r="6" spans="1:6">
      <c r="A6" s="38" t="s">
        <v>1617</v>
      </c>
      <c r="B6" s="24" t="s">
        <v>814</v>
      </c>
      <c r="C6" s="774">
        <v>2023</v>
      </c>
      <c r="D6" s="775">
        <v>367.24752901199997</v>
      </c>
      <c r="E6" s="775">
        <v>8331.251974863646</v>
      </c>
      <c r="F6" s="775">
        <v>8698.499503875646</v>
      </c>
    </row>
    <row r="7" spans="1:6">
      <c r="A7" s="38" t="s">
        <v>1617</v>
      </c>
      <c r="B7" s="24" t="s">
        <v>812</v>
      </c>
      <c r="C7" s="774">
        <v>2023</v>
      </c>
      <c r="D7" s="775">
        <v>960.41489980800031</v>
      </c>
      <c r="E7" s="775">
        <v>14129.956803418116</v>
      </c>
      <c r="F7" s="775">
        <v>15090.371703226116</v>
      </c>
    </row>
    <row r="8" spans="1:6">
      <c r="A8" s="38" t="s">
        <v>1617</v>
      </c>
      <c r="B8" s="24" t="s">
        <v>816</v>
      </c>
      <c r="C8" s="774">
        <v>2023</v>
      </c>
      <c r="D8" s="775">
        <v>5492.8272002894264</v>
      </c>
      <c r="E8" s="775">
        <v>27744.32</v>
      </c>
      <c r="F8" s="775">
        <v>33237.14720028943</v>
      </c>
    </row>
    <row r="11" spans="1:6">
      <c r="A11" s="759" t="s">
        <v>1670</v>
      </c>
    </row>
    <row r="16" spans="1:6">
      <c r="A16" s="1" t="s">
        <v>1643</v>
      </c>
    </row>
    <row r="18" spans="1:12" s="746" customFormat="1" ht="51">
      <c r="A18" s="760" t="s">
        <v>1645</v>
      </c>
      <c r="B18" s="760" t="s">
        <v>1646</v>
      </c>
      <c r="C18" s="745" t="s">
        <v>1618</v>
      </c>
      <c r="D18" s="745" t="s">
        <v>1619</v>
      </c>
      <c r="E18" s="745" t="s">
        <v>1620</v>
      </c>
      <c r="F18" s="745" t="s">
        <v>1621</v>
      </c>
      <c r="G18" s="745" t="s">
        <v>1622</v>
      </c>
      <c r="H18" s="745" t="s">
        <v>1623</v>
      </c>
      <c r="I18" s="745" t="s">
        <v>1255</v>
      </c>
      <c r="J18" s="745"/>
      <c r="K18" s="745" t="s">
        <v>1624</v>
      </c>
      <c r="L18" s="745" t="s">
        <v>1625</v>
      </c>
    </row>
    <row r="19" spans="1:12">
      <c r="A19" s="805" t="s">
        <v>1626</v>
      </c>
      <c r="B19" s="805" t="s">
        <v>1627</v>
      </c>
      <c r="C19" s="805" t="s">
        <v>1628</v>
      </c>
      <c r="D19" s="761" t="s">
        <v>1629</v>
      </c>
      <c r="E19" s="762">
        <v>146751</v>
      </c>
      <c r="F19" s="763">
        <v>71.159087939919431</v>
      </c>
      <c r="G19" s="763">
        <v>38.71</v>
      </c>
      <c r="H19" s="763">
        <v>16123398.524271118</v>
      </c>
      <c r="I19" s="765"/>
      <c r="J19" s="761"/>
      <c r="K19" s="763">
        <v>10442667.314271117</v>
      </c>
      <c r="L19" s="763">
        <v>5680731.21</v>
      </c>
    </row>
    <row r="20" spans="1:12">
      <c r="A20" s="805"/>
      <c r="B20" s="805"/>
      <c r="C20" s="805"/>
      <c r="D20" s="761" t="s">
        <v>1630</v>
      </c>
      <c r="E20" s="762">
        <v>6338</v>
      </c>
      <c r="F20" s="763">
        <v>71.251173780692397</v>
      </c>
      <c r="G20" s="763">
        <v>38.71</v>
      </c>
      <c r="H20" s="763">
        <v>696933.91942202847</v>
      </c>
      <c r="I20" s="765"/>
      <c r="J20" s="761"/>
      <c r="K20" s="763">
        <v>451589.93942202843</v>
      </c>
      <c r="L20" s="763">
        <v>245343.98</v>
      </c>
    </row>
    <row r="21" spans="1:12">
      <c r="A21" s="805"/>
      <c r="B21" s="805"/>
      <c r="C21" s="805"/>
      <c r="D21" s="761" t="s">
        <v>1631</v>
      </c>
      <c r="E21" s="762">
        <v>5849</v>
      </c>
      <c r="F21" s="763">
        <v>71.251173780692397</v>
      </c>
      <c r="G21" s="763">
        <v>38.71</v>
      </c>
      <c r="H21" s="763">
        <v>643162.90544326988</v>
      </c>
      <c r="I21" s="765"/>
      <c r="J21" s="761"/>
      <c r="K21" s="763">
        <v>416748.11544326984</v>
      </c>
      <c r="L21" s="763">
        <v>226414.79</v>
      </c>
    </row>
    <row r="22" spans="1:12">
      <c r="A22" s="805"/>
      <c r="B22" s="805"/>
      <c r="C22" s="805"/>
      <c r="D22" s="761" t="s">
        <v>1632</v>
      </c>
      <c r="E22" s="762">
        <v>1370</v>
      </c>
      <c r="F22" s="763">
        <v>97.28482378069242</v>
      </c>
      <c r="G22" s="763">
        <v>38.71</v>
      </c>
      <c r="H22" s="763">
        <v>186312.90857954862</v>
      </c>
      <c r="I22" s="765"/>
      <c r="J22" s="761"/>
      <c r="K22" s="763">
        <v>133280.20857954861</v>
      </c>
      <c r="L22" s="763">
        <v>53032.700000000004</v>
      </c>
    </row>
    <row r="23" spans="1:12">
      <c r="A23" s="805"/>
      <c r="B23" s="805"/>
      <c r="C23" s="805"/>
      <c r="D23" s="761" t="s">
        <v>1633</v>
      </c>
      <c r="E23" s="762">
        <v>14</v>
      </c>
      <c r="F23" s="763">
        <v>97.28482378069242</v>
      </c>
      <c r="G23" s="763">
        <v>38.71</v>
      </c>
      <c r="H23" s="763">
        <v>1903.9275329296941</v>
      </c>
      <c r="I23" s="765"/>
      <c r="J23" s="761"/>
      <c r="K23" s="763">
        <v>1361.9875329296938</v>
      </c>
      <c r="L23" s="763">
        <v>541.94000000000005</v>
      </c>
    </row>
    <row r="24" spans="1:12">
      <c r="A24" s="805"/>
      <c r="B24" s="805"/>
      <c r="C24" s="805"/>
      <c r="D24" s="761" t="s">
        <v>1634</v>
      </c>
      <c r="E24" s="762">
        <v>40</v>
      </c>
      <c r="F24" s="763">
        <v>97.28482378069242</v>
      </c>
      <c r="G24" s="763">
        <v>38.71</v>
      </c>
      <c r="H24" s="763">
        <v>5439.7929512276969</v>
      </c>
      <c r="I24" s="765">
        <f>SUM(H19:H24)</f>
        <v>17657151.978200119</v>
      </c>
      <c r="J24" s="761"/>
      <c r="K24" s="763">
        <v>3891.3929512276968</v>
      </c>
      <c r="L24" s="763">
        <v>1548.4</v>
      </c>
    </row>
    <row r="25" spans="1:12">
      <c r="A25" s="805" t="s">
        <v>1635</v>
      </c>
      <c r="B25" s="805" t="s">
        <v>1636</v>
      </c>
      <c r="C25" s="805" t="s">
        <v>1628</v>
      </c>
      <c r="D25" s="761" t="s">
        <v>1629</v>
      </c>
      <c r="E25" s="762">
        <v>92</v>
      </c>
      <c r="F25" s="763">
        <v>71.159087939919431</v>
      </c>
      <c r="G25" s="763">
        <v>38.71</v>
      </c>
      <c r="H25" s="763">
        <v>10107.956090472588</v>
      </c>
      <c r="I25" s="765"/>
      <c r="J25" s="761"/>
      <c r="K25" s="763">
        <v>6546.636090472588</v>
      </c>
      <c r="L25" s="763">
        <v>3561.32</v>
      </c>
    </row>
    <row r="26" spans="1:12">
      <c r="A26" s="805"/>
      <c r="B26" s="805"/>
      <c r="C26" s="805"/>
      <c r="D26" s="761" t="s">
        <v>1630</v>
      </c>
      <c r="E26" s="762">
        <v>602</v>
      </c>
      <c r="F26" s="763">
        <v>71.251173780692397</v>
      </c>
      <c r="G26" s="763">
        <v>38.71</v>
      </c>
      <c r="H26" s="763">
        <v>66196.626615976827</v>
      </c>
      <c r="I26" s="765"/>
      <c r="J26" s="761"/>
      <c r="K26" s="763">
        <v>42893.206615976822</v>
      </c>
      <c r="L26" s="763">
        <v>23303.420000000002</v>
      </c>
    </row>
    <row r="27" spans="1:12">
      <c r="A27" s="805"/>
      <c r="B27" s="805"/>
      <c r="C27" s="805"/>
      <c r="D27" s="761" t="s">
        <v>1632</v>
      </c>
      <c r="E27" s="762">
        <v>1699</v>
      </c>
      <c r="F27" s="763">
        <v>97.28482378069242</v>
      </c>
      <c r="G27" s="763">
        <v>38.71</v>
      </c>
      <c r="H27" s="763">
        <v>231055.20560339643</v>
      </c>
      <c r="I27" s="765"/>
      <c r="J27" s="761"/>
      <c r="K27" s="763">
        <v>165286.91560339642</v>
      </c>
      <c r="L27" s="763">
        <v>65768.290000000008</v>
      </c>
    </row>
    <row r="28" spans="1:12">
      <c r="A28" s="805"/>
      <c r="B28" s="805"/>
      <c r="C28" s="805"/>
      <c r="D28" s="761" t="s">
        <v>1633</v>
      </c>
      <c r="E28" s="762">
        <v>170</v>
      </c>
      <c r="F28" s="763">
        <v>97.28482378069242</v>
      </c>
      <c r="G28" s="763">
        <v>38.71</v>
      </c>
      <c r="H28" s="763">
        <v>23119.120042717714</v>
      </c>
      <c r="I28" s="765"/>
      <c r="J28" s="761"/>
      <c r="K28" s="763">
        <v>16538.420042717713</v>
      </c>
      <c r="L28" s="763">
        <v>6580.7</v>
      </c>
    </row>
    <row r="29" spans="1:12">
      <c r="A29" s="805"/>
      <c r="B29" s="805"/>
      <c r="C29" s="805"/>
      <c r="D29" s="761" t="s">
        <v>1634</v>
      </c>
      <c r="E29" s="762">
        <v>388</v>
      </c>
      <c r="F29" s="763">
        <v>97.28482378069242</v>
      </c>
      <c r="G29" s="763">
        <v>38.71</v>
      </c>
      <c r="H29" s="763">
        <v>52765.991626908661</v>
      </c>
      <c r="I29" s="765">
        <f>SUM(H25:H29)</f>
        <v>383244.89997947222</v>
      </c>
      <c r="J29" s="761"/>
      <c r="K29" s="763">
        <v>37746.511626908657</v>
      </c>
      <c r="L29" s="763">
        <v>15019.48</v>
      </c>
    </row>
    <row r="30" spans="1:12">
      <c r="A30" s="761" t="s">
        <v>1637</v>
      </c>
      <c r="B30" s="764" t="s">
        <v>966</v>
      </c>
      <c r="C30" s="761" t="s">
        <v>1638</v>
      </c>
      <c r="D30" s="761" t="s">
        <v>1633</v>
      </c>
      <c r="E30" s="762">
        <v>1</v>
      </c>
      <c r="F30" s="763">
        <v>97.28482378069242</v>
      </c>
      <c r="G30" s="763">
        <v>38.71</v>
      </c>
      <c r="H30" s="763">
        <v>135.99482378069243</v>
      </c>
      <c r="I30" s="763">
        <f>SUM(H30)</f>
        <v>135.99482378069243</v>
      </c>
      <c r="J30" s="761"/>
      <c r="K30" s="763">
        <v>97.28482378069242</v>
      </c>
      <c r="L30" s="763">
        <v>38.71</v>
      </c>
    </row>
    <row r="31" spans="1:12">
      <c r="A31" s="761" t="s">
        <v>1639</v>
      </c>
      <c r="B31" s="764" t="s">
        <v>819</v>
      </c>
      <c r="C31" s="761" t="s">
        <v>1640</v>
      </c>
      <c r="D31" s="761"/>
      <c r="E31" s="761"/>
      <c r="F31" s="761"/>
      <c r="G31" s="761"/>
      <c r="H31" s="761"/>
      <c r="I31" s="761"/>
      <c r="J31" s="761"/>
      <c r="K31" s="763">
        <v>0</v>
      </c>
      <c r="L31" s="763">
        <v>0</v>
      </c>
    </row>
    <row r="32" spans="1:12">
      <c r="A32" s="761" t="s">
        <v>1641</v>
      </c>
      <c r="B32" s="764" t="s">
        <v>1642</v>
      </c>
      <c r="C32" s="761" t="s">
        <v>1640</v>
      </c>
      <c r="D32" s="761"/>
      <c r="E32" s="761"/>
      <c r="F32" s="761"/>
      <c r="G32" s="761"/>
      <c r="H32" s="761"/>
      <c r="I32" s="761"/>
      <c r="J32" s="761"/>
      <c r="K32" s="763">
        <v>0</v>
      </c>
      <c r="L32" s="763">
        <v>0</v>
      </c>
    </row>
    <row r="33" spans="1:12">
      <c r="E33" s="645">
        <f>SUM(E19:E32)</f>
        <v>163314</v>
      </c>
      <c r="F33" s="756"/>
    </row>
    <row r="35" spans="1:12">
      <c r="G35" s="24" t="s">
        <v>1647</v>
      </c>
      <c r="H35" s="756">
        <f>SUM(H19:H34)</f>
        <v>18040532.873003367</v>
      </c>
      <c r="I35" s="756">
        <f>SUM(K35:L35)</f>
        <v>18040532.873003375</v>
      </c>
      <c r="K35" s="756">
        <f>SUM(K19:K34)</f>
        <v>11718647.933003373</v>
      </c>
      <c r="L35" s="756">
        <f>SUM(L19:L34)</f>
        <v>6321884.9400000023</v>
      </c>
    </row>
    <row r="37" spans="1:12">
      <c r="A37" s="759" t="s">
        <v>1908</v>
      </c>
    </row>
    <row r="38" spans="1:12">
      <c r="A38" s="24" t="s">
        <v>1909</v>
      </c>
    </row>
  </sheetData>
  <mergeCells count="6">
    <mergeCell ref="C19:C24"/>
    <mergeCell ref="C25:C29"/>
    <mergeCell ref="A19:A24"/>
    <mergeCell ref="B19:B24"/>
    <mergeCell ref="A25:A29"/>
    <mergeCell ref="B25:B2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7" tint="0.59999389629810485"/>
    <pageSetUpPr fitToPage="1"/>
  </sheetPr>
  <dimension ref="A1:I56"/>
  <sheetViews>
    <sheetView zoomScaleNormal="100" workbookViewId="0">
      <pane ySplit="8" topLeftCell="A9" activePane="bottomLeft" state="frozen"/>
      <selection activeCell="H15" sqref="H15"/>
      <selection pane="bottomLeft" activeCell="C46" sqref="C4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5.42578125" style="218" customWidth="1"/>
    <col min="6" max="6" width="18.5703125" style="218" customWidth="1"/>
    <col min="7" max="7" width="14.42578125" style="218" customWidth="1"/>
    <col min="8" max="8" width="9.140625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8">
      <c r="A1" s="218" t="s">
        <v>811</v>
      </c>
    </row>
    <row r="2" spans="1:8">
      <c r="A2" s="218" t="s">
        <v>847</v>
      </c>
    </row>
    <row r="3" spans="1:8">
      <c r="A3" s="245" t="s">
        <v>846</v>
      </c>
    </row>
    <row r="4" spans="1:8">
      <c r="A4" s="246" t="s">
        <v>1651</v>
      </c>
    </row>
    <row r="6" spans="1:8">
      <c r="A6" s="246"/>
    </row>
    <row r="8" spans="1:8">
      <c r="A8" s="218" t="s">
        <v>845</v>
      </c>
      <c r="B8" s="218" t="s">
        <v>844</v>
      </c>
      <c r="C8" s="218" t="s">
        <v>843</v>
      </c>
      <c r="D8" s="246" t="str">
        <f>'[1]Average Meter Type'!D8</f>
        <v>2019 Total Cost</v>
      </c>
      <c r="E8" s="246" t="str">
        <f>'[1]Average Meter Type'!E8</f>
        <v>Average AMI module cost</v>
      </c>
      <c r="F8" s="218" t="s">
        <v>842</v>
      </c>
      <c r="G8" s="218" t="s">
        <v>841</v>
      </c>
      <c r="H8" s="244" t="s">
        <v>783</v>
      </c>
    </row>
    <row r="9" spans="1:8">
      <c r="A9" s="242" t="s">
        <v>397</v>
      </c>
      <c r="E9" s="246"/>
    </row>
    <row r="10" spans="1:8">
      <c r="B10" s="218" t="s">
        <v>796</v>
      </c>
      <c r="C10" s="249">
        <v>0</v>
      </c>
      <c r="D10" s="248">
        <f>VLOOKUP(B10,Cost,4)</f>
        <v>1623.8491769974919</v>
      </c>
      <c r="E10" s="623">
        <f>'[1]Average Meter Type'!E10</f>
        <v>108.2901890287084</v>
      </c>
      <c r="F10" s="248">
        <f>C10*(D10+E10)</f>
        <v>0</v>
      </c>
    </row>
    <row r="11" spans="1:8">
      <c r="B11" s="218" t="s">
        <v>797</v>
      </c>
      <c r="C11" s="249">
        <v>0</v>
      </c>
      <c r="D11" s="248">
        <f>VLOOKUP(B11,Cost,4)</f>
        <v>477.81704767844826</v>
      </c>
      <c r="E11" s="623">
        <f>'[1]Average Meter Type'!E11</f>
        <v>108.2901890287084</v>
      </c>
      <c r="F11" s="248">
        <f>C11*(D11+E11)</f>
        <v>0</v>
      </c>
    </row>
    <row r="12" spans="1:8">
      <c r="B12" s="218" t="s">
        <v>814</v>
      </c>
      <c r="C12" s="249">
        <v>0</v>
      </c>
      <c r="D12" s="248">
        <f>VLOOKUP(B12,Cost,4)</f>
        <v>8698.499503875646</v>
      </c>
      <c r="E12" s="623">
        <f>'[1]Average Meter Type'!E12</f>
        <v>108.2901890287084</v>
      </c>
      <c r="F12" s="248">
        <f>C12*(D12+E12)</f>
        <v>0</v>
      </c>
    </row>
    <row r="13" spans="1:8">
      <c r="B13" s="218" t="s">
        <v>812</v>
      </c>
      <c r="C13" s="249">
        <v>0</v>
      </c>
      <c r="D13" s="248">
        <f>VLOOKUP(B13,Cost,4)</f>
        <v>15090.371703226116</v>
      </c>
      <c r="E13" s="623">
        <f>'[1]Average Meter Type'!E13</f>
        <v>108.2901890287084</v>
      </c>
      <c r="F13" s="248">
        <f>C13*(D13+E13)</f>
        <v>0</v>
      </c>
    </row>
    <row r="14" spans="1:8">
      <c r="B14" s="218" t="s">
        <v>816</v>
      </c>
      <c r="C14" s="249">
        <v>0</v>
      </c>
      <c r="D14" s="248">
        <f>VLOOKUP(B14,Cost,4)</f>
        <v>33237.14720028943</v>
      </c>
      <c r="E14" s="623">
        <f>'[1]Average Meter Type'!E14</f>
        <v>108.2901890287084</v>
      </c>
      <c r="F14" s="248">
        <f>C14*(D14+E14)</f>
        <v>0</v>
      </c>
    </row>
    <row r="15" spans="1:8">
      <c r="A15" s="678">
        <f>'Average Meter Type'!A15</f>
        <v>173108.83333333334</v>
      </c>
      <c r="E15" s="623"/>
      <c r="F15" s="674">
        <f>SUM(F10:F14)</f>
        <v>0</v>
      </c>
      <c r="G15" s="622">
        <f>F15/A15</f>
        <v>0</v>
      </c>
    </row>
    <row r="16" spans="1:8">
      <c r="A16" s="249"/>
      <c r="E16" s="623"/>
      <c r="F16" s="250"/>
      <c r="G16" s="248"/>
    </row>
    <row r="17" spans="1:9">
      <c r="A17" s="242" t="s">
        <v>840</v>
      </c>
      <c r="E17" s="623"/>
    </row>
    <row r="18" spans="1:9">
      <c r="B18" s="218" t="s">
        <v>796</v>
      </c>
      <c r="C18" s="249">
        <v>0</v>
      </c>
      <c r="D18" s="248">
        <f>VLOOKUP(B18,Cost,4)</f>
        <v>1623.8491769974919</v>
      </c>
      <c r="E18" s="623">
        <f>'[1]Average Meter Type'!E18</f>
        <v>128.19145412388207</v>
      </c>
      <c r="F18" s="248">
        <f>C18*(D18+E18)</f>
        <v>0</v>
      </c>
    </row>
    <row r="19" spans="1:9">
      <c r="B19" s="218" t="s">
        <v>797</v>
      </c>
      <c r="C19" s="249">
        <v>0</v>
      </c>
      <c r="D19" s="248">
        <f>VLOOKUP(B19,Cost,4)</f>
        <v>477.81704767844826</v>
      </c>
      <c r="E19" s="623">
        <f>'[1]Average Meter Type'!E19</f>
        <v>128.19145412388207</v>
      </c>
      <c r="F19" s="248">
        <f>C19*(D19+E19)</f>
        <v>0</v>
      </c>
    </row>
    <row r="20" spans="1:9">
      <c r="B20" s="218" t="s">
        <v>814</v>
      </c>
      <c r="C20" s="771">
        <f>'Average Meter Type'!C20</f>
        <v>521.43904345131853</v>
      </c>
      <c r="D20" s="248">
        <f>VLOOKUP(B20,Cost,4)</f>
        <v>8698.499503875646</v>
      </c>
      <c r="E20" s="623">
        <f>'[1]Average Meter Type'!E20</f>
        <v>128.19145412388207</v>
      </c>
      <c r="F20" s="248">
        <f>C20*(D20+E20)</f>
        <v>4602581.2899796767</v>
      </c>
    </row>
    <row r="21" spans="1:9">
      <c r="B21" s="218" t="s">
        <v>812</v>
      </c>
      <c r="C21" s="771">
        <f>'Average Meter Type'!C21</f>
        <v>609.47968817002504</v>
      </c>
      <c r="D21" s="248">
        <f>VLOOKUP(B21,Cost,4)</f>
        <v>15090.371703226116</v>
      </c>
      <c r="E21" s="623">
        <f>'[1]Average Meter Type'!E21</f>
        <v>128.19145412388207</v>
      </c>
      <c r="F21" s="248">
        <f>C21*(D21+E21)</f>
        <v>9275405.1275375076</v>
      </c>
    </row>
    <row r="22" spans="1:9">
      <c r="B22" s="218" t="s">
        <v>816</v>
      </c>
      <c r="C22" s="771">
        <f>'Average Meter Type'!C22</f>
        <v>5.2537938886782714</v>
      </c>
      <c r="D22" s="248">
        <f>VLOOKUP(B22,Cost,4)</f>
        <v>33237.14720028943</v>
      </c>
      <c r="E22" s="623">
        <f>'[1]Average Meter Type'!E22</f>
        <v>128.19145412388207</v>
      </c>
      <c r="F22" s="248">
        <f>C22*(D22+E22)</f>
        <v>175294.61231623756</v>
      </c>
    </row>
    <row r="23" spans="1:9">
      <c r="A23" s="678">
        <f>'Average Meter Type'!A23</f>
        <v>3464.9166666666665</v>
      </c>
      <c r="E23" s="623"/>
      <c r="F23" s="669">
        <f>SUM(F18:F22)</f>
        <v>14053281.029833423</v>
      </c>
      <c r="G23" s="248">
        <f>F23/A23</f>
        <v>4055.8785049664752</v>
      </c>
      <c r="H23" s="238">
        <f>G23/$G$23</f>
        <v>1</v>
      </c>
    </row>
    <row r="24" spans="1:9">
      <c r="E24" s="623"/>
      <c r="H24" s="240"/>
    </row>
    <row r="25" spans="1:9">
      <c r="A25" s="242" t="s">
        <v>839</v>
      </c>
      <c r="E25" s="623"/>
      <c r="H25" s="240"/>
    </row>
    <row r="26" spans="1:9">
      <c r="B26" s="218" t="s">
        <v>796</v>
      </c>
      <c r="C26" s="241">
        <v>0</v>
      </c>
      <c r="D26" s="248">
        <f>VLOOKUP(B26,Cost,4)</f>
        <v>1623.8491769974919</v>
      </c>
      <c r="E26" s="623">
        <f>'[1]Average Meter Type'!E26</f>
        <v>0</v>
      </c>
      <c r="F26" s="248">
        <f>C26*D26</f>
        <v>0</v>
      </c>
      <c r="H26" s="240"/>
    </row>
    <row r="27" spans="1:9">
      <c r="B27" s="218" t="s">
        <v>797</v>
      </c>
      <c r="C27" s="241">
        <f>'[1]Average Meter Type'!C27</f>
        <v>0</v>
      </c>
      <c r="D27" s="248">
        <f>VLOOKUP(B27,Cost,4)</f>
        <v>477.81704767844826</v>
      </c>
      <c r="E27" s="623">
        <f>'[1]Average Meter Type'!E27</f>
        <v>0</v>
      </c>
      <c r="F27" s="248">
        <f>C27*D27</f>
        <v>0</v>
      </c>
      <c r="H27" s="240"/>
    </row>
    <row r="28" spans="1:9">
      <c r="B28" s="218" t="s">
        <v>814</v>
      </c>
      <c r="C28" s="241">
        <f>'[1]Average Meter Type'!C28</f>
        <v>0</v>
      </c>
      <c r="D28" s="248">
        <f>VLOOKUP(B28,Cost,4)</f>
        <v>8698.499503875646</v>
      </c>
      <c r="E28" s="623">
        <f>'[1]Average Meter Type'!E28</f>
        <v>0</v>
      </c>
      <c r="F28" s="248">
        <f>C28*D28</f>
        <v>0</v>
      </c>
      <c r="H28" s="240"/>
    </row>
    <row r="29" spans="1:9">
      <c r="B29" s="218" t="s">
        <v>812</v>
      </c>
      <c r="C29" s="241">
        <f>'[1]Average Meter Type'!C29</f>
        <v>0</v>
      </c>
      <c r="D29" s="248">
        <f>VLOOKUP(B29,Cost,4)</f>
        <v>15090.371703226116</v>
      </c>
      <c r="E29" s="623">
        <f>'[1]Average Meter Type'!E29</f>
        <v>0</v>
      </c>
      <c r="F29" s="248">
        <f>C29*D29</f>
        <v>0</v>
      </c>
      <c r="H29" s="240"/>
    </row>
    <row r="30" spans="1:9">
      <c r="B30" s="218" t="s">
        <v>816</v>
      </c>
      <c r="C30" s="241">
        <f>'[1]Average Meter Type'!C30</f>
        <v>0</v>
      </c>
      <c r="D30" s="248">
        <f>VLOOKUP(B30,Cost,4)</f>
        <v>33237.14720028943</v>
      </c>
      <c r="E30" s="623">
        <f>'[1]Average Meter Type'!E30</f>
        <v>0</v>
      </c>
      <c r="F30" s="248">
        <f>C30*D30</f>
        <v>0</v>
      </c>
      <c r="H30" s="240"/>
    </row>
    <row r="31" spans="1:9">
      <c r="A31" s="678">
        <f>'Average Meter Type'!A31</f>
        <v>8.3333333333333339E-4</v>
      </c>
      <c r="E31" s="623"/>
      <c r="F31" s="669">
        <f>SUM(F26:F30)</f>
        <v>0</v>
      </c>
      <c r="G31" s="248">
        <f>F31/A31</f>
        <v>0</v>
      </c>
      <c r="H31" s="238">
        <f>G31/$G$23</f>
        <v>0</v>
      </c>
      <c r="I31" s="237"/>
    </row>
    <row r="32" spans="1:9">
      <c r="E32" s="623"/>
      <c r="H32" s="240"/>
    </row>
    <row r="33" spans="1:9">
      <c r="A33" s="242" t="s">
        <v>838</v>
      </c>
      <c r="E33" s="623"/>
      <c r="H33" s="240"/>
    </row>
    <row r="34" spans="1:9">
      <c r="B34" s="218" t="s">
        <v>796</v>
      </c>
      <c r="C34" s="241">
        <f>'[1]Meters 121_131_146'!C37</f>
        <v>0</v>
      </c>
      <c r="D34" s="248">
        <f>VLOOKUP(B34,Cost,4)</f>
        <v>1623.8491769974919</v>
      </c>
      <c r="E34" s="623">
        <f>'[1]Average Meter Type'!E34</f>
        <v>180</v>
      </c>
      <c r="F34" s="248">
        <f>C34*(D34+E34)</f>
        <v>0</v>
      </c>
      <c r="H34" s="240"/>
    </row>
    <row r="35" spans="1:9">
      <c r="B35" s="218" t="s">
        <v>797</v>
      </c>
      <c r="C35" s="241">
        <f>'[1]Meters 121_131_146'!C38</f>
        <v>0</v>
      </c>
      <c r="D35" s="248">
        <f>VLOOKUP(B35,Cost,4)</f>
        <v>477.81704767844826</v>
      </c>
      <c r="E35" s="623">
        <f>'[1]Average Meter Type'!E35</f>
        <v>180</v>
      </c>
      <c r="F35" s="248">
        <f>C35*(D35+E35)</f>
        <v>0</v>
      </c>
      <c r="H35" s="240"/>
    </row>
    <row r="36" spans="1:9">
      <c r="B36" s="218" t="s">
        <v>814</v>
      </c>
      <c r="C36" s="241">
        <f>'[1]Average Meter Type'!C36</f>
        <v>0</v>
      </c>
      <c r="D36" s="248">
        <f>VLOOKUP(B36,Cost,4)</f>
        <v>8698.499503875646</v>
      </c>
      <c r="E36" s="623">
        <f>'[1]Average Meter Type'!E36</f>
        <v>180</v>
      </c>
      <c r="F36" s="248">
        <f>C36*(D36+E36)</f>
        <v>0</v>
      </c>
      <c r="H36" s="240"/>
    </row>
    <row r="37" spans="1:9">
      <c r="B37" s="218" t="s">
        <v>812</v>
      </c>
      <c r="C37" s="241">
        <f>'[1]Average Meter Type'!C37</f>
        <v>0</v>
      </c>
      <c r="D37" s="248">
        <f>VLOOKUP(B37,Cost,4)</f>
        <v>15090.371703226116</v>
      </c>
      <c r="E37" s="623">
        <f>'[1]Average Meter Type'!E37</f>
        <v>180</v>
      </c>
      <c r="F37" s="248">
        <f>C37*(D37+E37)</f>
        <v>0</v>
      </c>
      <c r="H37" s="240"/>
    </row>
    <row r="38" spans="1:9">
      <c r="B38" s="218" t="s">
        <v>816</v>
      </c>
      <c r="C38" s="771">
        <f>'Average Meter Type'!C38</f>
        <v>4</v>
      </c>
      <c r="D38" s="248">
        <f>VLOOKUP(B38,Cost,4)</f>
        <v>33237.14720028943</v>
      </c>
      <c r="E38" s="623">
        <f>'[1]Average Meter Type'!E38</f>
        <v>180</v>
      </c>
      <c r="F38" s="248">
        <f>C38*(D38+E38)</f>
        <v>133668.58880115772</v>
      </c>
      <c r="H38" s="240"/>
    </row>
    <row r="39" spans="1:9">
      <c r="A39" s="678">
        <f>'Average Meter Type'!A39</f>
        <v>3.25</v>
      </c>
      <c r="E39" s="623"/>
      <c r="F39" s="669">
        <f>SUM(F34:F38)</f>
        <v>133668.58880115772</v>
      </c>
      <c r="G39" s="248">
        <f>F39/A39</f>
        <v>41128.796554202374</v>
      </c>
      <c r="H39" s="238">
        <f>G39/$G$23</f>
        <v>10.140539590581827</v>
      </c>
      <c r="I39" s="237"/>
    </row>
    <row r="40" spans="1:9">
      <c r="E40" s="623"/>
      <c r="H40" s="240"/>
    </row>
    <row r="41" spans="1:9">
      <c r="A41" s="242" t="s">
        <v>401</v>
      </c>
      <c r="E41" s="623"/>
      <c r="H41" s="240"/>
    </row>
    <row r="42" spans="1:9">
      <c r="B42" s="218" t="s">
        <v>796</v>
      </c>
      <c r="C42" s="771">
        <v>0</v>
      </c>
      <c r="D42" s="248">
        <f>VLOOKUP(B42,Cost,4)</f>
        <v>1623.8491769974919</v>
      </c>
      <c r="E42" s="623">
        <f>'[1]Average Meter Type'!E42</f>
        <v>0</v>
      </c>
      <c r="F42" s="248">
        <f>C42*(D42+E42)</f>
        <v>0</v>
      </c>
      <c r="H42" s="240"/>
    </row>
    <row r="43" spans="1:9">
      <c r="B43" s="218" t="s">
        <v>797</v>
      </c>
      <c r="C43" s="241">
        <v>0</v>
      </c>
      <c r="D43" s="248">
        <f>VLOOKUP(B43,Cost,4)</f>
        <v>477.81704767844826</v>
      </c>
      <c r="E43" s="623">
        <f>'[1]Average Meter Type'!E43</f>
        <v>0</v>
      </c>
      <c r="F43" s="248">
        <f>C43*(D43+E43)</f>
        <v>0</v>
      </c>
      <c r="H43" s="240"/>
    </row>
    <row r="44" spans="1:9">
      <c r="B44" s="218" t="s">
        <v>814</v>
      </c>
      <c r="C44" s="771">
        <f>'Average Meter Type'!C44</f>
        <v>8</v>
      </c>
      <c r="D44" s="248">
        <f>VLOOKUP(B44,Cost,4)</f>
        <v>8698.499503875646</v>
      </c>
      <c r="E44" s="623">
        <f>'[1]Average Meter Type'!E44</f>
        <v>0</v>
      </c>
      <c r="F44" s="248">
        <f>C44*(D44+E44)</f>
        <v>69587.996031005168</v>
      </c>
      <c r="H44" s="240"/>
    </row>
    <row r="45" spans="1:9">
      <c r="B45" s="218" t="s">
        <v>812</v>
      </c>
      <c r="C45" s="771">
        <f>'Average Meter Type'!C45</f>
        <v>18</v>
      </c>
      <c r="D45" s="248">
        <f>VLOOKUP(B45,Cost,4)</f>
        <v>15090.371703226116</v>
      </c>
      <c r="E45" s="623">
        <f>'[1]Average Meter Type'!E45</f>
        <v>0</v>
      </c>
      <c r="F45" s="248">
        <f>C45*(D45+E45)</f>
        <v>271626.69065807009</v>
      </c>
      <c r="H45" s="240"/>
    </row>
    <row r="46" spans="1:9">
      <c r="B46" s="218" t="s">
        <v>816</v>
      </c>
      <c r="C46" s="771">
        <f>'Average Meter Type'!C46</f>
        <v>13</v>
      </c>
      <c r="D46" s="248">
        <f>VLOOKUP(B46,Cost,4)</f>
        <v>33237.14720028943</v>
      </c>
      <c r="E46" s="623">
        <f>'[1]Average Meter Type'!E46</f>
        <v>0</v>
      </c>
      <c r="F46" s="248">
        <f>C46*(D46+E46)</f>
        <v>432082.91360376257</v>
      </c>
      <c r="H46" s="240"/>
    </row>
    <row r="47" spans="1:9">
      <c r="A47" s="678">
        <f>'Average Meter Type'!A47</f>
        <v>38.833333333333336</v>
      </c>
      <c r="F47" s="669">
        <f>SUM(F42:F46)</f>
        <v>773297.60029283783</v>
      </c>
      <c r="G47" s="248">
        <f>F47/A47</f>
        <v>19913.242925995823</v>
      </c>
      <c r="H47" s="238">
        <f>G47/$G$23</f>
        <v>4.9097237260957893</v>
      </c>
      <c r="I47" s="237"/>
    </row>
    <row r="48" spans="1:9">
      <c r="H48" s="240"/>
    </row>
    <row r="49" spans="1:8">
      <c r="A49" s="249"/>
      <c r="F49" s="237"/>
      <c r="G49" s="248"/>
      <c r="H49" s="238"/>
    </row>
    <row r="50" spans="1:8">
      <c r="A50" s="249"/>
      <c r="F50" s="237"/>
      <c r="G50" s="248"/>
      <c r="H50" s="238"/>
    </row>
    <row r="51" spans="1:8">
      <c r="A51" s="235" t="str">
        <f>'[1]Average Meter Type'!A51</f>
        <v>Equip Type</v>
      </c>
      <c r="B51" s="234" t="str">
        <f>'[1]Average Meter Type'!B51</f>
        <v>Orig Cost</v>
      </c>
      <c r="C51" s="234" t="str">
        <f>'[1]Average Meter Type'!C51</f>
        <v>Install Cost</v>
      </c>
      <c r="D51" s="233" t="str">
        <f>'[1]Average Meter Type'!D51</f>
        <v>2019 Total Cost</v>
      </c>
      <c r="E51" s="233"/>
    </row>
    <row r="52" spans="1:8">
      <c r="A52" s="218" t="str">
        <f>'[1]Average Meter Type'!A52</f>
        <v>COM</v>
      </c>
      <c r="B52" s="247">
        <f>'Average Meter Type'!B52</f>
        <v>1487.1156515844095</v>
      </c>
      <c r="C52" s="247">
        <f>'Average Meter Type'!C52</f>
        <v>136.73352541308239</v>
      </c>
      <c r="D52" s="247">
        <f>SUM(B52:C52)</f>
        <v>1623.8491769974919</v>
      </c>
      <c r="E52" s="247"/>
    </row>
    <row r="53" spans="1:8">
      <c r="A53" s="218" t="str">
        <f>'[1]Average Meter Type'!A53</f>
        <v>DOM</v>
      </c>
      <c r="B53" s="247">
        <f>'Average Meter Type'!B53</f>
        <v>371.11686600644828</v>
      </c>
      <c r="C53" s="247">
        <f>'Average Meter Type'!C53</f>
        <v>106.70018167199999</v>
      </c>
      <c r="D53" s="247">
        <f t="shared" ref="D53:D56" si="0">SUM(B53:C53)</f>
        <v>477.81704767844826</v>
      </c>
      <c r="E53" s="247"/>
    </row>
    <row r="54" spans="1:8">
      <c r="A54" s="218" t="str">
        <f>'[1]Average Meter Type'!A54</f>
        <v>IND</v>
      </c>
      <c r="B54" s="247">
        <f>'Average Meter Type'!B54</f>
        <v>8331.251974863646</v>
      </c>
      <c r="C54" s="247">
        <f>'Average Meter Type'!C54</f>
        <v>367.24752901199997</v>
      </c>
      <c r="D54" s="247">
        <f t="shared" si="0"/>
        <v>8698.499503875646</v>
      </c>
      <c r="E54" s="247"/>
    </row>
    <row r="55" spans="1:8">
      <c r="A55" s="218" t="str">
        <f>'[1]Average Meter Type'!A55</f>
        <v>ROT</v>
      </c>
      <c r="B55" s="247">
        <f>'Average Meter Type'!B55</f>
        <v>14129.956803418116</v>
      </c>
      <c r="C55" s="247">
        <f>'Average Meter Type'!C55</f>
        <v>960.41489980800031</v>
      </c>
      <c r="D55" s="247">
        <f t="shared" si="0"/>
        <v>15090.371703226116</v>
      </c>
      <c r="E55" s="247"/>
    </row>
    <row r="56" spans="1:8">
      <c r="A56" s="218" t="str">
        <f>'[1]Average Meter Type'!A56</f>
        <v>TBN</v>
      </c>
      <c r="B56" s="247">
        <f>'Average Meter Type'!B56</f>
        <v>27744.32</v>
      </c>
      <c r="C56" s="247">
        <f>'Average Meter Type'!C56</f>
        <v>5492.8272002894264</v>
      </c>
      <c r="D56" s="247">
        <f t="shared" si="0"/>
        <v>33237.14720028943</v>
      </c>
      <c r="E56" s="247"/>
    </row>
  </sheetData>
  <printOptions horizontalCentered="1"/>
  <pageMargins left="0.75" right="0.75" top="1" bottom="1" header="0.68" footer="0.5"/>
  <pageSetup scale="89" orientation="portrait" r:id="rId1"/>
  <headerFooter alignWithMargins="0">
    <oddHeader>&amp;A</oddHeader>
    <oddFooter>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>
    <tabColor rgb="FF00B0F0"/>
  </sheetPr>
  <dimension ref="A1:H21"/>
  <sheetViews>
    <sheetView zoomScaleNormal="100" zoomScaleSheetLayoutView="100" workbookViewId="0">
      <selection activeCell="E19" sqref="E19"/>
    </sheetView>
  </sheetViews>
  <sheetFormatPr defaultColWidth="9.140625" defaultRowHeight="12.75"/>
  <cols>
    <col min="1" max="4" width="9.140625" style="218"/>
    <col min="5" max="5" width="11" style="218" customWidth="1"/>
    <col min="6" max="16384" width="9.140625" style="218"/>
  </cols>
  <sheetData>
    <row r="1" spans="1:8">
      <c r="A1" s="218" t="s">
        <v>811</v>
      </c>
    </row>
    <row r="2" spans="1:8">
      <c r="A2" s="218" t="s">
        <v>849</v>
      </c>
    </row>
    <row r="3" spans="1:8">
      <c r="A3" s="218" t="s">
        <v>808</v>
      </c>
    </row>
    <row r="4" spans="1:8">
      <c r="A4" s="478" t="s">
        <v>1651</v>
      </c>
      <c r="B4" s="220"/>
      <c r="C4" s="220"/>
      <c r="D4" s="220"/>
    </row>
    <row r="7" spans="1:8">
      <c r="A7" s="240" t="s">
        <v>854</v>
      </c>
    </row>
    <row r="9" spans="1:8">
      <c r="A9" s="218" t="s">
        <v>853</v>
      </c>
      <c r="E9" s="394">
        <f>PROFORMA!AW136</f>
        <v>942000</v>
      </c>
    </row>
    <row r="10" spans="1:8">
      <c r="E10" s="392"/>
    </row>
    <row r="11" spans="1:8">
      <c r="A11" s="218" t="s">
        <v>181</v>
      </c>
      <c r="E11" s="660">
        <v>1006744</v>
      </c>
      <c r="G11" s="220" t="s">
        <v>983</v>
      </c>
      <c r="H11" s="220"/>
    </row>
    <row r="12" spans="1:8">
      <c r="A12" s="218" t="s">
        <v>1020</v>
      </c>
      <c r="E12" s="394">
        <f>PROFORMA!S136</f>
        <v>0</v>
      </c>
      <c r="G12" s="220" t="s">
        <v>1021</v>
      </c>
      <c r="H12" s="220"/>
    </row>
    <row r="13" spans="1:8">
      <c r="A13" s="218" t="s">
        <v>1022</v>
      </c>
      <c r="E13" s="394">
        <f>PROFORMA!T136</f>
        <v>1000</v>
      </c>
      <c r="G13" s="220" t="s">
        <v>1023</v>
      </c>
      <c r="H13" s="220"/>
    </row>
    <row r="14" spans="1:8">
      <c r="A14" s="218" t="s">
        <v>1030</v>
      </c>
      <c r="E14" s="394">
        <f>PROFORMA!U136</f>
        <v>0</v>
      </c>
      <c r="G14" s="220" t="s">
        <v>1032</v>
      </c>
      <c r="H14" s="220"/>
    </row>
    <row r="15" spans="1:8">
      <c r="A15" s="218" t="s">
        <v>1031</v>
      </c>
      <c r="E15" s="394">
        <f>PROFORMA!AC136</f>
        <v>0</v>
      </c>
      <c r="G15" s="220" t="s">
        <v>1144</v>
      </c>
      <c r="H15" s="220"/>
    </row>
    <row r="16" spans="1:8">
      <c r="A16" s="218" t="s">
        <v>852</v>
      </c>
      <c r="E16" s="394">
        <f>PROFORMA!Y136</f>
        <v>-358000</v>
      </c>
      <c r="G16" s="220" t="s">
        <v>1053</v>
      </c>
      <c r="H16" s="220"/>
    </row>
    <row r="17" spans="1:5">
      <c r="A17" s="218" t="s">
        <v>851</v>
      </c>
      <c r="E17" s="254">
        <f>SUM(E11:E16)</f>
        <v>649744</v>
      </c>
    </row>
    <row r="18" spans="1:5">
      <c r="E18" s="236"/>
    </row>
    <row r="19" spans="1:5">
      <c r="A19" s="218" t="s">
        <v>850</v>
      </c>
      <c r="E19" s="236">
        <f>E9-E17</f>
        <v>292256</v>
      </c>
    </row>
    <row r="20" spans="1:5">
      <c r="E20" s="236"/>
    </row>
    <row r="21" spans="1:5">
      <c r="E21" s="395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tabColor rgb="FF00B0F0"/>
  </sheetPr>
  <dimension ref="A1:M31"/>
  <sheetViews>
    <sheetView zoomScaleNormal="100" zoomScaleSheetLayoutView="100" workbookViewId="0">
      <selection activeCell="G22" sqref="G22"/>
    </sheetView>
  </sheetViews>
  <sheetFormatPr defaultColWidth="9.140625" defaultRowHeight="12.75"/>
  <cols>
    <col min="1" max="2" width="9.140625" style="218"/>
    <col min="3" max="3" width="14.42578125" style="218" customWidth="1"/>
    <col min="4" max="4" width="10.5703125" style="218" customWidth="1"/>
    <col min="5" max="5" width="13" style="218" customWidth="1"/>
    <col min="6" max="7" width="10.5703125" style="218" customWidth="1"/>
    <col min="8" max="16384" width="9.140625" style="218"/>
  </cols>
  <sheetData>
    <row r="1" spans="1:7">
      <c r="A1" s="218" t="s">
        <v>811</v>
      </c>
    </row>
    <row r="2" spans="1:7">
      <c r="A2" s="218" t="s">
        <v>849</v>
      </c>
    </row>
    <row r="3" spans="1:7">
      <c r="A3" s="218" t="s">
        <v>808</v>
      </c>
    </row>
    <row r="4" spans="1:7">
      <c r="A4" s="218" t="str">
        <f>'Acct 928'!A4</f>
        <v>Twelve Months Ended June 30, 2023</v>
      </c>
    </row>
    <row r="7" spans="1:7">
      <c r="A7" s="240" t="s">
        <v>865</v>
      </c>
    </row>
    <row r="9" spans="1:7">
      <c r="A9" s="226" t="s">
        <v>864</v>
      </c>
      <c r="B9" s="226"/>
      <c r="C9" s="226"/>
      <c r="D9" s="261"/>
      <c r="E9" s="259"/>
    </row>
    <row r="10" spans="1:7">
      <c r="A10" s="226" t="s">
        <v>1059</v>
      </c>
      <c r="B10" s="226"/>
      <c r="C10" s="226"/>
      <c r="D10" s="226"/>
      <c r="E10" s="259"/>
    </row>
    <row r="11" spans="1:7">
      <c r="A11" s="252" t="s">
        <v>863</v>
      </c>
      <c r="B11" s="226"/>
      <c r="C11" s="226"/>
      <c r="D11" s="226"/>
      <c r="E11" s="256"/>
    </row>
    <row r="12" spans="1:7">
      <c r="A12" s="226"/>
      <c r="B12" s="226"/>
      <c r="C12" s="226"/>
      <c r="D12" s="226"/>
      <c r="E12" s="226"/>
    </row>
    <row r="13" spans="1:7">
      <c r="A13" s="252"/>
      <c r="B13" s="226"/>
      <c r="C13" s="226"/>
      <c r="D13" s="226"/>
      <c r="E13" s="244" t="s">
        <v>862</v>
      </c>
    </row>
    <row r="14" spans="1:7">
      <c r="A14" s="226"/>
      <c r="B14" s="226"/>
      <c r="C14" s="256"/>
      <c r="D14" s="244" t="s">
        <v>120</v>
      </c>
      <c r="E14" s="244" t="s">
        <v>861</v>
      </c>
      <c r="F14" s="244" t="s">
        <v>860</v>
      </c>
      <c r="G14" s="260" t="s">
        <v>859</v>
      </c>
    </row>
    <row r="15" spans="1:7">
      <c r="A15" s="226" t="s">
        <v>848</v>
      </c>
      <c r="B15" s="226"/>
      <c r="C15" s="259"/>
      <c r="D15" s="468">
        <f>PROFORMA!F31</f>
        <v>781000</v>
      </c>
      <c r="E15" s="658">
        <f>'Acct 813 Analysis'!B25</f>
        <v>0.226763640266188</v>
      </c>
      <c r="F15" s="241">
        <f>ROUND(D15*E15,-3)</f>
        <v>177000</v>
      </c>
      <c r="G15" s="251">
        <f>D15-F15</f>
        <v>604000</v>
      </c>
    </row>
    <row r="16" spans="1:7">
      <c r="A16" s="252" t="s">
        <v>1054</v>
      </c>
      <c r="B16" s="226"/>
      <c r="C16" s="259"/>
      <c r="D16" s="468">
        <f>PROFORMA!AC31</f>
        <v>69000</v>
      </c>
      <c r="E16" s="469">
        <f>E15</f>
        <v>0.226763640266188</v>
      </c>
      <c r="F16" s="241">
        <f>ROUND(D16*E16,-3)</f>
        <v>16000</v>
      </c>
      <c r="G16" s="251">
        <f>D16-F16</f>
        <v>53000</v>
      </c>
    </row>
    <row r="17" spans="1:13">
      <c r="A17" s="252" t="s">
        <v>1056</v>
      </c>
      <c r="B17" s="226"/>
      <c r="C17" s="256"/>
      <c r="D17" s="468">
        <f>PROFORMA!AD31</f>
        <v>0</v>
      </c>
      <c r="E17" s="469">
        <f>E15</f>
        <v>0.226763640266188</v>
      </c>
      <c r="F17" s="241">
        <f>ROUND(D17*E17,-3)</f>
        <v>0</v>
      </c>
      <c r="G17" s="251">
        <f>D17-F17</f>
        <v>0</v>
      </c>
    </row>
    <row r="18" spans="1:13">
      <c r="A18" s="252" t="s">
        <v>1273</v>
      </c>
      <c r="B18" s="226"/>
      <c r="C18" s="256"/>
      <c r="D18" s="468">
        <f>PROFORMA!AL31</f>
        <v>13000</v>
      </c>
      <c r="E18" s="469">
        <f>E16</f>
        <v>0.226763640266188</v>
      </c>
      <c r="F18" s="241">
        <f>ROUND(D18*E18,-3)</f>
        <v>3000</v>
      </c>
      <c r="G18" s="251">
        <f>D18-F18</f>
        <v>10000</v>
      </c>
    </row>
    <row r="19" spans="1:13">
      <c r="A19" s="252" t="s">
        <v>1055</v>
      </c>
      <c r="B19" s="226"/>
      <c r="C19" s="256"/>
      <c r="D19" s="468">
        <f>PROFORMA!AE31</f>
        <v>2000</v>
      </c>
      <c r="E19" s="469">
        <f>E15</f>
        <v>0.226763640266188</v>
      </c>
      <c r="F19" s="241">
        <f>ROUND(D19*E19,-3)</f>
        <v>0</v>
      </c>
      <c r="G19" s="251">
        <f>D19-F19</f>
        <v>2000</v>
      </c>
    </row>
    <row r="20" spans="1:13">
      <c r="A20" s="252" t="s">
        <v>858</v>
      </c>
      <c r="B20" s="226"/>
      <c r="C20" s="256"/>
      <c r="D20" s="253">
        <f>SUM(D15:D19)</f>
        <v>865000</v>
      </c>
      <c r="F20" s="253">
        <f>SUM(F15:F19)</f>
        <v>196000</v>
      </c>
      <c r="G20" s="253">
        <f>SUM(G15:G19)</f>
        <v>669000</v>
      </c>
      <c r="M20" s="395">
        <f>D20-PROFORMA!AY31</f>
        <v>0</v>
      </c>
    </row>
    <row r="21" spans="1:13">
      <c r="A21" s="226"/>
      <c r="B21" s="226"/>
      <c r="C21" s="226"/>
      <c r="D21" s="226"/>
      <c r="E21" s="226"/>
    </row>
    <row r="22" spans="1:13">
      <c r="A22" s="226"/>
      <c r="B22" s="226" t="s">
        <v>352</v>
      </c>
      <c r="C22" s="226"/>
      <c r="D22" s="226"/>
      <c r="E22" s="226"/>
      <c r="F22" s="659">
        <v>0.75</v>
      </c>
      <c r="G22" s="659">
        <v>0.05</v>
      </c>
    </row>
    <row r="23" spans="1:13">
      <c r="A23" s="226"/>
      <c r="B23" s="226" t="s">
        <v>405</v>
      </c>
      <c r="C23" s="226"/>
      <c r="D23" s="226"/>
      <c r="E23" s="226"/>
      <c r="F23" s="258">
        <f>1-F22</f>
        <v>0.25</v>
      </c>
      <c r="G23" s="258">
        <f>1-G22</f>
        <v>0.95</v>
      </c>
    </row>
    <row r="24" spans="1:13">
      <c r="A24" s="226"/>
      <c r="B24" s="226"/>
      <c r="C24" s="226"/>
      <c r="D24" s="226"/>
      <c r="E24" s="257"/>
    </row>
    <row r="25" spans="1:13">
      <c r="A25" s="226"/>
      <c r="B25" s="226" t="s">
        <v>352</v>
      </c>
      <c r="C25" s="226"/>
      <c r="D25" s="256">
        <f>F25+G25</f>
        <v>180450</v>
      </c>
      <c r="E25" s="226"/>
      <c r="F25" s="241">
        <f>F$20*F22</f>
        <v>147000</v>
      </c>
      <c r="G25" s="241">
        <f>G$20*G22</f>
        <v>33450</v>
      </c>
    </row>
    <row r="26" spans="1:13">
      <c r="A26" s="226"/>
      <c r="B26" s="226" t="s">
        <v>405</v>
      </c>
      <c r="C26" s="226"/>
      <c r="D26" s="256">
        <f>F26+G26</f>
        <v>684550</v>
      </c>
      <c r="E26" s="226"/>
      <c r="F26" s="241">
        <f>F$20*F23</f>
        <v>49000</v>
      </c>
      <c r="G26" s="241">
        <f>G$20*G23</f>
        <v>635550</v>
      </c>
    </row>
    <row r="27" spans="1:13">
      <c r="A27" s="226"/>
      <c r="B27" s="226"/>
      <c r="C27" s="226"/>
      <c r="D27" s="256"/>
      <c r="E27" s="226"/>
      <c r="F27" s="241"/>
      <c r="G27" s="241"/>
    </row>
    <row r="28" spans="1:13">
      <c r="B28" s="226" t="s">
        <v>857</v>
      </c>
      <c r="E28" s="255">
        <f>ROUND(D25/SUM($D$25:$D$26),4)</f>
        <v>0.20860000000000001</v>
      </c>
    </row>
    <row r="29" spans="1:13">
      <c r="B29" s="226" t="s">
        <v>856</v>
      </c>
      <c r="E29" s="255">
        <f>ROUND(D26/SUM($D$25:$D$26),4)</f>
        <v>0.79139999999999999</v>
      </c>
    </row>
    <row r="31" spans="1:13">
      <c r="B31" s="218" t="s">
        <v>855</v>
      </c>
    </row>
  </sheetData>
  <conditionalFormatting sqref="M20">
    <cfRule type="cellIs" dxfId="1" priority="1" operator="notEqual">
      <formula>0</formula>
    </cfRule>
    <cfRule type="cellIs" dxfId="0" priority="2" operator="greaterThan">
      <formula>0</formula>
    </cfRule>
  </conditionalFormatting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8D530-C714-43C6-B2DB-EA04830F8578}">
  <sheetPr>
    <tabColor rgb="FF00B0F0"/>
  </sheetPr>
  <dimension ref="A1:C27"/>
  <sheetViews>
    <sheetView workbookViewId="0">
      <selection activeCell="A28" sqref="A28"/>
    </sheetView>
  </sheetViews>
  <sheetFormatPr defaultRowHeight="12.75"/>
  <cols>
    <col min="1" max="1" width="17.28515625" customWidth="1"/>
    <col min="2" max="2" width="24.42578125" bestFit="1" customWidth="1"/>
    <col min="3" max="3" width="10.140625" bestFit="1" customWidth="1"/>
  </cols>
  <sheetData>
    <row r="1" spans="1:3">
      <c r="A1" t="s">
        <v>1596</v>
      </c>
      <c r="B1" t="s">
        <v>1597</v>
      </c>
    </row>
    <row r="3" spans="1:3">
      <c r="A3" s="425" t="s">
        <v>1652</v>
      </c>
      <c r="B3" s="425" t="s">
        <v>1598</v>
      </c>
    </row>
    <row r="4" spans="1:3">
      <c r="A4" s="769" t="s">
        <v>1653</v>
      </c>
      <c r="B4" s="770">
        <v>67216.5</v>
      </c>
      <c r="C4" s="769" t="s">
        <v>860</v>
      </c>
    </row>
    <row r="5" spans="1:3">
      <c r="A5" t="s">
        <v>1599</v>
      </c>
      <c r="B5" s="413">
        <v>69442.19</v>
      </c>
    </row>
    <row r="6" spans="1:3">
      <c r="A6" t="s">
        <v>1654</v>
      </c>
      <c r="B6" s="413">
        <v>30998</v>
      </c>
    </row>
    <row r="7" spans="1:3">
      <c r="A7" t="s">
        <v>1655</v>
      </c>
      <c r="B7" s="413">
        <v>18806.37</v>
      </c>
    </row>
    <row r="8" spans="1:3">
      <c r="A8" t="s">
        <v>1656</v>
      </c>
      <c r="B8" s="413">
        <v>39092.9</v>
      </c>
    </row>
    <row r="9" spans="1:3">
      <c r="A9" t="s">
        <v>1600</v>
      </c>
      <c r="B9" s="413">
        <v>100680.51000000001</v>
      </c>
    </row>
    <row r="10" spans="1:3">
      <c r="A10" t="s">
        <v>1601</v>
      </c>
      <c r="B10" s="413">
        <v>113846.64000000001</v>
      </c>
    </row>
    <row r="11" spans="1:3">
      <c r="A11" t="s">
        <v>1602</v>
      </c>
      <c r="B11" s="413">
        <v>105892.59</v>
      </c>
      <c r="C11" t="s">
        <v>1603</v>
      </c>
    </row>
    <row r="12" spans="1:3">
      <c r="A12" s="769" t="s">
        <v>1604</v>
      </c>
      <c r="B12" s="770">
        <v>63412.62</v>
      </c>
      <c r="C12" s="769" t="s">
        <v>860</v>
      </c>
    </row>
    <row r="13" spans="1:3">
      <c r="A13" t="s">
        <v>1605</v>
      </c>
      <c r="B13" s="413">
        <v>74242.069999999992</v>
      </c>
    </row>
    <row r="14" spans="1:3">
      <c r="A14" t="s">
        <v>1657</v>
      </c>
      <c r="B14" s="413">
        <v>18364.400000000001</v>
      </c>
    </row>
    <row r="15" spans="1:3">
      <c r="A15" s="769" t="s">
        <v>1606</v>
      </c>
      <c r="B15" s="770">
        <v>17726.400000000001</v>
      </c>
      <c r="C15" s="769" t="s">
        <v>860</v>
      </c>
    </row>
    <row r="16" spans="1:3">
      <c r="A16" s="769" t="s">
        <v>1607</v>
      </c>
      <c r="B16" s="770">
        <v>93874.65</v>
      </c>
      <c r="C16" s="769" t="s">
        <v>860</v>
      </c>
    </row>
    <row r="17" spans="1:3">
      <c r="A17" t="s">
        <v>1608</v>
      </c>
      <c r="B17" s="413">
        <v>118834.48999999999</v>
      </c>
      <c r="C17" t="s">
        <v>1603</v>
      </c>
    </row>
    <row r="18" spans="1:3">
      <c r="A18" t="s">
        <v>1609</v>
      </c>
      <c r="B18" s="413">
        <v>135775.18</v>
      </c>
    </row>
    <row r="19" spans="1:3">
      <c r="A19" t="s">
        <v>1316</v>
      </c>
      <c r="B19" s="768">
        <v>426380.4000000002</v>
      </c>
    </row>
    <row r="20" spans="1:3">
      <c r="A20" t="s">
        <v>1610</v>
      </c>
      <c r="B20" s="413">
        <f>SUM(B4:B19)</f>
        <v>1494585.9100000001</v>
      </c>
    </row>
    <row r="21" spans="1:3">
      <c r="B21" s="413"/>
    </row>
    <row r="22" spans="1:3" ht="25.5">
      <c r="A22" s="746" t="s">
        <v>1611</v>
      </c>
      <c r="B22" s="413">
        <f>SUM(B4,B12,B15:B16)</f>
        <v>242230.16999999998</v>
      </c>
    </row>
    <row r="23" spans="1:3">
      <c r="A23" t="s">
        <v>1612</v>
      </c>
      <c r="B23" s="413">
        <f>SUM(B4:B18)</f>
        <v>1068205.51</v>
      </c>
    </row>
    <row r="24" spans="1:3">
      <c r="B24" s="413"/>
    </row>
    <row r="25" spans="1:3">
      <c r="B25" s="757">
        <v>0.226763640266188</v>
      </c>
    </row>
    <row r="27" spans="1:3">
      <c r="A27" s="24" t="s">
        <v>1910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>
    <tabColor rgb="FF00B0F0"/>
    <pageSetUpPr autoPageBreaks="0"/>
  </sheetPr>
  <dimension ref="A1:E28"/>
  <sheetViews>
    <sheetView zoomScaleNormal="100" zoomScaleSheetLayoutView="100" workbookViewId="0">
      <selection activeCell="C7" sqref="C7"/>
    </sheetView>
  </sheetViews>
  <sheetFormatPr defaultColWidth="9.140625" defaultRowHeight="12.75"/>
  <cols>
    <col min="1" max="1" width="15.42578125" style="218" customWidth="1"/>
    <col min="2" max="2" width="7.42578125" style="218" customWidth="1"/>
    <col min="3" max="3" width="8.7109375" style="218" bestFit="1" customWidth="1"/>
    <col min="4" max="4" width="13.42578125" style="218" customWidth="1"/>
    <col min="5" max="5" width="13" style="218" customWidth="1"/>
    <col min="6" max="16384" width="9.140625" style="218"/>
  </cols>
  <sheetData>
    <row r="1" spans="1:5">
      <c r="A1" s="218" t="s">
        <v>811</v>
      </c>
    </row>
    <row r="2" spans="1:5">
      <c r="A2" s="218" t="s">
        <v>849</v>
      </c>
    </row>
    <row r="3" spans="1:5">
      <c r="A3" s="218" t="s">
        <v>808</v>
      </c>
    </row>
    <row r="4" spans="1:5">
      <c r="A4" s="218" t="str">
        <f>'Acct 928'!A4</f>
        <v>Twelve Months Ended June 30, 2023</v>
      </c>
    </row>
    <row r="7" spans="1:5">
      <c r="A7" s="240" t="s">
        <v>871</v>
      </c>
      <c r="E7" s="219" t="s">
        <v>870</v>
      </c>
    </row>
    <row r="8" spans="1:5">
      <c r="C8" s="219" t="s">
        <v>869</v>
      </c>
      <c r="D8" s="219" t="s">
        <v>868</v>
      </c>
      <c r="E8" s="219" t="s">
        <v>867</v>
      </c>
    </row>
    <row r="9" spans="1:5">
      <c r="A9" s="218" t="s">
        <v>802</v>
      </c>
      <c r="C9" s="478">
        <v>4.6999999999999999E-4</v>
      </c>
      <c r="D9" s="394">
        <f>Factors!E41</f>
        <v>136106732.85768002</v>
      </c>
      <c r="E9" s="236">
        <f>D9*C9</f>
        <v>63970.164443109607</v>
      </c>
    </row>
    <row r="10" spans="1:5">
      <c r="A10" s="218" t="s">
        <v>866</v>
      </c>
      <c r="C10" s="478">
        <v>3.8000000000000002E-4</v>
      </c>
      <c r="D10" s="394">
        <f>Factors!F41</f>
        <v>65945772</v>
      </c>
      <c r="E10" s="236">
        <f>D10*C10</f>
        <v>25059.393360000002</v>
      </c>
    </row>
    <row r="11" spans="1:5">
      <c r="A11" s="218" t="s">
        <v>832</v>
      </c>
      <c r="C11" s="478">
        <v>3.1E-4</v>
      </c>
      <c r="D11" s="394">
        <f>Factors!G41</f>
        <v>0</v>
      </c>
      <c r="E11" s="236">
        <f>D11*C11</f>
        <v>0</v>
      </c>
    </row>
    <row r="12" spans="1:5">
      <c r="A12" s="218" t="s">
        <v>779</v>
      </c>
      <c r="C12" s="478">
        <v>2.7999999999999998E-4</v>
      </c>
      <c r="D12" s="394">
        <f>Factors!H41</f>
        <v>2692866.4820002159</v>
      </c>
      <c r="E12" s="236">
        <f>D12*C12</f>
        <v>754.00261496006044</v>
      </c>
    </row>
    <row r="13" spans="1:5">
      <c r="E13" s="254">
        <f>SUM(E9:E12)</f>
        <v>89783.560418069668</v>
      </c>
    </row>
    <row r="15" spans="1:5">
      <c r="E15" s="236"/>
    </row>
    <row r="28" spans="1:5">
      <c r="A28" s="226"/>
      <c r="B28" s="226"/>
      <c r="C28" s="226"/>
      <c r="D28" s="226"/>
      <c r="E28" s="226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3DB3-483D-4E75-8EDC-61F05C3A690B}">
  <sheetPr>
    <tabColor theme="9" tint="-0.249977111117893"/>
  </sheetPr>
  <dimension ref="A1:S483"/>
  <sheetViews>
    <sheetView topLeftCell="A7" workbookViewId="0">
      <selection activeCell="F266" sqref="F266"/>
    </sheetView>
  </sheetViews>
  <sheetFormatPr defaultColWidth="9.140625" defaultRowHeight="12.75"/>
  <cols>
    <col min="1" max="3" width="9.140625" style="708"/>
    <col min="4" max="4" width="11.85546875" style="708" customWidth="1"/>
    <col min="5" max="5" width="42.28515625" style="708" customWidth="1"/>
    <col min="6" max="6" width="17.42578125" style="709" customWidth="1"/>
    <col min="7" max="7" width="17.5703125" style="709" customWidth="1"/>
    <col min="8" max="8" width="15.85546875" style="709" customWidth="1"/>
    <col min="9" max="9" width="3" style="709" customWidth="1"/>
    <col min="10" max="10" width="16.42578125" style="708" bestFit="1" customWidth="1"/>
    <col min="11" max="11" width="15.5703125" style="708" customWidth="1"/>
    <col min="12" max="13" width="14.140625" style="708" customWidth="1"/>
    <col min="14" max="14" width="3.5703125" style="735" customWidth="1"/>
    <col min="15" max="15" width="13.85546875" style="708" customWidth="1"/>
    <col min="16" max="16" width="15.5703125" style="708" customWidth="1"/>
    <col min="17" max="17" width="13.85546875" style="708" customWidth="1"/>
    <col min="18" max="18" width="13" style="708" customWidth="1"/>
    <col min="19" max="19" width="14" style="708" bestFit="1" customWidth="1"/>
    <col min="20" max="16384" width="9.140625" style="708"/>
  </cols>
  <sheetData>
    <row r="1" spans="1:19" ht="15">
      <c r="A1" s="707" t="s">
        <v>811</v>
      </c>
      <c r="H1" s="710"/>
      <c r="I1" s="710" t="s">
        <v>1287</v>
      </c>
      <c r="J1" s="742" t="s">
        <v>1518</v>
      </c>
      <c r="K1" s="711"/>
      <c r="M1" s="741" t="s">
        <v>1519</v>
      </c>
    </row>
    <row r="2" spans="1:19" ht="15.75">
      <c r="A2" s="791" t="s">
        <v>1288</v>
      </c>
      <c r="G2" s="743" t="s">
        <v>1520</v>
      </c>
      <c r="H2" s="711"/>
      <c r="I2" s="710" t="s">
        <v>1289</v>
      </c>
      <c r="J2" s="712">
        <v>0.20707999999999999</v>
      </c>
      <c r="K2" s="711"/>
      <c r="M2" s="713">
        <v>9.1800000000000007E-2</v>
      </c>
      <c r="N2" s="736"/>
      <c r="Q2" s="713"/>
    </row>
    <row r="3" spans="1:19" ht="15.75">
      <c r="A3" s="495" t="s">
        <v>1905</v>
      </c>
      <c r="G3" s="743" t="s">
        <v>1521</v>
      </c>
      <c r="H3" s="711"/>
      <c r="I3" s="710" t="s">
        <v>1290</v>
      </c>
      <c r="J3" s="712">
        <v>0.69035000000000002</v>
      </c>
      <c r="K3" s="711"/>
      <c r="M3" s="713">
        <v>0.30964999999999998</v>
      </c>
      <c r="N3" s="736"/>
      <c r="Q3" s="713"/>
    </row>
    <row r="4" spans="1:19" ht="15.75">
      <c r="A4" s="495" t="s">
        <v>1906</v>
      </c>
      <c r="G4" s="743" t="s">
        <v>1522</v>
      </c>
      <c r="H4" s="711"/>
      <c r="I4" s="710" t="s">
        <v>1291</v>
      </c>
      <c r="J4" s="712">
        <v>0.22856000000000001</v>
      </c>
      <c r="K4" s="711"/>
      <c r="M4" s="713">
        <v>0</v>
      </c>
      <c r="N4" s="736"/>
      <c r="Q4" s="713"/>
    </row>
    <row r="5" spans="1:19" ht="15">
      <c r="H5" s="710"/>
      <c r="I5" s="710" t="s">
        <v>1292</v>
      </c>
      <c r="J5" s="711"/>
      <c r="K5" s="711"/>
    </row>
    <row r="6" spans="1:19" ht="15">
      <c r="A6" s="714" t="s">
        <v>1293</v>
      </c>
      <c r="B6" s="715">
        <v>45107</v>
      </c>
      <c r="C6" s="716"/>
      <c r="D6" s="711"/>
      <c r="E6" s="711"/>
      <c r="F6" s="711"/>
      <c r="G6" s="711"/>
      <c r="H6" s="711"/>
      <c r="I6" s="710" t="s">
        <v>1294</v>
      </c>
      <c r="J6" s="711"/>
      <c r="K6" s="712">
        <v>0.6845</v>
      </c>
      <c r="L6" s="713">
        <v>0.3155</v>
      </c>
      <c r="M6" s="713"/>
    </row>
    <row r="7" spans="1:19" ht="15.75" thickBot="1">
      <c r="A7" s="716"/>
      <c r="B7" s="716"/>
      <c r="C7" s="716"/>
      <c r="D7" s="716"/>
      <c r="E7" s="716"/>
      <c r="F7" s="711"/>
      <c r="G7" s="711"/>
      <c r="H7" s="711"/>
      <c r="I7" s="710" t="s">
        <v>1295</v>
      </c>
      <c r="K7" s="713">
        <v>0.71745999999999999</v>
      </c>
      <c r="L7" s="713">
        <v>0.28254000000000001</v>
      </c>
      <c r="M7" s="713"/>
    </row>
    <row r="8" spans="1:19" ht="15">
      <c r="A8" s="716"/>
      <c r="B8" s="716"/>
      <c r="C8" s="716"/>
      <c r="D8" s="716"/>
      <c r="E8" s="716"/>
      <c r="F8" s="711"/>
      <c r="G8" s="711"/>
      <c r="H8" s="711"/>
      <c r="I8" s="711"/>
      <c r="J8" s="806" t="s">
        <v>353</v>
      </c>
      <c r="K8" s="807"/>
      <c r="L8" s="807"/>
      <c r="M8" s="808"/>
      <c r="O8" s="806" t="s">
        <v>1296</v>
      </c>
      <c r="P8" s="807"/>
      <c r="Q8" s="807"/>
      <c r="R8" s="808"/>
    </row>
    <row r="9" spans="1:19" ht="28.7" customHeight="1" thickBot="1">
      <c r="A9" s="717" t="s">
        <v>1297</v>
      </c>
      <c r="B9" s="717" t="s">
        <v>1298</v>
      </c>
      <c r="C9" s="717" t="s">
        <v>1299</v>
      </c>
      <c r="D9" s="718" t="s">
        <v>1300</v>
      </c>
      <c r="E9" s="717" t="s">
        <v>1301</v>
      </c>
      <c r="F9" s="719" t="s">
        <v>1302</v>
      </c>
      <c r="G9" s="719" t="s">
        <v>1303</v>
      </c>
      <c r="H9" s="719" t="s">
        <v>1304</v>
      </c>
      <c r="I9" s="719"/>
      <c r="J9" s="720" t="s">
        <v>810</v>
      </c>
      <c r="K9" s="721" t="s">
        <v>1183</v>
      </c>
      <c r="L9" s="721" t="s">
        <v>1517</v>
      </c>
      <c r="M9" s="722" t="s">
        <v>1516</v>
      </c>
      <c r="N9" s="737"/>
      <c r="O9" s="720" t="s">
        <v>810</v>
      </c>
      <c r="P9" s="721" t="s">
        <v>1183</v>
      </c>
      <c r="Q9" s="721" t="s">
        <v>1517</v>
      </c>
      <c r="R9" s="722" t="s">
        <v>1516</v>
      </c>
    </row>
    <row r="10" spans="1:19" ht="15">
      <c r="A10" s="714" t="s">
        <v>1305</v>
      </c>
      <c r="B10" s="714" t="s">
        <v>1306</v>
      </c>
      <c r="C10" s="714" t="s">
        <v>1307</v>
      </c>
      <c r="D10" s="714">
        <v>9906082</v>
      </c>
      <c r="E10" s="714" t="s">
        <v>1308</v>
      </c>
      <c r="F10" s="711">
        <v>798460.77</v>
      </c>
      <c r="G10" s="711">
        <v>639837.36</v>
      </c>
      <c r="H10" s="711">
        <v>158623.41</v>
      </c>
      <c r="I10" s="711"/>
      <c r="J10" s="711">
        <f>F10*($J$2+$M$2)</f>
        <v>238643.95493759998</v>
      </c>
      <c r="K10" s="711">
        <f>F10*$J$2*$K$7</f>
        <v>118628.60755027292</v>
      </c>
      <c r="L10" s="711">
        <f>F10*$J$2*$L$7</f>
        <v>46716.64870132706</v>
      </c>
      <c r="M10" s="711">
        <f>F10*$M$2</f>
        <v>73298.698686000003</v>
      </c>
      <c r="O10" s="711">
        <f>G10*($J$2+$M$2)</f>
        <v>191234.59015679997</v>
      </c>
      <c r="P10" s="711">
        <f>G10*$J$2*$K$7</f>
        <v>95061.671064243637</v>
      </c>
      <c r="Q10" s="711">
        <f>G10*$J$2*$L$7</f>
        <v>37435.849444556348</v>
      </c>
      <c r="R10" s="711">
        <f>G10*$M$2</f>
        <v>58737.069648000004</v>
      </c>
      <c r="S10" s="723"/>
    </row>
    <row r="11" spans="1:19" ht="15">
      <c r="A11" s="714" t="s">
        <v>1305</v>
      </c>
      <c r="B11" s="714" t="s">
        <v>1306</v>
      </c>
      <c r="C11" s="714" t="s">
        <v>1307</v>
      </c>
      <c r="D11" s="714">
        <v>9906372</v>
      </c>
      <c r="E11" s="714" t="s">
        <v>1309</v>
      </c>
      <c r="F11" s="711">
        <v>2470258.0299999998</v>
      </c>
      <c r="G11" s="711">
        <v>1649594.05</v>
      </c>
      <c r="H11" s="711">
        <v>820663.98</v>
      </c>
      <c r="I11" s="711"/>
      <c r="J11" s="711">
        <f>F11*($J$2+$M$2)</f>
        <v>738310.7200063999</v>
      </c>
      <c r="K11" s="711">
        <f>F11*$J$2*$K$7</f>
        <v>367010.22943028284</v>
      </c>
      <c r="L11" s="711">
        <f>F11*$J$2*$L$7</f>
        <v>144530.80342211708</v>
      </c>
      <c r="M11" s="711">
        <f>F11*$M$2</f>
        <v>226769.68715399998</v>
      </c>
      <c r="O11" s="711">
        <f>G11*($J$2+$M$2)</f>
        <v>493030.66966399999</v>
      </c>
      <c r="P11" s="711">
        <f>G11*$J$2*$K$7</f>
        <v>245082.85507216002</v>
      </c>
      <c r="Q11" s="711">
        <f>G11*$J$2*$L$7</f>
        <v>96515.080801839955</v>
      </c>
      <c r="R11" s="711">
        <f>G11*$M$2</f>
        <v>151432.73379000003</v>
      </c>
      <c r="S11" s="723"/>
    </row>
    <row r="12" spans="1:19" ht="15">
      <c r="A12" s="714" t="s">
        <v>1305</v>
      </c>
      <c r="B12" s="714" t="s">
        <v>1306</v>
      </c>
      <c r="C12" s="714" t="s">
        <v>1310</v>
      </c>
      <c r="D12" s="714">
        <v>9805095</v>
      </c>
      <c r="E12" s="714" t="s">
        <v>1311</v>
      </c>
      <c r="F12" s="711">
        <v>194057.94</v>
      </c>
      <c r="G12" s="711">
        <v>150277.6</v>
      </c>
      <c r="H12" s="711">
        <v>43780.34</v>
      </c>
      <c r="I12" s="711"/>
      <c r="J12" s="711">
        <f>F12*($J$4)</f>
        <v>44353.882766400005</v>
      </c>
      <c r="K12" s="711">
        <f>IF($C12="WA",$J12,IF($C12="ID",0,$J12*K$7))</f>
        <v>31822.136729581347</v>
      </c>
      <c r="L12" s="711">
        <f>F12*$J$4*$L$7</f>
        <v>12531.746036818658</v>
      </c>
      <c r="M12" s="711">
        <v>0</v>
      </c>
      <c r="O12" s="711">
        <f>G12*($J$4)</f>
        <v>34347.448256000003</v>
      </c>
      <c r="P12" s="711">
        <f>G12*$J$4*$K$7</f>
        <v>24642.920225749764</v>
      </c>
      <c r="Q12" s="711">
        <f>G12*$J$4*$L$7</f>
        <v>9704.5280302502415</v>
      </c>
      <c r="R12" s="711">
        <v>0</v>
      </c>
      <c r="S12" s="723"/>
    </row>
    <row r="13" spans="1:19" ht="15">
      <c r="A13" s="714" t="s">
        <v>1305</v>
      </c>
      <c r="B13" s="714" t="s">
        <v>1312</v>
      </c>
      <c r="C13" s="714" t="s">
        <v>1310</v>
      </c>
      <c r="D13" s="714">
        <v>2805017</v>
      </c>
      <c r="E13" s="714" t="s">
        <v>1317</v>
      </c>
      <c r="F13" s="711">
        <v>-3823.62</v>
      </c>
      <c r="G13" s="711">
        <v>-3871.71</v>
      </c>
      <c r="H13" s="711">
        <v>48.09</v>
      </c>
      <c r="I13" s="711"/>
      <c r="J13" s="711">
        <v>0</v>
      </c>
      <c r="K13" s="711">
        <f>IF($C13="WA",$J13,IF($C13="ID",0,$J13*K$7))</f>
        <v>0</v>
      </c>
      <c r="L13" s="711">
        <f t="shared" ref="L13:L34" si="0">IF($C13="ID",$J13,IF($C13="WA",0,$J13*L$7))</f>
        <v>0</v>
      </c>
      <c r="M13" s="711">
        <v>0</v>
      </c>
      <c r="O13" s="711">
        <v>0</v>
      </c>
      <c r="P13" s="711">
        <f t="shared" ref="P13:P31" si="1">IF($C13="WA",$O13,IF($C13="ID",0,$O13*K$7))</f>
        <v>0</v>
      </c>
      <c r="Q13" s="711">
        <f t="shared" ref="Q13:Q34" si="2">IF($C13="ID",$O13,IF($C13="WA",0,$O13*$L$7))</f>
        <v>0</v>
      </c>
      <c r="R13" s="711">
        <v>0</v>
      </c>
      <c r="S13" s="723"/>
    </row>
    <row r="14" spans="1:19" ht="15">
      <c r="A14" s="714" t="s">
        <v>1305</v>
      </c>
      <c r="B14" s="714" t="s">
        <v>1312</v>
      </c>
      <c r="C14" s="714" t="s">
        <v>1310</v>
      </c>
      <c r="D14" s="714">
        <v>2805112</v>
      </c>
      <c r="E14" s="714" t="s">
        <v>1318</v>
      </c>
      <c r="F14" s="711">
        <v>420295.36</v>
      </c>
      <c r="G14" s="711">
        <v>279038.23</v>
      </c>
      <c r="H14" s="711">
        <v>141257.13</v>
      </c>
      <c r="I14" s="711"/>
      <c r="J14" s="711">
        <v>0</v>
      </c>
      <c r="K14" s="711">
        <f t="shared" ref="K14:K34" si="3">IF($C14="WA",$J14,IF($C14="ID",0,$J14*K$7))</f>
        <v>0</v>
      </c>
      <c r="L14" s="711">
        <f t="shared" si="0"/>
        <v>0</v>
      </c>
      <c r="M14" s="711">
        <v>0</v>
      </c>
      <c r="O14" s="711">
        <v>0</v>
      </c>
      <c r="P14" s="711">
        <f t="shared" si="1"/>
        <v>0</v>
      </c>
      <c r="Q14" s="711">
        <f t="shared" si="2"/>
        <v>0</v>
      </c>
      <c r="R14" s="711">
        <v>0</v>
      </c>
      <c r="S14" s="723"/>
    </row>
    <row r="15" spans="1:19" ht="15">
      <c r="A15" s="714" t="s">
        <v>1305</v>
      </c>
      <c r="B15" s="714" t="s">
        <v>1312</v>
      </c>
      <c r="C15" s="714" t="s">
        <v>1310</v>
      </c>
      <c r="D15" s="714">
        <v>2806032</v>
      </c>
      <c r="E15" s="714" t="s">
        <v>1319</v>
      </c>
      <c r="F15" s="711">
        <v>144999.24</v>
      </c>
      <c r="G15" s="711">
        <v>25117.679999999997</v>
      </c>
      <c r="H15" s="711">
        <v>119881.56</v>
      </c>
      <c r="I15" s="711"/>
      <c r="J15" s="711">
        <v>0</v>
      </c>
      <c r="K15" s="711">
        <f t="shared" si="3"/>
        <v>0</v>
      </c>
      <c r="L15" s="711">
        <f t="shared" si="0"/>
        <v>0</v>
      </c>
      <c r="M15" s="711">
        <v>0</v>
      </c>
      <c r="O15" s="711">
        <v>0</v>
      </c>
      <c r="P15" s="711">
        <f t="shared" si="1"/>
        <v>0</v>
      </c>
      <c r="Q15" s="711">
        <f t="shared" si="2"/>
        <v>0</v>
      </c>
      <c r="R15" s="711">
        <v>0</v>
      </c>
      <c r="S15" s="723"/>
    </row>
    <row r="16" spans="1:19" ht="15">
      <c r="A16" s="714" t="s">
        <v>1305</v>
      </c>
      <c r="B16" s="714" t="s">
        <v>1312</v>
      </c>
      <c r="C16" s="714" t="s">
        <v>1310</v>
      </c>
      <c r="D16" s="714">
        <v>9805013</v>
      </c>
      <c r="E16" s="714" t="s">
        <v>1320</v>
      </c>
      <c r="F16" s="711">
        <v>160380.82999999999</v>
      </c>
      <c r="G16" s="711">
        <v>162398.01999999999</v>
      </c>
      <c r="H16" s="711">
        <v>-2017.19</v>
      </c>
      <c r="I16" s="711"/>
      <c r="J16" s="711">
        <v>0</v>
      </c>
      <c r="K16" s="711">
        <f t="shared" si="3"/>
        <v>0</v>
      </c>
      <c r="L16" s="711">
        <f t="shared" si="0"/>
        <v>0</v>
      </c>
      <c r="M16" s="711">
        <v>0</v>
      </c>
      <c r="O16" s="711">
        <v>0</v>
      </c>
      <c r="P16" s="711">
        <f t="shared" si="1"/>
        <v>0</v>
      </c>
      <c r="Q16" s="711">
        <f t="shared" si="2"/>
        <v>0</v>
      </c>
      <c r="R16" s="711">
        <v>0</v>
      </c>
      <c r="S16" s="723"/>
    </row>
    <row r="17" spans="1:19" ht="15">
      <c r="A17" s="714" t="s">
        <v>1305</v>
      </c>
      <c r="B17" s="714" t="s">
        <v>1312</v>
      </c>
      <c r="C17" s="714" t="s">
        <v>1310</v>
      </c>
      <c r="D17" s="714">
        <v>9805014</v>
      </c>
      <c r="E17" s="714" t="s">
        <v>1321</v>
      </c>
      <c r="F17" s="711">
        <v>35522.720000000001</v>
      </c>
      <c r="G17" s="711">
        <v>35969.51</v>
      </c>
      <c r="H17" s="711">
        <v>-446.79</v>
      </c>
      <c r="I17" s="711"/>
      <c r="J17" s="711">
        <v>0</v>
      </c>
      <c r="K17" s="711">
        <f t="shared" si="3"/>
        <v>0</v>
      </c>
      <c r="L17" s="711">
        <f t="shared" si="0"/>
        <v>0</v>
      </c>
      <c r="M17" s="711">
        <v>0</v>
      </c>
      <c r="O17" s="711">
        <v>0</v>
      </c>
      <c r="P17" s="711">
        <f t="shared" si="1"/>
        <v>0</v>
      </c>
      <c r="Q17" s="711">
        <f t="shared" si="2"/>
        <v>0</v>
      </c>
      <c r="R17" s="711">
        <v>0</v>
      </c>
      <c r="S17" s="723"/>
    </row>
    <row r="18" spans="1:19" ht="15">
      <c r="A18" s="714" t="s">
        <v>1305</v>
      </c>
      <c r="B18" s="714" t="s">
        <v>1312</v>
      </c>
      <c r="C18" s="714" t="s">
        <v>1310</v>
      </c>
      <c r="D18" s="714">
        <v>9805051</v>
      </c>
      <c r="E18" s="714" t="s">
        <v>1322</v>
      </c>
      <c r="F18" s="711">
        <v>17387.48</v>
      </c>
      <c r="G18" s="711">
        <v>15140.56</v>
      </c>
      <c r="H18" s="711">
        <v>2246.92</v>
      </c>
      <c r="I18" s="711"/>
      <c r="J18" s="711">
        <v>0</v>
      </c>
      <c r="K18" s="711">
        <f t="shared" si="3"/>
        <v>0</v>
      </c>
      <c r="L18" s="711">
        <f t="shared" si="0"/>
        <v>0</v>
      </c>
      <c r="M18" s="711">
        <v>0</v>
      </c>
      <c r="O18" s="711">
        <v>0</v>
      </c>
      <c r="P18" s="711">
        <f t="shared" si="1"/>
        <v>0</v>
      </c>
      <c r="Q18" s="711">
        <f t="shared" si="2"/>
        <v>0</v>
      </c>
      <c r="R18" s="711">
        <v>0</v>
      </c>
      <c r="S18" s="723"/>
    </row>
    <row r="19" spans="1:19" ht="15">
      <c r="A19" s="714" t="s">
        <v>1305</v>
      </c>
      <c r="B19" s="714" t="s">
        <v>1312</v>
      </c>
      <c r="C19" s="714" t="s">
        <v>1310</v>
      </c>
      <c r="D19" s="714">
        <v>9805052</v>
      </c>
      <c r="E19" s="714" t="s">
        <v>1323</v>
      </c>
      <c r="F19" s="711">
        <v>160680.50999999998</v>
      </c>
      <c r="G19" s="711">
        <v>106677.37</v>
      </c>
      <c r="H19" s="711">
        <v>54003.14</v>
      </c>
      <c r="I19" s="711"/>
      <c r="J19" s="711">
        <v>0</v>
      </c>
      <c r="K19" s="711">
        <f t="shared" si="3"/>
        <v>0</v>
      </c>
      <c r="L19" s="711">
        <f t="shared" si="0"/>
        <v>0</v>
      </c>
      <c r="M19" s="711">
        <v>0</v>
      </c>
      <c r="O19" s="711">
        <v>0</v>
      </c>
      <c r="P19" s="711">
        <f t="shared" si="1"/>
        <v>0</v>
      </c>
      <c r="Q19" s="711">
        <f t="shared" si="2"/>
        <v>0</v>
      </c>
      <c r="R19" s="711">
        <v>0</v>
      </c>
      <c r="S19" s="723"/>
    </row>
    <row r="20" spans="1:19" ht="15">
      <c r="A20" s="714" t="s">
        <v>1305</v>
      </c>
      <c r="B20" s="714" t="s">
        <v>1312</v>
      </c>
      <c r="C20" s="714" t="s">
        <v>1310</v>
      </c>
      <c r="D20" s="714">
        <v>9805112</v>
      </c>
      <c r="E20" s="714" t="s">
        <v>1324</v>
      </c>
      <c r="F20" s="711">
        <v>107586.2</v>
      </c>
      <c r="G20" s="711">
        <v>71427.539999999994</v>
      </c>
      <c r="H20" s="711">
        <v>36158.660000000003</v>
      </c>
      <c r="I20" s="711"/>
      <c r="J20" s="711">
        <v>0</v>
      </c>
      <c r="K20" s="711">
        <f>IF($C20="WA",$J20,IF($C20="ID",0,$J20*K$7))</f>
        <v>0</v>
      </c>
      <c r="L20" s="711">
        <f t="shared" si="0"/>
        <v>0</v>
      </c>
      <c r="M20" s="711">
        <v>0</v>
      </c>
      <c r="O20" s="711">
        <v>0</v>
      </c>
      <c r="P20" s="711">
        <f t="shared" si="1"/>
        <v>0</v>
      </c>
      <c r="Q20" s="711">
        <f t="shared" si="2"/>
        <v>0</v>
      </c>
      <c r="R20" s="711">
        <v>0</v>
      </c>
      <c r="S20" s="723"/>
    </row>
    <row r="21" spans="1:19" ht="15">
      <c r="A21" s="714" t="s">
        <v>1305</v>
      </c>
      <c r="B21" s="714" t="s">
        <v>1312</v>
      </c>
      <c r="C21" s="714" t="s">
        <v>1310</v>
      </c>
      <c r="D21" s="714">
        <v>30705099</v>
      </c>
      <c r="E21" s="714" t="s">
        <v>1325</v>
      </c>
      <c r="F21" s="711">
        <v>11120.04</v>
      </c>
      <c r="G21" s="711">
        <v>547.66</v>
      </c>
      <c r="H21" s="711">
        <v>10572.38</v>
      </c>
      <c r="I21" s="711"/>
      <c r="J21" s="711">
        <v>0</v>
      </c>
      <c r="K21" s="711">
        <f t="shared" si="3"/>
        <v>0</v>
      </c>
      <c r="L21" s="711">
        <f t="shared" si="0"/>
        <v>0</v>
      </c>
      <c r="M21" s="711">
        <v>0</v>
      </c>
      <c r="O21" s="711">
        <v>0</v>
      </c>
      <c r="P21" s="711">
        <f t="shared" si="1"/>
        <v>0</v>
      </c>
      <c r="Q21" s="711">
        <f t="shared" si="2"/>
        <v>0</v>
      </c>
      <c r="R21" s="711">
        <v>0</v>
      </c>
      <c r="S21" s="723"/>
    </row>
    <row r="22" spans="1:19" ht="15">
      <c r="A22" s="714" t="s">
        <v>1305</v>
      </c>
      <c r="B22" s="714" t="s">
        <v>1312</v>
      </c>
      <c r="C22" s="714" t="s">
        <v>1310</v>
      </c>
      <c r="D22" s="714">
        <v>31200005</v>
      </c>
      <c r="E22" s="714" t="s">
        <v>1326</v>
      </c>
      <c r="F22" s="711">
        <v>40498.6</v>
      </c>
      <c r="G22" s="711">
        <v>16956.060000000001</v>
      </c>
      <c r="H22" s="711">
        <v>23542.54</v>
      </c>
      <c r="I22" s="711"/>
      <c r="J22" s="711">
        <v>0</v>
      </c>
      <c r="K22" s="711">
        <f t="shared" si="3"/>
        <v>0</v>
      </c>
      <c r="L22" s="711">
        <f t="shared" si="0"/>
        <v>0</v>
      </c>
      <c r="M22" s="711">
        <v>0</v>
      </c>
      <c r="O22" s="711">
        <v>0</v>
      </c>
      <c r="P22" s="711">
        <f t="shared" si="1"/>
        <v>0</v>
      </c>
      <c r="Q22" s="711">
        <f t="shared" si="2"/>
        <v>0</v>
      </c>
      <c r="R22" s="711">
        <v>0</v>
      </c>
      <c r="S22" s="723"/>
    </row>
    <row r="23" spans="1:19" ht="15">
      <c r="A23" s="714" t="s">
        <v>1305</v>
      </c>
      <c r="B23" s="714" t="s">
        <v>1312</v>
      </c>
      <c r="C23" s="714" t="s">
        <v>1310</v>
      </c>
      <c r="D23" s="714">
        <v>32005001</v>
      </c>
      <c r="E23" s="714" t="s">
        <v>1327</v>
      </c>
      <c r="F23" s="711">
        <v>5182873.04</v>
      </c>
      <c r="G23" s="711">
        <v>897809.86</v>
      </c>
      <c r="H23" s="711">
        <v>4285063.18</v>
      </c>
      <c r="I23" s="711"/>
      <c r="J23" s="711">
        <v>0</v>
      </c>
      <c r="K23" s="711">
        <f t="shared" si="3"/>
        <v>0</v>
      </c>
      <c r="L23" s="711">
        <f t="shared" si="0"/>
        <v>0</v>
      </c>
      <c r="M23" s="711">
        <v>0</v>
      </c>
      <c r="O23" s="711">
        <v>0</v>
      </c>
      <c r="P23" s="711">
        <f t="shared" si="1"/>
        <v>0</v>
      </c>
      <c r="Q23" s="711">
        <f t="shared" si="2"/>
        <v>0</v>
      </c>
      <c r="R23" s="711">
        <v>0</v>
      </c>
      <c r="S23" s="723"/>
    </row>
    <row r="24" spans="1:19" ht="15">
      <c r="A24" s="714" t="s">
        <v>1305</v>
      </c>
      <c r="B24" s="714" t="s">
        <v>1312</v>
      </c>
      <c r="C24" s="714" t="s">
        <v>1310</v>
      </c>
      <c r="D24" s="714">
        <v>40105224</v>
      </c>
      <c r="E24" s="714" t="s">
        <v>1328</v>
      </c>
      <c r="F24" s="711">
        <v>8908.0300000000007</v>
      </c>
      <c r="G24" s="711">
        <v>438.79</v>
      </c>
      <c r="H24" s="711">
        <v>8469.24</v>
      </c>
      <c r="I24" s="711"/>
      <c r="J24" s="711">
        <v>0</v>
      </c>
      <c r="K24" s="711">
        <f t="shared" si="3"/>
        <v>0</v>
      </c>
      <c r="L24" s="711">
        <f t="shared" si="0"/>
        <v>0</v>
      </c>
      <c r="M24" s="711">
        <v>0</v>
      </c>
      <c r="O24" s="711">
        <v>0</v>
      </c>
      <c r="P24" s="711">
        <f t="shared" si="1"/>
        <v>0</v>
      </c>
      <c r="Q24" s="711">
        <f t="shared" si="2"/>
        <v>0</v>
      </c>
      <c r="R24" s="711">
        <v>0</v>
      </c>
      <c r="S24" s="723"/>
    </row>
    <row r="25" spans="1:19" ht="15">
      <c r="A25" s="714" t="s">
        <v>1305</v>
      </c>
      <c r="B25" s="714" t="s">
        <v>1312</v>
      </c>
      <c r="C25" s="714" t="s">
        <v>1310</v>
      </c>
      <c r="D25" s="714">
        <v>40205036</v>
      </c>
      <c r="E25" s="714" t="s">
        <v>1329</v>
      </c>
      <c r="F25" s="711">
        <v>156713.76</v>
      </c>
      <c r="G25" s="711">
        <v>38625.800000000003</v>
      </c>
      <c r="H25" s="711">
        <v>118087.96</v>
      </c>
      <c r="I25" s="711"/>
      <c r="J25" s="711">
        <v>0</v>
      </c>
      <c r="K25" s="711">
        <f t="shared" si="3"/>
        <v>0</v>
      </c>
      <c r="L25" s="711">
        <f t="shared" si="0"/>
        <v>0</v>
      </c>
      <c r="M25" s="711">
        <v>0</v>
      </c>
      <c r="O25" s="711">
        <v>0</v>
      </c>
      <c r="P25" s="711">
        <f t="shared" si="1"/>
        <v>0</v>
      </c>
      <c r="Q25" s="711">
        <f t="shared" si="2"/>
        <v>0</v>
      </c>
      <c r="R25" s="711">
        <v>0</v>
      </c>
      <c r="S25" s="723"/>
    </row>
    <row r="26" spans="1:19" ht="15">
      <c r="A26" s="714" t="s">
        <v>1305</v>
      </c>
      <c r="B26" s="714" t="s">
        <v>1312</v>
      </c>
      <c r="C26" s="714" t="s">
        <v>1310</v>
      </c>
      <c r="D26" s="714">
        <v>40205057</v>
      </c>
      <c r="E26" s="714" t="s">
        <v>1330</v>
      </c>
      <c r="F26" s="711">
        <v>59973.35</v>
      </c>
      <c r="G26" s="711">
        <v>25109.81</v>
      </c>
      <c r="H26" s="711">
        <v>34863.54</v>
      </c>
      <c r="I26" s="711"/>
      <c r="J26" s="711">
        <v>0</v>
      </c>
      <c r="K26" s="711">
        <f t="shared" si="3"/>
        <v>0</v>
      </c>
      <c r="L26" s="711">
        <f t="shared" si="0"/>
        <v>0</v>
      </c>
      <c r="M26" s="711">
        <v>0</v>
      </c>
      <c r="O26" s="711">
        <v>0</v>
      </c>
      <c r="P26" s="711">
        <f t="shared" si="1"/>
        <v>0</v>
      </c>
      <c r="Q26" s="711">
        <f t="shared" si="2"/>
        <v>0</v>
      </c>
      <c r="R26" s="711">
        <v>0</v>
      </c>
      <c r="S26" s="723"/>
    </row>
    <row r="27" spans="1:19" ht="15">
      <c r="A27" s="714" t="s">
        <v>1305</v>
      </c>
      <c r="B27" s="714" t="s">
        <v>1312</v>
      </c>
      <c r="C27" s="714" t="s">
        <v>1310</v>
      </c>
      <c r="D27" s="714">
        <v>61005007</v>
      </c>
      <c r="E27" s="714" t="s">
        <v>1331</v>
      </c>
      <c r="F27" s="711">
        <v>162603.68</v>
      </c>
      <c r="G27" s="711">
        <v>141591.03</v>
      </c>
      <c r="H27" s="711">
        <v>21012.65</v>
      </c>
      <c r="I27" s="711"/>
      <c r="J27" s="711">
        <v>0</v>
      </c>
      <c r="K27" s="711">
        <f t="shared" si="3"/>
        <v>0</v>
      </c>
      <c r="L27" s="711">
        <f t="shared" si="0"/>
        <v>0</v>
      </c>
      <c r="M27" s="711">
        <v>0</v>
      </c>
      <c r="O27" s="711">
        <v>0</v>
      </c>
      <c r="P27" s="711">
        <f t="shared" si="1"/>
        <v>0</v>
      </c>
      <c r="Q27" s="711">
        <f t="shared" si="2"/>
        <v>0</v>
      </c>
      <c r="R27" s="711">
        <v>0</v>
      </c>
      <c r="S27" s="723"/>
    </row>
    <row r="28" spans="1:19" ht="15">
      <c r="A28" s="714" t="s">
        <v>1305</v>
      </c>
      <c r="B28" s="714" t="s">
        <v>1312</v>
      </c>
      <c r="C28" s="714" t="s">
        <v>1310</v>
      </c>
      <c r="D28" s="714" t="s">
        <v>1315</v>
      </c>
      <c r="E28" s="714" t="s">
        <v>1316</v>
      </c>
      <c r="F28" s="711">
        <v>622858.67000000004</v>
      </c>
      <c r="G28" s="711">
        <v>310355.18</v>
      </c>
      <c r="H28" s="711">
        <v>312503.49</v>
      </c>
      <c r="I28" s="711"/>
      <c r="J28" s="711">
        <v>0</v>
      </c>
      <c r="K28" s="711">
        <f t="shared" si="3"/>
        <v>0</v>
      </c>
      <c r="L28" s="711">
        <f t="shared" si="0"/>
        <v>0</v>
      </c>
      <c r="M28" s="711">
        <v>0</v>
      </c>
      <c r="O28" s="711">
        <v>0</v>
      </c>
      <c r="P28" s="711">
        <f t="shared" si="1"/>
        <v>0</v>
      </c>
      <c r="Q28" s="711">
        <f t="shared" si="2"/>
        <v>0</v>
      </c>
      <c r="R28" s="711">
        <v>0</v>
      </c>
      <c r="S28" s="723"/>
    </row>
    <row r="29" spans="1:19" ht="15">
      <c r="A29" s="714" t="s">
        <v>1305</v>
      </c>
      <c r="B29" s="714" t="s">
        <v>1312</v>
      </c>
      <c r="C29" s="714" t="s">
        <v>1313</v>
      </c>
      <c r="D29" s="714">
        <v>2806380</v>
      </c>
      <c r="E29" s="714" t="s">
        <v>1314</v>
      </c>
      <c r="F29" s="711">
        <v>182298</v>
      </c>
      <c r="G29" s="711">
        <v>22234.9</v>
      </c>
      <c r="H29" s="711">
        <v>160063.1</v>
      </c>
      <c r="I29" s="711"/>
      <c r="J29" s="711">
        <v>0</v>
      </c>
      <c r="K29" s="711">
        <f t="shared" si="3"/>
        <v>0</v>
      </c>
      <c r="L29" s="711">
        <f t="shared" si="0"/>
        <v>0</v>
      </c>
      <c r="M29" s="711">
        <v>0</v>
      </c>
      <c r="O29" s="711">
        <v>0</v>
      </c>
      <c r="P29" s="711">
        <f t="shared" si="1"/>
        <v>0</v>
      </c>
      <c r="Q29" s="711">
        <f t="shared" si="2"/>
        <v>0</v>
      </c>
      <c r="R29" s="711">
        <v>0</v>
      </c>
      <c r="S29" s="723"/>
    </row>
    <row r="30" spans="1:19" ht="15">
      <c r="A30" s="714" t="s">
        <v>1305</v>
      </c>
      <c r="B30" s="714" t="s">
        <v>1312</v>
      </c>
      <c r="C30" s="714" t="s">
        <v>1313</v>
      </c>
      <c r="D30" s="714" t="s">
        <v>1315</v>
      </c>
      <c r="E30" s="714" t="s">
        <v>1316</v>
      </c>
      <c r="F30" s="711">
        <v>137418.35</v>
      </c>
      <c r="G30" s="711">
        <v>46835.88</v>
      </c>
      <c r="H30" s="711">
        <v>90582.47</v>
      </c>
      <c r="I30" s="711"/>
      <c r="J30" s="711">
        <v>0</v>
      </c>
      <c r="K30" s="711">
        <f t="shared" si="3"/>
        <v>0</v>
      </c>
      <c r="L30" s="711">
        <f t="shared" si="0"/>
        <v>0</v>
      </c>
      <c r="M30" s="711">
        <v>0</v>
      </c>
      <c r="O30" s="711">
        <v>0</v>
      </c>
      <c r="P30" s="711">
        <f t="shared" si="1"/>
        <v>0</v>
      </c>
      <c r="Q30" s="711">
        <f t="shared" si="2"/>
        <v>0</v>
      </c>
      <c r="R30" s="711">
        <v>0</v>
      </c>
      <c r="S30" s="723"/>
    </row>
    <row r="31" spans="1:19" ht="15">
      <c r="A31" s="714" t="s">
        <v>1305</v>
      </c>
      <c r="B31" s="714" t="s">
        <v>1332</v>
      </c>
      <c r="C31" s="714" t="s">
        <v>1336</v>
      </c>
      <c r="D31" s="714">
        <v>3805338</v>
      </c>
      <c r="E31" s="714" t="s">
        <v>1337</v>
      </c>
      <c r="F31" s="711">
        <v>12587.66</v>
      </c>
      <c r="G31" s="711">
        <v>2529.42</v>
      </c>
      <c r="H31" s="711">
        <v>10058.24</v>
      </c>
      <c r="I31" s="711"/>
      <c r="J31" s="711">
        <f>F31</f>
        <v>12587.66</v>
      </c>
      <c r="K31" s="711">
        <f>IF($C31="WA",$J31,IF($C31="ID",0,$J31*K$7))</f>
        <v>0</v>
      </c>
      <c r="L31" s="711">
        <f>IF($C31="ID",$J31,IF($C31="WA",0,$J31*L$7))</f>
        <v>12587.66</v>
      </c>
      <c r="M31" s="711">
        <v>0</v>
      </c>
      <c r="O31" s="711">
        <f>G31</f>
        <v>2529.42</v>
      </c>
      <c r="P31" s="711">
        <f t="shared" si="1"/>
        <v>0</v>
      </c>
      <c r="Q31" s="711">
        <f t="shared" si="2"/>
        <v>2529.42</v>
      </c>
      <c r="R31" s="711">
        <v>0</v>
      </c>
      <c r="S31" s="723"/>
    </row>
    <row r="32" spans="1:19" ht="15">
      <c r="A32" s="714" t="s">
        <v>1305</v>
      </c>
      <c r="B32" s="714" t="s">
        <v>1332</v>
      </c>
      <c r="C32" s="714" t="s">
        <v>1336</v>
      </c>
      <c r="D32" s="714">
        <v>90105044</v>
      </c>
      <c r="E32" s="714" t="s">
        <v>1338</v>
      </c>
      <c r="F32" s="711">
        <v>15037.5</v>
      </c>
      <c r="G32" s="711">
        <v>4501.6899999999996</v>
      </c>
      <c r="H32" s="711">
        <v>10535.81</v>
      </c>
      <c r="I32" s="711"/>
      <c r="J32" s="711">
        <f t="shared" ref="J32:J34" si="4">F32</f>
        <v>15037.5</v>
      </c>
      <c r="K32" s="711">
        <f t="shared" si="3"/>
        <v>0</v>
      </c>
      <c r="L32" s="711">
        <f t="shared" si="0"/>
        <v>15037.5</v>
      </c>
      <c r="M32" s="711">
        <v>0</v>
      </c>
      <c r="O32" s="711">
        <f t="shared" ref="O32:O34" si="5">G32</f>
        <v>4501.6899999999996</v>
      </c>
      <c r="P32" s="711">
        <f t="shared" ref="P32:P34" si="6">IF($C32="WA",$O32,IF($C32="ID",0,$O32*K$7))</f>
        <v>0</v>
      </c>
      <c r="Q32" s="711">
        <f t="shared" si="2"/>
        <v>4501.6899999999996</v>
      </c>
      <c r="R32" s="711">
        <v>0</v>
      </c>
      <c r="S32" s="723"/>
    </row>
    <row r="33" spans="1:19" ht="15">
      <c r="A33" s="714" t="s">
        <v>1305</v>
      </c>
      <c r="B33" s="714" t="s">
        <v>1332</v>
      </c>
      <c r="C33" s="714" t="s">
        <v>1336</v>
      </c>
      <c r="D33" s="714">
        <v>90105308</v>
      </c>
      <c r="E33" s="714" t="s">
        <v>1339</v>
      </c>
      <c r="F33" s="711">
        <v>598567.89999999991</v>
      </c>
      <c r="G33" s="711">
        <v>82983.14</v>
      </c>
      <c r="H33" s="711">
        <v>515584.76</v>
      </c>
      <c r="I33" s="711"/>
      <c r="J33" s="711">
        <f t="shared" si="4"/>
        <v>598567.89999999991</v>
      </c>
      <c r="K33" s="711">
        <f t="shared" si="3"/>
        <v>0</v>
      </c>
      <c r="L33" s="711">
        <f t="shared" si="0"/>
        <v>598567.89999999991</v>
      </c>
      <c r="M33" s="711">
        <v>0</v>
      </c>
      <c r="O33" s="711">
        <f t="shared" si="5"/>
        <v>82983.14</v>
      </c>
      <c r="P33" s="711">
        <f t="shared" si="6"/>
        <v>0</v>
      </c>
      <c r="Q33" s="711">
        <f t="shared" si="2"/>
        <v>82983.14</v>
      </c>
      <c r="R33" s="711">
        <v>0</v>
      </c>
      <c r="S33" s="723"/>
    </row>
    <row r="34" spans="1:19" ht="15">
      <c r="A34" s="714" t="s">
        <v>1305</v>
      </c>
      <c r="B34" s="714" t="s">
        <v>1332</v>
      </c>
      <c r="C34" s="714" t="s">
        <v>1336</v>
      </c>
      <c r="D34" s="714" t="s">
        <v>1315</v>
      </c>
      <c r="E34" s="714" t="s">
        <v>1316</v>
      </c>
      <c r="F34" s="711">
        <v>153412.07</v>
      </c>
      <c r="G34" s="711">
        <v>78553.210000000006</v>
      </c>
      <c r="H34" s="711">
        <v>74858.86</v>
      </c>
      <c r="I34" s="711"/>
      <c r="J34" s="711">
        <f t="shared" si="4"/>
        <v>153412.07</v>
      </c>
      <c r="K34" s="711">
        <f t="shared" si="3"/>
        <v>0</v>
      </c>
      <c r="L34" s="711">
        <f t="shared" si="0"/>
        <v>153412.07</v>
      </c>
      <c r="M34" s="711">
        <v>0</v>
      </c>
      <c r="O34" s="711">
        <f t="shared" si="5"/>
        <v>78553.210000000006</v>
      </c>
      <c r="P34" s="711">
        <f t="shared" si="6"/>
        <v>0</v>
      </c>
      <c r="Q34" s="711">
        <f t="shared" si="2"/>
        <v>78553.210000000006</v>
      </c>
      <c r="R34" s="711">
        <v>0</v>
      </c>
      <c r="S34" s="723"/>
    </row>
    <row r="35" spans="1:19" ht="15">
      <c r="A35" s="714" t="s">
        <v>1305</v>
      </c>
      <c r="B35" s="714" t="s">
        <v>1332</v>
      </c>
      <c r="C35" s="714" t="s">
        <v>1340</v>
      </c>
      <c r="D35" s="714">
        <v>6804554</v>
      </c>
      <c r="E35" s="714" t="s">
        <v>1341</v>
      </c>
      <c r="F35" s="711">
        <v>16721.78</v>
      </c>
      <c r="G35" s="711">
        <v>4555.0600000000004</v>
      </c>
      <c r="H35" s="711">
        <v>12166.72</v>
      </c>
      <c r="I35" s="711"/>
      <c r="J35" s="711">
        <f>F35</f>
        <v>16721.78</v>
      </c>
      <c r="K35" s="711">
        <v>0</v>
      </c>
      <c r="L35" s="711">
        <v>0</v>
      </c>
      <c r="M35" s="711">
        <f>F35</f>
        <v>16721.78</v>
      </c>
      <c r="O35" s="711">
        <f>G35</f>
        <v>4555.0600000000004</v>
      </c>
      <c r="P35" s="711">
        <v>0</v>
      </c>
      <c r="Q35" s="711">
        <v>0</v>
      </c>
      <c r="R35" s="711">
        <f>G35</f>
        <v>4555.0600000000004</v>
      </c>
      <c r="S35" s="723"/>
    </row>
    <row r="36" spans="1:19" ht="15">
      <c r="A36" s="714" t="s">
        <v>1305</v>
      </c>
      <c r="B36" s="714" t="s">
        <v>1332</v>
      </c>
      <c r="C36" s="714" t="s">
        <v>1340</v>
      </c>
      <c r="D36" s="714">
        <v>98405002</v>
      </c>
      <c r="E36" s="714" t="s">
        <v>1342</v>
      </c>
      <c r="F36" s="711">
        <v>64537.74</v>
      </c>
      <c r="G36" s="711">
        <v>21290.7</v>
      </c>
      <c r="H36" s="711">
        <v>43247.040000000001</v>
      </c>
      <c r="I36" s="711"/>
      <c r="J36" s="711">
        <f t="shared" ref="J36:J38" si="7">F36</f>
        <v>64537.74</v>
      </c>
      <c r="K36" s="711">
        <v>0</v>
      </c>
      <c r="L36" s="711">
        <v>0</v>
      </c>
      <c r="M36" s="711">
        <f t="shared" ref="M36:M38" si="8">F36</f>
        <v>64537.74</v>
      </c>
      <c r="O36" s="711">
        <f t="shared" ref="O36:O38" si="9">G36</f>
        <v>21290.7</v>
      </c>
      <c r="P36" s="711">
        <v>0</v>
      </c>
      <c r="Q36" s="711">
        <v>0</v>
      </c>
      <c r="R36" s="711">
        <f t="shared" ref="R36:R38" si="10">G36</f>
        <v>21290.7</v>
      </c>
      <c r="S36" s="723"/>
    </row>
    <row r="37" spans="1:19" ht="15">
      <c r="A37" s="714" t="s">
        <v>1305</v>
      </c>
      <c r="B37" s="714" t="s">
        <v>1332</v>
      </c>
      <c r="C37" s="714" t="s">
        <v>1340</v>
      </c>
      <c r="D37" s="714">
        <v>98505012</v>
      </c>
      <c r="E37" s="714" t="s">
        <v>1343</v>
      </c>
      <c r="F37" s="711">
        <v>296789.5</v>
      </c>
      <c r="G37" s="711">
        <v>71704.08</v>
      </c>
      <c r="H37" s="711">
        <v>225085.42</v>
      </c>
      <c r="I37" s="711"/>
      <c r="J37" s="711">
        <f t="shared" si="7"/>
        <v>296789.5</v>
      </c>
      <c r="K37" s="711">
        <v>0</v>
      </c>
      <c r="L37" s="711">
        <v>0</v>
      </c>
      <c r="M37" s="711">
        <f t="shared" si="8"/>
        <v>296789.5</v>
      </c>
      <c r="O37" s="711">
        <f t="shared" si="9"/>
        <v>71704.08</v>
      </c>
      <c r="P37" s="711">
        <v>0</v>
      </c>
      <c r="Q37" s="711">
        <v>0</v>
      </c>
      <c r="R37" s="711">
        <f t="shared" si="10"/>
        <v>71704.08</v>
      </c>
      <c r="S37" s="723"/>
    </row>
    <row r="38" spans="1:19" ht="15">
      <c r="A38" s="714" t="s">
        <v>1305</v>
      </c>
      <c r="B38" s="714" t="s">
        <v>1332</v>
      </c>
      <c r="C38" s="714" t="s">
        <v>1340</v>
      </c>
      <c r="D38" s="714">
        <v>98805076</v>
      </c>
      <c r="E38" s="714" t="s">
        <v>1344</v>
      </c>
      <c r="F38" s="711">
        <v>15996.990000000002</v>
      </c>
      <c r="G38" s="711">
        <v>2706.8399999999997</v>
      </c>
      <c r="H38" s="711">
        <v>13290.15</v>
      </c>
      <c r="I38" s="711"/>
      <c r="J38" s="711">
        <f t="shared" si="7"/>
        <v>15996.990000000002</v>
      </c>
      <c r="K38" s="711">
        <v>0</v>
      </c>
      <c r="L38" s="711">
        <v>0</v>
      </c>
      <c r="M38" s="711">
        <f t="shared" si="8"/>
        <v>15996.990000000002</v>
      </c>
      <c r="O38" s="711">
        <f t="shared" si="9"/>
        <v>2706.8399999999997</v>
      </c>
      <c r="P38" s="711">
        <v>0</v>
      </c>
      <c r="Q38" s="711">
        <v>0</v>
      </c>
      <c r="R38" s="711">
        <f t="shared" si="10"/>
        <v>2706.8399999999997</v>
      </c>
      <c r="S38" s="723"/>
    </row>
    <row r="39" spans="1:19" ht="15">
      <c r="A39" s="714" t="s">
        <v>1305</v>
      </c>
      <c r="B39" s="714" t="s">
        <v>1332</v>
      </c>
      <c r="C39" s="714" t="s">
        <v>1313</v>
      </c>
      <c r="D39" s="714">
        <v>94205013</v>
      </c>
      <c r="E39" s="714" t="s">
        <v>1333</v>
      </c>
      <c r="F39" s="711">
        <v>57612.83</v>
      </c>
      <c r="G39" s="711">
        <v>9652.4599999999991</v>
      </c>
      <c r="H39" s="711">
        <v>47960.37</v>
      </c>
      <c r="I39" s="711"/>
      <c r="J39" s="711">
        <f>F39</f>
        <v>57612.83</v>
      </c>
      <c r="K39" s="711">
        <f>F39</f>
        <v>57612.83</v>
      </c>
      <c r="L39" s="711">
        <v>0</v>
      </c>
      <c r="M39" s="711">
        <v>0</v>
      </c>
      <c r="O39" s="711">
        <f>G39</f>
        <v>9652.4599999999991</v>
      </c>
      <c r="P39" s="711">
        <f>G39</f>
        <v>9652.4599999999991</v>
      </c>
      <c r="Q39" s="711">
        <v>0</v>
      </c>
      <c r="R39" s="732">
        <v>0</v>
      </c>
      <c r="S39" s="723"/>
    </row>
    <row r="40" spans="1:19" ht="15">
      <c r="A40" s="714" t="s">
        <v>1305</v>
      </c>
      <c r="B40" s="714" t="s">
        <v>1332</v>
      </c>
      <c r="C40" s="714" t="s">
        <v>1313</v>
      </c>
      <c r="D40" s="714">
        <v>95605004</v>
      </c>
      <c r="E40" s="714" t="s">
        <v>1334</v>
      </c>
      <c r="F40" s="711">
        <v>30724.45</v>
      </c>
      <c r="G40" s="711">
        <v>12227.82</v>
      </c>
      <c r="H40" s="711">
        <v>18496.63</v>
      </c>
      <c r="I40" s="711"/>
      <c r="J40" s="711">
        <f t="shared" ref="J40:J42" si="11">F40</f>
        <v>30724.45</v>
      </c>
      <c r="K40" s="711">
        <f t="shared" ref="K40:K42" si="12">F40</f>
        <v>30724.45</v>
      </c>
      <c r="L40" s="711">
        <v>0</v>
      </c>
      <c r="M40" s="711">
        <v>0</v>
      </c>
      <c r="O40" s="711">
        <f t="shared" ref="O40:O42" si="13">G40</f>
        <v>12227.82</v>
      </c>
      <c r="P40" s="711">
        <f t="shared" ref="P40:P42" si="14">G40</f>
        <v>12227.82</v>
      </c>
      <c r="Q40" s="711">
        <v>0</v>
      </c>
      <c r="R40" s="732">
        <v>0</v>
      </c>
      <c r="S40" s="723"/>
    </row>
    <row r="41" spans="1:19" ht="15">
      <c r="A41" s="714" t="s">
        <v>1305</v>
      </c>
      <c r="B41" s="714" t="s">
        <v>1332</v>
      </c>
      <c r="C41" s="714" t="s">
        <v>1313</v>
      </c>
      <c r="D41" s="714">
        <v>95605370</v>
      </c>
      <c r="E41" s="714" t="s">
        <v>1335</v>
      </c>
      <c r="F41" s="711">
        <v>715532.15</v>
      </c>
      <c r="G41" s="711">
        <v>217996.22999999998</v>
      </c>
      <c r="H41" s="711">
        <v>497535.92000000004</v>
      </c>
      <c r="I41" s="711"/>
      <c r="J41" s="711">
        <f t="shared" si="11"/>
        <v>715532.15</v>
      </c>
      <c r="K41" s="711">
        <f t="shared" si="12"/>
        <v>715532.15</v>
      </c>
      <c r="L41" s="711">
        <v>0</v>
      </c>
      <c r="M41" s="711">
        <v>0</v>
      </c>
      <c r="O41" s="711">
        <f t="shared" si="13"/>
        <v>217996.22999999998</v>
      </c>
      <c r="P41" s="711">
        <f t="shared" si="14"/>
        <v>217996.22999999998</v>
      </c>
      <c r="Q41" s="711">
        <v>0</v>
      </c>
      <c r="R41" s="732">
        <v>0</v>
      </c>
      <c r="S41" s="723"/>
    </row>
    <row r="42" spans="1:19" ht="15">
      <c r="A42" s="714" t="s">
        <v>1305</v>
      </c>
      <c r="B42" s="714" t="s">
        <v>1332</v>
      </c>
      <c r="C42" s="714" t="s">
        <v>1313</v>
      </c>
      <c r="D42" s="714" t="s">
        <v>1315</v>
      </c>
      <c r="E42" s="714" t="s">
        <v>1316</v>
      </c>
      <c r="F42" s="711">
        <v>218724.80000000002</v>
      </c>
      <c r="G42" s="711">
        <v>88155.62000000001</v>
      </c>
      <c r="H42" s="711">
        <v>130569.18000000001</v>
      </c>
      <c r="I42" s="711"/>
      <c r="J42" s="711">
        <f t="shared" si="11"/>
        <v>218724.80000000002</v>
      </c>
      <c r="K42" s="711">
        <f t="shared" si="12"/>
        <v>218724.80000000002</v>
      </c>
      <c r="L42" s="711">
        <v>0</v>
      </c>
      <c r="M42" s="711">
        <v>0</v>
      </c>
      <c r="O42" s="711">
        <f t="shared" si="13"/>
        <v>88155.62000000001</v>
      </c>
      <c r="P42" s="711">
        <f t="shared" si="14"/>
        <v>88155.62000000001</v>
      </c>
      <c r="Q42" s="711">
        <v>0</v>
      </c>
      <c r="R42" s="732">
        <v>0</v>
      </c>
      <c r="S42" s="723"/>
    </row>
    <row r="43" spans="1:19" ht="15">
      <c r="A43" s="724" t="s">
        <v>1345</v>
      </c>
      <c r="B43" s="724"/>
      <c r="C43" s="724"/>
      <c r="D43" s="724"/>
      <c r="E43" s="724"/>
      <c r="F43" s="725">
        <f>SUM(F10:F42)</f>
        <v>13267316.35</v>
      </c>
      <c r="G43" s="725">
        <f>SUM(G10:G42)</f>
        <v>5228967.45</v>
      </c>
      <c r="H43" s="725">
        <f>SUM(H10:H42)</f>
        <v>8038348.8999999994</v>
      </c>
      <c r="I43" s="725"/>
      <c r="J43" s="725">
        <f>SUM(J10:J42)</f>
        <v>3217553.9277104004</v>
      </c>
      <c r="K43" s="725">
        <f t="shared" ref="K43:M43" si="15">SUM(K10:K42)</f>
        <v>1540055.2037101372</v>
      </c>
      <c r="L43" s="725">
        <f t="shared" si="15"/>
        <v>983384.32816026267</v>
      </c>
      <c r="M43" s="725">
        <f t="shared" si="15"/>
        <v>694114.39584000001</v>
      </c>
      <c r="N43" s="738"/>
      <c r="O43" s="725">
        <f>SUM(O10:O42)</f>
        <v>1315468.9780767998</v>
      </c>
      <c r="P43" s="725">
        <f t="shared" ref="P43:R43" si="16">SUM(P10:P42)</f>
        <v>692819.5763621534</v>
      </c>
      <c r="Q43" s="725">
        <f t="shared" si="16"/>
        <v>312222.91827664658</v>
      </c>
      <c r="R43" s="725">
        <f t="shared" si="16"/>
        <v>310426.48343800008</v>
      </c>
    </row>
    <row r="44" spans="1:19" ht="15">
      <c r="A44" s="726" t="s">
        <v>1346</v>
      </c>
      <c r="B44" s="726"/>
      <c r="C44" s="726"/>
      <c r="D44" s="726"/>
      <c r="E44" s="726"/>
      <c r="F44" s="727"/>
      <c r="G44" s="727"/>
      <c r="H44" s="727"/>
      <c r="I44" s="727"/>
      <c r="J44" s="727"/>
      <c r="K44" s="728"/>
      <c r="L44" s="727"/>
      <c r="M44" s="727"/>
      <c r="N44" s="739"/>
      <c r="O44" s="727"/>
      <c r="P44" s="727"/>
      <c r="Q44" s="727"/>
    </row>
    <row r="45" spans="1:19" ht="15">
      <c r="A45" s="716"/>
      <c r="B45" s="716"/>
      <c r="C45" s="716"/>
      <c r="D45" s="716"/>
      <c r="E45" s="716"/>
      <c r="F45" s="711"/>
      <c r="G45" s="711"/>
      <c r="H45" s="711"/>
      <c r="I45" s="711"/>
      <c r="J45" s="711"/>
      <c r="K45" s="729"/>
      <c r="L45" s="711"/>
      <c r="M45" s="711"/>
      <c r="O45" s="711"/>
      <c r="P45" s="711"/>
      <c r="Q45" s="711"/>
    </row>
    <row r="46" spans="1:19" ht="15">
      <c r="A46" s="716"/>
      <c r="B46" s="716"/>
      <c r="C46" s="716"/>
      <c r="D46" s="716"/>
      <c r="E46" s="716"/>
      <c r="F46" s="711"/>
      <c r="G46" s="711"/>
      <c r="H46" s="711"/>
      <c r="I46" s="711"/>
      <c r="J46" s="711"/>
      <c r="K46" s="711"/>
      <c r="L46" s="711"/>
      <c r="M46" s="711"/>
      <c r="O46" s="711"/>
      <c r="P46" s="711"/>
      <c r="Q46" s="711"/>
    </row>
    <row r="47" spans="1:19" ht="15">
      <c r="A47" s="714" t="s">
        <v>1347</v>
      </c>
      <c r="B47" s="714" t="s">
        <v>1306</v>
      </c>
      <c r="C47" s="714" t="s">
        <v>1307</v>
      </c>
      <c r="D47" s="714">
        <v>2806381</v>
      </c>
      <c r="E47" s="714" t="s">
        <v>1348</v>
      </c>
      <c r="F47" s="711">
        <v>33764.57</v>
      </c>
      <c r="G47" s="711">
        <v>32114.850000000002</v>
      </c>
      <c r="H47" s="711">
        <v>1649.72</v>
      </c>
      <c r="I47" s="711"/>
      <c r="J47" s="711">
        <f>F47*($J$2+$M$2)</f>
        <v>10091.554681599999</v>
      </c>
      <c r="K47" s="711">
        <f>F47*($J$2*$K$7)</f>
        <v>5016.4567554567757</v>
      </c>
      <c r="L47" s="711">
        <f>F47*($J$2*$L$7)</f>
        <v>1975.5104001432239</v>
      </c>
      <c r="M47" s="711">
        <f>F47*($M$2)</f>
        <v>3099.5875260000003</v>
      </c>
      <c r="O47" s="711">
        <f>G47*($J$2+$M$2)</f>
        <v>9598.4863679999999</v>
      </c>
      <c r="P47" s="711">
        <f>G47*($J$2*$K$7)</f>
        <v>4771.3551877894806</v>
      </c>
      <c r="Q47" s="711">
        <f>G47*($J$2*$L$7)</f>
        <v>1878.98795021052</v>
      </c>
      <c r="R47" s="711">
        <f>G47*($M$2)</f>
        <v>2948.1432300000006</v>
      </c>
      <c r="S47" s="723"/>
    </row>
    <row r="48" spans="1:19" ht="15">
      <c r="A48" s="714" t="s">
        <v>1347</v>
      </c>
      <c r="B48" s="714" t="s">
        <v>1306</v>
      </c>
      <c r="C48" s="714" t="s">
        <v>1307</v>
      </c>
      <c r="D48" s="714">
        <v>9905739</v>
      </c>
      <c r="E48" s="714" t="s">
        <v>1349</v>
      </c>
      <c r="F48" s="711">
        <v>203425.01</v>
      </c>
      <c r="G48" s="711">
        <v>154263.99</v>
      </c>
      <c r="H48" s="711">
        <v>49161.02</v>
      </c>
      <c r="I48" s="711"/>
      <c r="J48" s="711">
        <f t="shared" ref="J48:J111" si="17">F48*($J$2+$M$2)</f>
        <v>60799.666988799996</v>
      </c>
      <c r="K48" s="711">
        <f t="shared" ref="K48:K111" si="18">F48*($J$2*$K$7)</f>
        <v>30223.182633256169</v>
      </c>
      <c r="L48" s="711">
        <f t="shared" ref="L48:L111" si="19">F48*($J$2*$L$7)</f>
        <v>11902.068437543832</v>
      </c>
      <c r="M48" s="711">
        <f t="shared" ref="M48:M111" si="20">F48*($M$2)</f>
        <v>18674.415918000002</v>
      </c>
      <c r="O48" s="711">
        <f t="shared" ref="O48:O111" si="21">G48*($J$2+$M$2)</f>
        <v>46106.421331199992</v>
      </c>
      <c r="P48" s="711">
        <f t="shared" ref="P48:P111" si="22">G48*($J$2*$K$7)</f>
        <v>22919.250408319032</v>
      </c>
      <c r="Q48" s="711">
        <f t="shared" ref="Q48:Q111" si="23">G48*($J$2*$L$7)</f>
        <v>9025.7366408809667</v>
      </c>
      <c r="R48" s="711">
        <f t="shared" ref="R48:R111" si="24">G48*($M$2)</f>
        <v>14161.434282</v>
      </c>
      <c r="S48" s="723"/>
    </row>
    <row r="49" spans="1:19" ht="15">
      <c r="A49" s="714" t="s">
        <v>1347</v>
      </c>
      <c r="B49" s="714" t="s">
        <v>1306</v>
      </c>
      <c r="C49" s="714" t="s">
        <v>1307</v>
      </c>
      <c r="D49" s="714">
        <v>9905825</v>
      </c>
      <c r="E49" s="714" t="s">
        <v>1350</v>
      </c>
      <c r="F49" s="711">
        <v>124286.7</v>
      </c>
      <c r="G49" s="711">
        <v>118210.37000000001</v>
      </c>
      <c r="H49" s="711">
        <v>6076.33</v>
      </c>
      <c r="I49" s="711"/>
      <c r="J49" s="711">
        <f t="shared" si="17"/>
        <v>37146.808895999995</v>
      </c>
      <c r="K49" s="711">
        <f t="shared" si="18"/>
        <v>18465.475965736561</v>
      </c>
      <c r="L49" s="711">
        <f t="shared" si="19"/>
        <v>7271.8138702634396</v>
      </c>
      <c r="M49" s="711">
        <f t="shared" si="20"/>
        <v>11409.519060000001</v>
      </c>
      <c r="O49" s="711">
        <f t="shared" si="21"/>
        <v>35330.7153856</v>
      </c>
      <c r="P49" s="711">
        <f t="shared" si="22"/>
        <v>17562.705793426219</v>
      </c>
      <c r="Q49" s="711">
        <f t="shared" si="23"/>
        <v>6916.2976261737849</v>
      </c>
      <c r="R49" s="711">
        <f t="shared" si="24"/>
        <v>10851.711966000003</v>
      </c>
      <c r="S49" s="723"/>
    </row>
    <row r="50" spans="1:19" ht="15">
      <c r="A50" s="714" t="s">
        <v>1347</v>
      </c>
      <c r="B50" s="714" t="s">
        <v>1306</v>
      </c>
      <c r="C50" s="714" t="s">
        <v>1307</v>
      </c>
      <c r="D50" s="714">
        <v>9905914</v>
      </c>
      <c r="E50" s="714" t="s">
        <v>1351</v>
      </c>
      <c r="F50" s="711">
        <v>50788.28</v>
      </c>
      <c r="G50" s="711">
        <v>8652.66</v>
      </c>
      <c r="H50" s="711">
        <v>42135.62</v>
      </c>
      <c r="I50" s="711"/>
      <c r="J50" s="711">
        <f t="shared" si="17"/>
        <v>15179.601126399999</v>
      </c>
      <c r="K50" s="711">
        <f t="shared" si="18"/>
        <v>7545.6968740911043</v>
      </c>
      <c r="L50" s="711">
        <f t="shared" si="19"/>
        <v>2971.5401483088958</v>
      </c>
      <c r="M50" s="711">
        <f t="shared" si="20"/>
        <v>4662.3641040000002</v>
      </c>
      <c r="O50" s="711">
        <f t="shared" si="21"/>
        <v>2586.1070207999996</v>
      </c>
      <c r="P50" s="711">
        <f t="shared" si="22"/>
        <v>1285.539685820688</v>
      </c>
      <c r="Q50" s="711">
        <f t="shared" si="23"/>
        <v>506.25314697931196</v>
      </c>
      <c r="R50" s="711">
        <f t="shared" si="24"/>
        <v>794.31418800000006</v>
      </c>
      <c r="S50" s="723"/>
    </row>
    <row r="51" spans="1:19" ht="15">
      <c r="A51" s="714" t="s">
        <v>1347</v>
      </c>
      <c r="B51" s="714" t="s">
        <v>1306</v>
      </c>
      <c r="C51" s="714" t="s">
        <v>1307</v>
      </c>
      <c r="D51" s="714">
        <v>9906181</v>
      </c>
      <c r="E51" s="714" t="s">
        <v>1352</v>
      </c>
      <c r="F51" s="711">
        <v>95760.26999999999</v>
      </c>
      <c r="G51" s="711">
        <v>39286.92</v>
      </c>
      <c r="H51" s="711">
        <v>56473.35</v>
      </c>
      <c r="I51" s="711"/>
      <c r="J51" s="711">
        <f t="shared" si="17"/>
        <v>28620.829497599996</v>
      </c>
      <c r="K51" s="711">
        <f t="shared" si="18"/>
        <v>14227.258139104535</v>
      </c>
      <c r="L51" s="711">
        <f t="shared" si="19"/>
        <v>5602.7785724954638</v>
      </c>
      <c r="M51" s="711">
        <f t="shared" si="20"/>
        <v>8790.792786</v>
      </c>
      <c r="O51" s="711">
        <f t="shared" si="21"/>
        <v>11742.074649599999</v>
      </c>
      <c r="P51" s="711">
        <f t="shared" si="22"/>
        <v>5836.9212234922561</v>
      </c>
      <c r="Q51" s="711">
        <f t="shared" si="23"/>
        <v>2298.614170107744</v>
      </c>
      <c r="R51" s="711">
        <f t="shared" si="24"/>
        <v>3606.539256</v>
      </c>
      <c r="S51" s="723"/>
    </row>
    <row r="52" spans="1:19" ht="15">
      <c r="A52" s="714" t="s">
        <v>1347</v>
      </c>
      <c r="B52" s="714" t="s">
        <v>1306</v>
      </c>
      <c r="C52" s="714" t="s">
        <v>1307</v>
      </c>
      <c r="D52" s="714">
        <v>9906191</v>
      </c>
      <c r="E52" s="714" t="s">
        <v>1353</v>
      </c>
      <c r="F52" s="711">
        <v>-1835629.85</v>
      </c>
      <c r="G52" s="711">
        <v>0</v>
      </c>
      <c r="H52" s="711">
        <v>-1835629.85</v>
      </c>
      <c r="I52" s="711"/>
      <c r="J52" s="711">
        <f t="shared" si="17"/>
        <v>-548633.04956800002</v>
      </c>
      <c r="K52" s="711">
        <f t="shared" si="18"/>
        <v>-272722.49466084148</v>
      </c>
      <c r="L52" s="711">
        <f t="shared" si="19"/>
        <v>-107399.73467715853</v>
      </c>
      <c r="M52" s="711">
        <f t="shared" si="20"/>
        <v>-168510.82023000001</v>
      </c>
      <c r="O52" s="711">
        <f t="shared" si="21"/>
        <v>0</v>
      </c>
      <c r="P52" s="711">
        <f t="shared" si="22"/>
        <v>0</v>
      </c>
      <c r="Q52" s="711">
        <f t="shared" si="23"/>
        <v>0</v>
      </c>
      <c r="R52" s="711">
        <f t="shared" si="24"/>
        <v>0</v>
      </c>
      <c r="S52" s="723"/>
    </row>
    <row r="53" spans="1:19" ht="15">
      <c r="A53" s="714" t="s">
        <v>1347</v>
      </c>
      <c r="B53" s="714" t="s">
        <v>1306</v>
      </c>
      <c r="C53" s="714" t="s">
        <v>1307</v>
      </c>
      <c r="D53" s="714">
        <v>9906214</v>
      </c>
      <c r="E53" s="714" t="s">
        <v>1354</v>
      </c>
      <c r="F53" s="711">
        <v>392212.27999999997</v>
      </c>
      <c r="G53" s="711">
        <v>220371.84999999998</v>
      </c>
      <c r="H53" s="711">
        <v>171840.43</v>
      </c>
      <c r="I53" s="711"/>
      <c r="J53" s="711">
        <f t="shared" si="17"/>
        <v>117224.40624639999</v>
      </c>
      <c r="K53" s="711">
        <f t="shared" si="18"/>
        <v>58271.612568414297</v>
      </c>
      <c r="L53" s="711">
        <f t="shared" si="19"/>
        <v>22947.706373985693</v>
      </c>
      <c r="M53" s="711">
        <f t="shared" si="20"/>
        <v>36005.087304000001</v>
      </c>
      <c r="O53" s="711">
        <f t="shared" si="21"/>
        <v>65864.738527999987</v>
      </c>
      <c r="P53" s="711">
        <f t="shared" si="22"/>
        <v>32741.002051707077</v>
      </c>
      <c r="Q53" s="711">
        <f t="shared" si="23"/>
        <v>12893.600646292918</v>
      </c>
      <c r="R53" s="711">
        <f t="shared" si="24"/>
        <v>20230.135829999999</v>
      </c>
      <c r="S53" s="723"/>
    </row>
    <row r="54" spans="1:19" ht="15">
      <c r="A54" s="714" t="s">
        <v>1347</v>
      </c>
      <c r="B54" s="714" t="s">
        <v>1306</v>
      </c>
      <c r="C54" s="714" t="s">
        <v>1307</v>
      </c>
      <c r="D54" s="714">
        <v>9906284</v>
      </c>
      <c r="E54" s="714" t="s">
        <v>1355</v>
      </c>
      <c r="F54" s="711">
        <v>25788.309999999998</v>
      </c>
      <c r="G54" s="711">
        <v>10042.290000000001</v>
      </c>
      <c r="H54" s="711">
        <v>15746.02</v>
      </c>
      <c r="I54" s="711"/>
      <c r="J54" s="711">
        <f t="shared" si="17"/>
        <v>7707.6100927999987</v>
      </c>
      <c r="K54" s="711">
        <f t="shared" si="18"/>
        <v>3831.4109112396077</v>
      </c>
      <c r="L54" s="711">
        <f t="shared" si="19"/>
        <v>1508.8323235603918</v>
      </c>
      <c r="M54" s="711">
        <f t="shared" si="20"/>
        <v>2367.3668579999999</v>
      </c>
      <c r="O54" s="711">
        <f t="shared" si="21"/>
        <v>3001.4396351999999</v>
      </c>
      <c r="P54" s="711">
        <f t="shared" si="22"/>
        <v>1491.9992616744721</v>
      </c>
      <c r="Q54" s="711">
        <f t="shared" si="23"/>
        <v>587.55815152552805</v>
      </c>
      <c r="R54" s="711">
        <f t="shared" si="24"/>
        <v>921.88222200000018</v>
      </c>
      <c r="S54" s="723"/>
    </row>
    <row r="55" spans="1:19" ht="15">
      <c r="A55" s="714" t="s">
        <v>1347</v>
      </c>
      <c r="B55" s="714" t="s">
        <v>1306</v>
      </c>
      <c r="C55" s="714" t="s">
        <v>1307</v>
      </c>
      <c r="D55" s="714">
        <v>9906352</v>
      </c>
      <c r="E55" s="714" t="s">
        <v>1356</v>
      </c>
      <c r="F55" s="711">
        <v>184417.35</v>
      </c>
      <c r="G55" s="711">
        <v>71956.97</v>
      </c>
      <c r="H55" s="711">
        <v>112460.38</v>
      </c>
      <c r="I55" s="711"/>
      <c r="J55" s="711">
        <f t="shared" si="17"/>
        <v>55118.657567999995</v>
      </c>
      <c r="K55" s="711">
        <f t="shared" si="18"/>
        <v>27399.183855471481</v>
      </c>
      <c r="L55" s="711">
        <f t="shared" si="19"/>
        <v>10789.960982528521</v>
      </c>
      <c r="M55" s="711">
        <f t="shared" si="20"/>
        <v>16929.512730000002</v>
      </c>
      <c r="O55" s="711">
        <f t="shared" si="21"/>
        <v>21506.499193600001</v>
      </c>
      <c r="P55" s="711">
        <f t="shared" si="22"/>
        <v>10690.763372929096</v>
      </c>
      <c r="Q55" s="711">
        <f t="shared" si="23"/>
        <v>4210.0859746709039</v>
      </c>
      <c r="R55" s="711">
        <f t="shared" si="24"/>
        <v>6605.6498460000003</v>
      </c>
      <c r="S55" s="723"/>
    </row>
    <row r="56" spans="1:19" ht="15">
      <c r="A56" s="714" t="s">
        <v>1347</v>
      </c>
      <c r="B56" s="714" t="s">
        <v>1306</v>
      </c>
      <c r="C56" s="714" t="s">
        <v>1307</v>
      </c>
      <c r="D56" s="714">
        <v>9906394</v>
      </c>
      <c r="E56" s="714" t="s">
        <v>1696</v>
      </c>
      <c r="F56" s="711">
        <v>396687.99</v>
      </c>
      <c r="G56" s="711">
        <v>64204.5</v>
      </c>
      <c r="H56" s="711">
        <v>332483.49</v>
      </c>
      <c r="I56" s="711"/>
      <c r="J56" s="711">
        <f t="shared" si="17"/>
        <v>118562.10645119999</v>
      </c>
      <c r="K56" s="711">
        <f t="shared" si="18"/>
        <v>58936.576039442232</v>
      </c>
      <c r="L56" s="711">
        <f t="shared" si="19"/>
        <v>23209.572929757767</v>
      </c>
      <c r="M56" s="711">
        <f t="shared" si="20"/>
        <v>36415.957482000005</v>
      </c>
      <c r="O56" s="711">
        <f t="shared" si="21"/>
        <v>19189.44096</v>
      </c>
      <c r="P56" s="711">
        <f t="shared" si="22"/>
        <v>9538.9663708356002</v>
      </c>
      <c r="Q56" s="711">
        <f t="shared" si="23"/>
        <v>3756.5014891644</v>
      </c>
      <c r="R56" s="711">
        <f t="shared" si="24"/>
        <v>5893.9731000000002</v>
      </c>
      <c r="S56" s="723"/>
    </row>
    <row r="57" spans="1:19" ht="15">
      <c r="A57" s="714" t="s">
        <v>1347</v>
      </c>
      <c r="B57" s="714" t="s">
        <v>1306</v>
      </c>
      <c r="C57" s="714" t="s">
        <v>1307</v>
      </c>
      <c r="D57" s="714">
        <v>9906415</v>
      </c>
      <c r="E57" s="714" t="s">
        <v>1357</v>
      </c>
      <c r="F57" s="711">
        <v>233504.05</v>
      </c>
      <c r="G57" s="711">
        <v>180225.52</v>
      </c>
      <c r="H57" s="711">
        <v>53278.53</v>
      </c>
      <c r="I57" s="711"/>
      <c r="J57" s="711">
        <f t="shared" si="17"/>
        <v>69789.690463999985</v>
      </c>
      <c r="K57" s="711">
        <f t="shared" si="18"/>
        <v>34692.074237848035</v>
      </c>
      <c r="L57" s="711">
        <f t="shared" si="19"/>
        <v>13661.94443615196</v>
      </c>
      <c r="M57" s="711">
        <f t="shared" si="20"/>
        <v>21435.67179</v>
      </c>
      <c r="O57" s="711">
        <f t="shared" si="21"/>
        <v>53865.803417599993</v>
      </c>
      <c r="P57" s="711">
        <f t="shared" si="22"/>
        <v>26776.396895020735</v>
      </c>
      <c r="Q57" s="711">
        <f t="shared" si="23"/>
        <v>10544.703786579263</v>
      </c>
      <c r="R57" s="711">
        <f t="shared" si="24"/>
        <v>16544.702735999999</v>
      </c>
      <c r="S57" s="723"/>
    </row>
    <row r="58" spans="1:19" ht="15">
      <c r="A58" s="714" t="s">
        <v>1347</v>
      </c>
      <c r="B58" s="714" t="s">
        <v>1306</v>
      </c>
      <c r="C58" s="714" t="s">
        <v>1307</v>
      </c>
      <c r="D58" s="714">
        <v>9906420</v>
      </c>
      <c r="E58" s="714" t="s">
        <v>1358</v>
      </c>
      <c r="F58" s="711">
        <v>60383.119999999995</v>
      </c>
      <c r="G58" s="711">
        <v>23486.36</v>
      </c>
      <c r="H58" s="711">
        <v>36896.759999999995</v>
      </c>
      <c r="I58" s="711"/>
      <c r="J58" s="711">
        <f t="shared" si="17"/>
        <v>18047.306905599999</v>
      </c>
      <c r="K58" s="711">
        <f t="shared" si="18"/>
        <v>8971.2177658284145</v>
      </c>
      <c r="L58" s="711">
        <f t="shared" si="19"/>
        <v>3532.9187237715837</v>
      </c>
      <c r="M58" s="711">
        <f t="shared" si="20"/>
        <v>5543.1704159999999</v>
      </c>
      <c r="O58" s="711">
        <f t="shared" si="21"/>
        <v>7019.6032767999995</v>
      </c>
      <c r="P58" s="711">
        <f t="shared" si="22"/>
        <v>3489.4064779468481</v>
      </c>
      <c r="Q58" s="711">
        <f t="shared" si="23"/>
        <v>1374.148950853152</v>
      </c>
      <c r="R58" s="711">
        <f t="shared" si="24"/>
        <v>2156.0478480000002</v>
      </c>
      <c r="S58" s="723"/>
    </row>
    <row r="59" spans="1:19" ht="15">
      <c r="A59" s="714" t="s">
        <v>1347</v>
      </c>
      <c r="B59" s="714" t="s">
        <v>1306</v>
      </c>
      <c r="C59" s="714" t="s">
        <v>1307</v>
      </c>
      <c r="D59" s="714">
        <v>9906434</v>
      </c>
      <c r="E59" s="714" t="s">
        <v>1359</v>
      </c>
      <c r="F59" s="711">
        <v>2777766.49</v>
      </c>
      <c r="G59" s="711">
        <v>1560974.1500000001</v>
      </c>
      <c r="H59" s="711">
        <v>1216792.3400000001</v>
      </c>
      <c r="I59" s="711"/>
      <c r="J59" s="711">
        <f t="shared" si="17"/>
        <v>830218.84853119997</v>
      </c>
      <c r="K59" s="711">
        <f t="shared" si="18"/>
        <v>412697.25851216109</v>
      </c>
      <c r="L59" s="711">
        <f t="shared" si="19"/>
        <v>162522.62623703899</v>
      </c>
      <c r="M59" s="711">
        <f t="shared" si="20"/>
        <v>254998.96378200004</v>
      </c>
      <c r="O59" s="711">
        <f t="shared" si="21"/>
        <v>466543.95395200001</v>
      </c>
      <c r="P59" s="711">
        <f t="shared" si="22"/>
        <v>231916.45324850574</v>
      </c>
      <c r="Q59" s="711">
        <f t="shared" si="23"/>
        <v>91330.073733494282</v>
      </c>
      <c r="R59" s="711">
        <f t="shared" si="24"/>
        <v>143297.42697000003</v>
      </c>
      <c r="S59" s="723"/>
    </row>
    <row r="60" spans="1:19" ht="15">
      <c r="A60" s="714" t="s">
        <v>1347</v>
      </c>
      <c r="B60" s="714" t="s">
        <v>1306</v>
      </c>
      <c r="C60" s="714" t="s">
        <v>1307</v>
      </c>
      <c r="D60" s="714">
        <v>9906468</v>
      </c>
      <c r="E60" s="714" t="s">
        <v>1360</v>
      </c>
      <c r="F60" s="711">
        <v>5393.78</v>
      </c>
      <c r="G60" s="711">
        <v>2096.3000000000002</v>
      </c>
      <c r="H60" s="711">
        <v>3297.48</v>
      </c>
      <c r="I60" s="711"/>
      <c r="J60" s="711">
        <f t="shared" si="17"/>
        <v>1612.0929663999998</v>
      </c>
      <c r="K60" s="711">
        <f t="shared" si="18"/>
        <v>801.36261526350393</v>
      </c>
      <c r="L60" s="711">
        <f t="shared" si="19"/>
        <v>315.58134713649599</v>
      </c>
      <c r="M60" s="711">
        <f t="shared" si="20"/>
        <v>495.14900399999999</v>
      </c>
      <c r="O60" s="711">
        <f t="shared" si="21"/>
        <v>626.54214400000001</v>
      </c>
      <c r="P60" s="711">
        <f t="shared" si="22"/>
        <v>311.45068029784005</v>
      </c>
      <c r="Q60" s="711">
        <f t="shared" si="23"/>
        <v>122.65112370216001</v>
      </c>
      <c r="R60" s="711">
        <f t="shared" si="24"/>
        <v>192.44034000000002</v>
      </c>
      <c r="S60" s="723"/>
    </row>
    <row r="61" spans="1:19" ht="15">
      <c r="A61" s="714" t="s">
        <v>1347</v>
      </c>
      <c r="B61" s="714" t="s">
        <v>1306</v>
      </c>
      <c r="C61" s="714" t="s">
        <v>1307</v>
      </c>
      <c r="D61" s="714">
        <v>9906471</v>
      </c>
      <c r="E61" s="714" t="s">
        <v>1361</v>
      </c>
      <c r="F61" s="711">
        <v>33403.29</v>
      </c>
      <c r="G61" s="711">
        <v>13040.48</v>
      </c>
      <c r="H61" s="711">
        <v>20362.810000000001</v>
      </c>
      <c r="I61" s="711"/>
      <c r="J61" s="711">
        <f t="shared" si="17"/>
        <v>9983.5753151999997</v>
      </c>
      <c r="K61" s="711">
        <f t="shared" si="18"/>
        <v>4962.7808017392717</v>
      </c>
      <c r="L61" s="711">
        <f t="shared" si="19"/>
        <v>1954.372491460728</v>
      </c>
      <c r="M61" s="711">
        <f t="shared" si="20"/>
        <v>3066.4220220000002</v>
      </c>
      <c r="O61" s="711">
        <f t="shared" si="21"/>
        <v>3897.5386623999998</v>
      </c>
      <c r="P61" s="711">
        <f t="shared" si="22"/>
        <v>1937.4451974480639</v>
      </c>
      <c r="Q61" s="711">
        <f t="shared" si="23"/>
        <v>762.97740095193592</v>
      </c>
      <c r="R61" s="711">
        <f t="shared" si="24"/>
        <v>1197.1160640000001</v>
      </c>
      <c r="S61" s="723"/>
    </row>
    <row r="62" spans="1:19" ht="15">
      <c r="A62" s="714" t="s">
        <v>1347</v>
      </c>
      <c r="B62" s="714" t="s">
        <v>1306</v>
      </c>
      <c r="C62" s="714" t="s">
        <v>1307</v>
      </c>
      <c r="D62" s="714">
        <v>9906489</v>
      </c>
      <c r="E62" s="714" t="s">
        <v>1362</v>
      </c>
      <c r="F62" s="711">
        <v>268742.73</v>
      </c>
      <c r="G62" s="711">
        <v>104791.88</v>
      </c>
      <c r="H62" s="711">
        <v>163950.85</v>
      </c>
      <c r="I62" s="711"/>
      <c r="J62" s="711">
        <f t="shared" si="17"/>
        <v>80321.827142399983</v>
      </c>
      <c r="K62" s="711">
        <f t="shared" si="18"/>
        <v>39927.541899345859</v>
      </c>
      <c r="L62" s="711">
        <f t="shared" si="19"/>
        <v>15723.702629054134</v>
      </c>
      <c r="M62" s="711">
        <f t="shared" si="20"/>
        <v>24670.582613999999</v>
      </c>
      <c r="O62" s="711">
        <f t="shared" si="21"/>
        <v>31320.197094399999</v>
      </c>
      <c r="P62" s="711">
        <f t="shared" si="22"/>
        <v>15569.099039111585</v>
      </c>
      <c r="Q62" s="711">
        <f t="shared" si="23"/>
        <v>6131.203471288416</v>
      </c>
      <c r="R62" s="711">
        <f t="shared" si="24"/>
        <v>9619.8945840000015</v>
      </c>
      <c r="S62" s="723"/>
    </row>
    <row r="63" spans="1:19" ht="15">
      <c r="A63" s="714" t="s">
        <v>1347</v>
      </c>
      <c r="B63" s="714" t="s">
        <v>1306</v>
      </c>
      <c r="C63" s="714" t="s">
        <v>1307</v>
      </c>
      <c r="D63" s="714">
        <v>9906500</v>
      </c>
      <c r="E63" s="714" t="s">
        <v>1363</v>
      </c>
      <c r="F63" s="711">
        <v>358433.92999999993</v>
      </c>
      <c r="G63" s="711">
        <v>201548.85</v>
      </c>
      <c r="H63" s="711">
        <v>156885.08000000002</v>
      </c>
      <c r="I63" s="711"/>
      <c r="J63" s="711">
        <f t="shared" si="17"/>
        <v>107128.73299839997</v>
      </c>
      <c r="K63" s="711">
        <f t="shared" si="18"/>
        <v>53253.108496078014</v>
      </c>
      <c r="L63" s="711">
        <f t="shared" si="19"/>
        <v>20971.38972832197</v>
      </c>
      <c r="M63" s="711">
        <f t="shared" si="20"/>
        <v>32904.234773999997</v>
      </c>
      <c r="O63" s="711">
        <f t="shared" si="21"/>
        <v>60238.920287999994</v>
      </c>
      <c r="P63" s="711">
        <f t="shared" si="22"/>
        <v>29944.43850868068</v>
      </c>
      <c r="Q63" s="711">
        <f t="shared" si="23"/>
        <v>11792.29734931932</v>
      </c>
      <c r="R63" s="711">
        <f t="shared" si="24"/>
        <v>18502.184430000001</v>
      </c>
      <c r="S63" s="723"/>
    </row>
    <row r="64" spans="1:19" ht="15">
      <c r="A64" s="714" t="s">
        <v>1347</v>
      </c>
      <c r="B64" s="714" t="s">
        <v>1306</v>
      </c>
      <c r="C64" s="714" t="s">
        <v>1307</v>
      </c>
      <c r="D64" s="714">
        <v>9906508</v>
      </c>
      <c r="E64" s="714" t="s">
        <v>1364</v>
      </c>
      <c r="F64" s="711">
        <v>1001075.91</v>
      </c>
      <c r="G64" s="711">
        <v>562405.88</v>
      </c>
      <c r="H64" s="711">
        <v>438670.02999999997</v>
      </c>
      <c r="I64" s="711"/>
      <c r="J64" s="711">
        <f t="shared" si="17"/>
        <v>299201.5679808</v>
      </c>
      <c r="K64" s="711">
        <f t="shared" si="18"/>
        <v>148731.46648823129</v>
      </c>
      <c r="L64" s="711">
        <f t="shared" si="19"/>
        <v>58571.332954568716</v>
      </c>
      <c r="M64" s="711">
        <f t="shared" si="20"/>
        <v>91898.768538000004</v>
      </c>
      <c r="O64" s="711">
        <f t="shared" si="21"/>
        <v>168091.86941439999</v>
      </c>
      <c r="P64" s="711">
        <f t="shared" si="22"/>
        <v>83557.550889426784</v>
      </c>
      <c r="Q64" s="711">
        <f t="shared" si="23"/>
        <v>32905.458740973219</v>
      </c>
      <c r="R64" s="711">
        <f t="shared" si="24"/>
        <v>51628.859784000007</v>
      </c>
      <c r="S64" s="723"/>
    </row>
    <row r="65" spans="1:19" ht="15">
      <c r="A65" s="714" t="s">
        <v>1347</v>
      </c>
      <c r="B65" s="714" t="s">
        <v>1306</v>
      </c>
      <c r="C65" s="714" t="s">
        <v>1307</v>
      </c>
      <c r="D65" s="714">
        <v>9906523</v>
      </c>
      <c r="E65" s="714" t="s">
        <v>1365</v>
      </c>
      <c r="F65" s="711">
        <v>1656957.7699999998</v>
      </c>
      <c r="G65" s="711">
        <v>644966.07999999996</v>
      </c>
      <c r="H65" s="711">
        <v>1011991.6900000001</v>
      </c>
      <c r="I65" s="711"/>
      <c r="J65" s="711">
        <f t="shared" si="17"/>
        <v>495231.53829759988</v>
      </c>
      <c r="K65" s="711">
        <f t="shared" si="18"/>
        <v>246176.89485822251</v>
      </c>
      <c r="L65" s="711">
        <f t="shared" si="19"/>
        <v>96945.920153377447</v>
      </c>
      <c r="M65" s="711">
        <f t="shared" si="20"/>
        <v>152108.72328599999</v>
      </c>
      <c r="O65" s="711">
        <f t="shared" si="21"/>
        <v>192767.46199039998</v>
      </c>
      <c r="P65" s="711">
        <f t="shared" si="22"/>
        <v>95823.653286758141</v>
      </c>
      <c r="Q65" s="711">
        <f t="shared" si="23"/>
        <v>37735.922559641855</v>
      </c>
      <c r="R65" s="711">
        <f t="shared" si="24"/>
        <v>59207.886144000004</v>
      </c>
      <c r="S65" s="723"/>
    </row>
    <row r="66" spans="1:19" ht="15">
      <c r="A66" s="714" t="s">
        <v>1347</v>
      </c>
      <c r="B66" s="714" t="s">
        <v>1306</v>
      </c>
      <c r="C66" s="714" t="s">
        <v>1307</v>
      </c>
      <c r="D66" s="714">
        <v>9906546</v>
      </c>
      <c r="E66" s="714" t="s">
        <v>1366</v>
      </c>
      <c r="F66" s="711">
        <v>141277.65999999997</v>
      </c>
      <c r="G66" s="711">
        <v>55012.480000000003</v>
      </c>
      <c r="H66" s="711">
        <v>86265.180000000008</v>
      </c>
      <c r="I66" s="711"/>
      <c r="J66" s="711">
        <f t="shared" si="17"/>
        <v>42225.067020799986</v>
      </c>
      <c r="K66" s="711">
        <f t="shared" si="18"/>
        <v>20989.850363920683</v>
      </c>
      <c r="L66" s="711">
        <f t="shared" si="19"/>
        <v>8265.9274688793103</v>
      </c>
      <c r="M66" s="711">
        <f t="shared" si="20"/>
        <v>12969.289187999999</v>
      </c>
      <c r="O66" s="711">
        <f t="shared" si="21"/>
        <v>16442.130022400001</v>
      </c>
      <c r="P66" s="711">
        <f t="shared" si="22"/>
        <v>8173.2930977776641</v>
      </c>
      <c r="Q66" s="711">
        <f t="shared" si="23"/>
        <v>3218.6912606223364</v>
      </c>
      <c r="R66" s="711">
        <f t="shared" si="24"/>
        <v>5050.1456640000006</v>
      </c>
      <c r="S66" s="723"/>
    </row>
    <row r="67" spans="1:19" ht="15">
      <c r="A67" s="714" t="s">
        <v>1347</v>
      </c>
      <c r="B67" s="714" t="s">
        <v>1306</v>
      </c>
      <c r="C67" s="714" t="s">
        <v>1307</v>
      </c>
      <c r="D67" s="714">
        <v>9906548</v>
      </c>
      <c r="E67" s="714" t="s">
        <v>1367</v>
      </c>
      <c r="F67" s="711">
        <v>92546.61</v>
      </c>
      <c r="G67" s="711">
        <v>36014.35</v>
      </c>
      <c r="H67" s="711">
        <v>56532.26</v>
      </c>
      <c r="I67" s="711"/>
      <c r="J67" s="711">
        <f t="shared" si="17"/>
        <v>27660.330796799997</v>
      </c>
      <c r="K67" s="711">
        <f t="shared" si="18"/>
        <v>13749.799477059049</v>
      </c>
      <c r="L67" s="711">
        <f t="shared" si="19"/>
        <v>5414.752521740952</v>
      </c>
      <c r="M67" s="711">
        <f t="shared" si="20"/>
        <v>8495.7787980000012</v>
      </c>
      <c r="O67" s="711">
        <f t="shared" si="21"/>
        <v>10763.968927999998</v>
      </c>
      <c r="P67" s="711">
        <f t="shared" si="22"/>
        <v>5350.7102075010798</v>
      </c>
      <c r="Q67" s="711">
        <f t="shared" si="23"/>
        <v>2107.1413904989199</v>
      </c>
      <c r="R67" s="711">
        <f t="shared" si="24"/>
        <v>3306.11733</v>
      </c>
      <c r="S67" s="723"/>
    </row>
    <row r="68" spans="1:19" ht="15">
      <c r="A68" s="714" t="s">
        <v>1347</v>
      </c>
      <c r="B68" s="714" t="s">
        <v>1306</v>
      </c>
      <c r="C68" s="714" t="s">
        <v>1307</v>
      </c>
      <c r="D68" s="714">
        <v>9906566</v>
      </c>
      <c r="E68" s="714" t="s">
        <v>1368</v>
      </c>
      <c r="F68" s="711">
        <v>1138563.8099999998</v>
      </c>
      <c r="G68" s="711">
        <v>442917.72000000003</v>
      </c>
      <c r="H68" s="711">
        <v>695646.09000000008</v>
      </c>
      <c r="I68" s="711"/>
      <c r="J68" s="711">
        <f t="shared" si="17"/>
        <v>340293.95153279993</v>
      </c>
      <c r="K68" s="711">
        <f t="shared" si="18"/>
        <v>169158.26608166797</v>
      </c>
      <c r="L68" s="711">
        <f t="shared" si="19"/>
        <v>66615.527693131982</v>
      </c>
      <c r="M68" s="711">
        <f t="shared" si="20"/>
        <v>104520.15775799999</v>
      </c>
      <c r="O68" s="711">
        <f t="shared" si="21"/>
        <v>132379.2481536</v>
      </c>
      <c r="P68" s="711">
        <f t="shared" si="22"/>
        <v>65805.001769769704</v>
      </c>
      <c r="Q68" s="711">
        <f t="shared" si="23"/>
        <v>25914.399687830304</v>
      </c>
      <c r="R68" s="711">
        <f t="shared" si="24"/>
        <v>40659.846696000008</v>
      </c>
      <c r="S68" s="723"/>
    </row>
    <row r="69" spans="1:19" ht="15">
      <c r="A69" s="714" t="s">
        <v>1347</v>
      </c>
      <c r="B69" s="714" t="s">
        <v>1306</v>
      </c>
      <c r="C69" s="714" t="s">
        <v>1307</v>
      </c>
      <c r="D69" s="714">
        <v>9906574</v>
      </c>
      <c r="E69" s="714" t="s">
        <v>1369</v>
      </c>
      <c r="F69" s="711">
        <v>1030472.49</v>
      </c>
      <c r="G69" s="711">
        <v>198426.16999999998</v>
      </c>
      <c r="H69" s="711">
        <v>832046.32000000007</v>
      </c>
      <c r="I69" s="711"/>
      <c r="J69" s="711">
        <f t="shared" si="17"/>
        <v>307987.61781119998</v>
      </c>
      <c r="K69" s="711">
        <f t="shared" si="18"/>
        <v>153098.96390722183</v>
      </c>
      <c r="L69" s="711">
        <f t="shared" si="19"/>
        <v>60291.279321978167</v>
      </c>
      <c r="M69" s="711">
        <f t="shared" si="20"/>
        <v>94597.374582000004</v>
      </c>
      <c r="O69" s="711">
        <f t="shared" si="21"/>
        <v>59305.613689599988</v>
      </c>
      <c r="P69" s="711">
        <f t="shared" si="22"/>
        <v>29480.496892331652</v>
      </c>
      <c r="Q69" s="711">
        <f t="shared" si="23"/>
        <v>11609.594391268343</v>
      </c>
      <c r="R69" s="711">
        <f t="shared" si="24"/>
        <v>18215.522406</v>
      </c>
      <c r="S69" s="723"/>
    </row>
    <row r="70" spans="1:19" ht="15">
      <c r="A70" s="714" t="s">
        <v>1347</v>
      </c>
      <c r="B70" s="714" t="s">
        <v>1306</v>
      </c>
      <c r="C70" s="714" t="s">
        <v>1307</v>
      </c>
      <c r="D70" s="714">
        <v>9906593</v>
      </c>
      <c r="E70" s="714" t="s">
        <v>1370</v>
      </c>
      <c r="F70" s="711">
        <v>45787.65</v>
      </c>
      <c r="G70" s="711">
        <v>17847.440000000002</v>
      </c>
      <c r="H70" s="711">
        <v>27940.210000000003</v>
      </c>
      <c r="I70" s="711"/>
      <c r="J70" s="711">
        <f t="shared" si="17"/>
        <v>13685.012832</v>
      </c>
      <c r="K70" s="711">
        <f t="shared" si="18"/>
        <v>6802.7451899725202</v>
      </c>
      <c r="L70" s="711">
        <f t="shared" si="19"/>
        <v>2678.9613720274801</v>
      </c>
      <c r="M70" s="711">
        <f t="shared" si="20"/>
        <v>4203.30627</v>
      </c>
      <c r="O70" s="711">
        <f t="shared" si="21"/>
        <v>5334.2428672000005</v>
      </c>
      <c r="P70" s="711">
        <f t="shared" si="22"/>
        <v>2651.6230165409925</v>
      </c>
      <c r="Q70" s="711">
        <f t="shared" si="23"/>
        <v>1044.2248586590081</v>
      </c>
      <c r="R70" s="711">
        <f t="shared" si="24"/>
        <v>1638.3949920000002</v>
      </c>
      <c r="S70" s="723"/>
    </row>
    <row r="71" spans="1:19" ht="15">
      <c r="A71" s="714" t="s">
        <v>1347</v>
      </c>
      <c r="B71" s="714" t="s">
        <v>1306</v>
      </c>
      <c r="C71" s="714" t="s">
        <v>1307</v>
      </c>
      <c r="D71" s="714">
        <v>9906604</v>
      </c>
      <c r="E71" s="714" t="s">
        <v>1371</v>
      </c>
      <c r="F71" s="711">
        <v>4998134.04</v>
      </c>
      <c r="G71" s="711">
        <v>2808415.01</v>
      </c>
      <c r="H71" s="711">
        <v>2189719.0299999998</v>
      </c>
      <c r="I71" s="711"/>
      <c r="J71" s="711">
        <f t="shared" si="17"/>
        <v>1493842.3018751999</v>
      </c>
      <c r="K71" s="711">
        <f t="shared" si="18"/>
        <v>742580.85530591593</v>
      </c>
      <c r="L71" s="711">
        <f t="shared" si="19"/>
        <v>292432.7416972841</v>
      </c>
      <c r="M71" s="711">
        <f t="shared" si="20"/>
        <v>458828.70487200003</v>
      </c>
      <c r="O71" s="711">
        <f t="shared" si="21"/>
        <v>839379.0781887999</v>
      </c>
      <c r="P71" s="711">
        <f t="shared" si="22"/>
        <v>417250.75868108816</v>
      </c>
      <c r="Q71" s="711">
        <f t="shared" si="23"/>
        <v>164315.82158971182</v>
      </c>
      <c r="R71" s="711">
        <f t="shared" si="24"/>
        <v>257812.49791800001</v>
      </c>
      <c r="S71" s="723"/>
    </row>
    <row r="72" spans="1:19" ht="15">
      <c r="A72" s="714" t="s">
        <v>1347</v>
      </c>
      <c r="B72" s="714" t="s">
        <v>1306</v>
      </c>
      <c r="C72" s="714" t="s">
        <v>1307</v>
      </c>
      <c r="D72" s="714">
        <v>9906611</v>
      </c>
      <c r="E72" s="714" t="s">
        <v>1372</v>
      </c>
      <c r="F72" s="711">
        <v>142531.37</v>
      </c>
      <c r="G72" s="711">
        <v>80141.08</v>
      </c>
      <c r="H72" s="711">
        <v>62390.29</v>
      </c>
      <c r="I72" s="711"/>
      <c r="J72" s="711">
        <f t="shared" si="17"/>
        <v>42599.775865599993</v>
      </c>
      <c r="K72" s="711">
        <f t="shared" si="18"/>
        <v>21176.116085619014</v>
      </c>
      <c r="L72" s="711">
        <f t="shared" si="19"/>
        <v>8339.2800139809842</v>
      </c>
      <c r="M72" s="711">
        <f t="shared" si="20"/>
        <v>13084.379766</v>
      </c>
      <c r="O72" s="711">
        <f t="shared" si="21"/>
        <v>23952.565990399999</v>
      </c>
      <c r="P72" s="711">
        <f t="shared" si="22"/>
        <v>11906.689827698145</v>
      </c>
      <c r="Q72" s="711">
        <f t="shared" si="23"/>
        <v>4688.9250187018561</v>
      </c>
      <c r="R72" s="711">
        <f t="shared" si="24"/>
        <v>7356.9511440000006</v>
      </c>
      <c r="S72" s="723"/>
    </row>
    <row r="73" spans="1:19" ht="15">
      <c r="A73" s="714" t="s">
        <v>1347</v>
      </c>
      <c r="B73" s="714" t="s">
        <v>1306</v>
      </c>
      <c r="C73" s="714" t="s">
        <v>1307</v>
      </c>
      <c r="D73" s="714">
        <v>9906628</v>
      </c>
      <c r="E73" s="714" t="s">
        <v>1373</v>
      </c>
      <c r="F73" s="711">
        <v>1101103.23</v>
      </c>
      <c r="G73" s="711">
        <v>619101.21</v>
      </c>
      <c r="H73" s="711">
        <v>482002.01999999996</v>
      </c>
      <c r="I73" s="711"/>
      <c r="J73" s="711">
        <f t="shared" si="17"/>
        <v>329097.73338239995</v>
      </c>
      <c r="K73" s="711">
        <f t="shared" si="18"/>
        <v>163592.68714480227</v>
      </c>
      <c r="L73" s="711">
        <f t="shared" si="19"/>
        <v>64423.769723597732</v>
      </c>
      <c r="M73" s="711">
        <f t="shared" si="20"/>
        <v>101081.27651400001</v>
      </c>
      <c r="O73" s="711">
        <f t="shared" si="21"/>
        <v>185036.96964479997</v>
      </c>
      <c r="P73" s="711">
        <f t="shared" si="22"/>
        <v>91980.867732536324</v>
      </c>
      <c r="Q73" s="711">
        <f t="shared" si="23"/>
        <v>36222.610834263673</v>
      </c>
      <c r="R73" s="711">
        <f t="shared" si="24"/>
        <v>56833.491077999999</v>
      </c>
      <c r="S73" s="723"/>
    </row>
    <row r="74" spans="1:19" ht="15">
      <c r="A74" s="714" t="s">
        <v>1347</v>
      </c>
      <c r="B74" s="714" t="s">
        <v>1306</v>
      </c>
      <c r="C74" s="714" t="s">
        <v>1307</v>
      </c>
      <c r="D74" s="714">
        <v>9906633</v>
      </c>
      <c r="E74" s="714" t="s">
        <v>1374</v>
      </c>
      <c r="F74" s="711">
        <v>1476467.29</v>
      </c>
      <c r="G74" s="711">
        <v>830155.79</v>
      </c>
      <c r="H74" s="711">
        <v>646311.5</v>
      </c>
      <c r="I74" s="711"/>
      <c r="J74" s="711">
        <f t="shared" si="17"/>
        <v>441286.54363519995</v>
      </c>
      <c r="K74" s="711">
        <f t="shared" si="18"/>
        <v>219361.13242761447</v>
      </c>
      <c r="L74" s="711">
        <f t="shared" si="19"/>
        <v>86385.713985585535</v>
      </c>
      <c r="M74" s="711">
        <f t="shared" si="20"/>
        <v>135539.69722200002</v>
      </c>
      <c r="O74" s="711">
        <f t="shared" si="21"/>
        <v>248116.96251519999</v>
      </c>
      <c r="P74" s="711">
        <f t="shared" si="22"/>
        <v>123337.58791618128</v>
      </c>
      <c r="Q74" s="711">
        <f t="shared" si="23"/>
        <v>48571.073077018729</v>
      </c>
      <c r="R74" s="711">
        <f t="shared" si="24"/>
        <v>76208.301522000009</v>
      </c>
      <c r="S74" s="723"/>
    </row>
    <row r="75" spans="1:19" ht="15">
      <c r="A75" s="714" t="s">
        <v>1347</v>
      </c>
      <c r="B75" s="714" t="s">
        <v>1306</v>
      </c>
      <c r="C75" s="714" t="s">
        <v>1307</v>
      </c>
      <c r="D75" s="714">
        <v>9906634</v>
      </c>
      <c r="E75" s="714" t="s">
        <v>1375</v>
      </c>
      <c r="F75" s="711">
        <v>26001.47</v>
      </c>
      <c r="G75" s="711">
        <v>10105.5</v>
      </c>
      <c r="H75" s="711">
        <v>15895.97</v>
      </c>
      <c r="I75" s="711"/>
      <c r="J75" s="711">
        <f t="shared" si="17"/>
        <v>7771.3193535999999</v>
      </c>
      <c r="K75" s="711">
        <f t="shared" si="18"/>
        <v>3863.0804370766964</v>
      </c>
      <c r="L75" s="711">
        <f t="shared" si="19"/>
        <v>1521.3039705233041</v>
      </c>
      <c r="M75" s="711">
        <f t="shared" si="20"/>
        <v>2386.9349460000003</v>
      </c>
      <c r="O75" s="711">
        <f t="shared" si="21"/>
        <v>3020.3318399999998</v>
      </c>
      <c r="P75" s="711">
        <f t="shared" si="22"/>
        <v>1501.3904735724</v>
      </c>
      <c r="Q75" s="711">
        <f t="shared" si="23"/>
        <v>591.2564664276</v>
      </c>
      <c r="R75" s="711">
        <f t="shared" si="24"/>
        <v>927.68490000000008</v>
      </c>
      <c r="S75" s="723"/>
    </row>
    <row r="76" spans="1:19" ht="15">
      <c r="A76" s="714" t="s">
        <v>1347</v>
      </c>
      <c r="B76" s="714" t="s">
        <v>1306</v>
      </c>
      <c r="C76" s="714" t="s">
        <v>1307</v>
      </c>
      <c r="D76" s="714">
        <v>9906635</v>
      </c>
      <c r="E76" s="714" t="s">
        <v>1376</v>
      </c>
      <c r="F76" s="711">
        <v>127062.85</v>
      </c>
      <c r="G76" s="711">
        <v>71419.89</v>
      </c>
      <c r="H76" s="711">
        <v>55642.96</v>
      </c>
      <c r="I76" s="711"/>
      <c r="J76" s="711">
        <f t="shared" si="17"/>
        <v>37976.544607999997</v>
      </c>
      <c r="K76" s="711">
        <f t="shared" si="18"/>
        <v>18877.933059715881</v>
      </c>
      <c r="L76" s="711">
        <f t="shared" si="19"/>
        <v>7434.2419182841204</v>
      </c>
      <c r="M76" s="711">
        <f t="shared" si="20"/>
        <v>11664.369630000001</v>
      </c>
      <c r="O76" s="711">
        <f t="shared" si="21"/>
        <v>21345.976723199998</v>
      </c>
      <c r="P76" s="711">
        <f t="shared" si="22"/>
        <v>10610.968528978152</v>
      </c>
      <c r="Q76" s="711">
        <f t="shared" si="23"/>
        <v>4178.6622922218476</v>
      </c>
      <c r="R76" s="711">
        <f t="shared" si="24"/>
        <v>6556.345902</v>
      </c>
      <c r="S76" s="723"/>
    </row>
    <row r="77" spans="1:19" ht="15">
      <c r="A77" s="714" t="s">
        <v>1347</v>
      </c>
      <c r="B77" s="714" t="s">
        <v>1306</v>
      </c>
      <c r="C77" s="714" t="s">
        <v>1307</v>
      </c>
      <c r="D77" s="714">
        <v>9906637</v>
      </c>
      <c r="E77" s="714" t="s">
        <v>1377</v>
      </c>
      <c r="F77" s="711">
        <v>42166.32</v>
      </c>
      <c r="G77" s="711">
        <v>23703.38</v>
      </c>
      <c r="H77" s="711">
        <v>18462.939999999999</v>
      </c>
      <c r="I77" s="711"/>
      <c r="J77" s="711">
        <f t="shared" si="17"/>
        <v>12602.669721599999</v>
      </c>
      <c r="K77" s="711">
        <f t="shared" si="18"/>
        <v>6264.7183369061759</v>
      </c>
      <c r="L77" s="711">
        <f t="shared" si="19"/>
        <v>2467.083208693824</v>
      </c>
      <c r="M77" s="711">
        <f t="shared" si="20"/>
        <v>3870.8681760000004</v>
      </c>
      <c r="O77" s="711">
        <f t="shared" si="21"/>
        <v>7084.4662143999994</v>
      </c>
      <c r="P77" s="711">
        <f t="shared" si="22"/>
        <v>3521.6494902247841</v>
      </c>
      <c r="Q77" s="711">
        <f t="shared" si="23"/>
        <v>1386.846440175216</v>
      </c>
      <c r="R77" s="711">
        <f t="shared" si="24"/>
        <v>2175.9702840000004</v>
      </c>
      <c r="S77" s="723"/>
    </row>
    <row r="78" spans="1:19" ht="15">
      <c r="A78" s="714" t="s">
        <v>1347</v>
      </c>
      <c r="B78" s="714" t="s">
        <v>1306</v>
      </c>
      <c r="C78" s="714" t="s">
        <v>1307</v>
      </c>
      <c r="D78" s="714">
        <v>9906659</v>
      </c>
      <c r="E78" s="714" t="s">
        <v>1378</v>
      </c>
      <c r="F78" s="711">
        <v>239178.67</v>
      </c>
      <c r="G78" s="711">
        <v>134478.66</v>
      </c>
      <c r="H78" s="711">
        <v>104700.01</v>
      </c>
      <c r="I78" s="711"/>
      <c r="J78" s="711">
        <f t="shared" si="17"/>
        <v>71485.720889599994</v>
      </c>
      <c r="K78" s="711">
        <f t="shared" si="18"/>
        <v>35535.16170597366</v>
      </c>
      <c r="L78" s="711">
        <f t="shared" si="19"/>
        <v>13993.957277626345</v>
      </c>
      <c r="M78" s="711">
        <f t="shared" si="20"/>
        <v>21956.601906000004</v>
      </c>
      <c r="O78" s="711">
        <f t="shared" si="21"/>
        <v>40192.981900799998</v>
      </c>
      <c r="P78" s="711">
        <f t="shared" si="22"/>
        <v>19979.71194129749</v>
      </c>
      <c r="Q78" s="711">
        <f t="shared" si="23"/>
        <v>7868.1289715025123</v>
      </c>
      <c r="R78" s="711">
        <f t="shared" si="24"/>
        <v>12345.140988000001</v>
      </c>
      <c r="S78" s="723"/>
    </row>
    <row r="79" spans="1:19" ht="15">
      <c r="A79" s="714" t="s">
        <v>1347</v>
      </c>
      <c r="B79" s="714" t="s">
        <v>1306</v>
      </c>
      <c r="C79" s="714" t="s">
        <v>1307</v>
      </c>
      <c r="D79" s="714">
        <v>9906661</v>
      </c>
      <c r="E79" s="714" t="s">
        <v>1379</v>
      </c>
      <c r="F79" s="711">
        <v>247275.9</v>
      </c>
      <c r="G79" s="711">
        <v>139029.34</v>
      </c>
      <c r="H79" s="711">
        <v>108246.56</v>
      </c>
      <c r="I79" s="711"/>
      <c r="J79" s="711">
        <f t="shared" si="17"/>
        <v>73905.820991999994</v>
      </c>
      <c r="K79" s="711">
        <f t="shared" si="18"/>
        <v>36738.180258675122</v>
      </c>
      <c r="L79" s="711">
        <f t="shared" si="19"/>
        <v>14467.71311332488</v>
      </c>
      <c r="M79" s="711">
        <f t="shared" si="20"/>
        <v>22699.927620000002</v>
      </c>
      <c r="O79" s="711">
        <f t="shared" si="21"/>
        <v>41553.089139199998</v>
      </c>
      <c r="P79" s="711">
        <f t="shared" si="22"/>
        <v>20655.813826436912</v>
      </c>
      <c r="Q79" s="711">
        <f t="shared" si="23"/>
        <v>8134.3819007630882</v>
      </c>
      <c r="R79" s="711">
        <f t="shared" si="24"/>
        <v>12762.893412000001</v>
      </c>
      <c r="S79" s="723"/>
    </row>
    <row r="80" spans="1:19" ht="15">
      <c r="A80" s="714" t="s">
        <v>1347</v>
      </c>
      <c r="B80" s="714" t="s">
        <v>1306</v>
      </c>
      <c r="C80" s="714" t="s">
        <v>1307</v>
      </c>
      <c r="D80" s="714">
        <v>9906664</v>
      </c>
      <c r="E80" s="714" t="s">
        <v>1697</v>
      </c>
      <c r="F80" s="711">
        <v>83.2</v>
      </c>
      <c r="G80" s="711">
        <v>46.79</v>
      </c>
      <c r="H80" s="711">
        <v>36.409999999999997</v>
      </c>
      <c r="I80" s="711"/>
      <c r="J80" s="711">
        <f t="shared" si="17"/>
        <v>24.866816</v>
      </c>
      <c r="K80" s="711">
        <f t="shared" si="18"/>
        <v>12.36115851776</v>
      </c>
      <c r="L80" s="711">
        <f t="shared" si="19"/>
        <v>4.8678974822400001</v>
      </c>
      <c r="M80" s="711">
        <f t="shared" si="20"/>
        <v>7.637760000000001</v>
      </c>
      <c r="O80" s="711">
        <f t="shared" si="21"/>
        <v>13.984595199999999</v>
      </c>
      <c r="P80" s="711">
        <f t="shared" si="22"/>
        <v>6.9516659500719999</v>
      </c>
      <c r="Q80" s="711">
        <f t="shared" si="23"/>
        <v>2.7376072499279998</v>
      </c>
      <c r="R80" s="711">
        <f t="shared" si="24"/>
        <v>4.2953220000000005</v>
      </c>
      <c r="S80" s="723"/>
    </row>
    <row r="81" spans="1:19" ht="15">
      <c r="A81" s="714" t="s">
        <v>1347</v>
      </c>
      <c r="B81" s="714" t="s">
        <v>1306</v>
      </c>
      <c r="C81" s="714" t="s">
        <v>1307</v>
      </c>
      <c r="D81" s="714">
        <v>9906665</v>
      </c>
      <c r="E81" s="714" t="s">
        <v>1380</v>
      </c>
      <c r="F81" s="711">
        <v>9716.58</v>
      </c>
      <c r="G81" s="711">
        <v>3779.7599999999998</v>
      </c>
      <c r="H81" s="711">
        <v>5936.8200000000006</v>
      </c>
      <c r="I81" s="711"/>
      <c r="J81" s="711">
        <f t="shared" si="17"/>
        <v>2904.0914303999998</v>
      </c>
      <c r="K81" s="711">
        <f t="shared" si="18"/>
        <v>1443.608000366544</v>
      </c>
      <c r="L81" s="711">
        <f t="shared" si="19"/>
        <v>568.50138603345601</v>
      </c>
      <c r="M81" s="711">
        <f t="shared" si="20"/>
        <v>891.98204400000009</v>
      </c>
      <c r="O81" s="711">
        <f t="shared" si="21"/>
        <v>1129.6946687999998</v>
      </c>
      <c r="P81" s="711">
        <f t="shared" si="22"/>
        <v>561.56505431596793</v>
      </c>
      <c r="Q81" s="711">
        <f t="shared" si="23"/>
        <v>221.14764648403198</v>
      </c>
      <c r="R81" s="711">
        <f t="shared" si="24"/>
        <v>346.98196799999999</v>
      </c>
      <c r="S81" s="723"/>
    </row>
    <row r="82" spans="1:19" ht="15">
      <c r="A82" s="714" t="s">
        <v>1347</v>
      </c>
      <c r="B82" s="714" t="s">
        <v>1306</v>
      </c>
      <c r="C82" s="714" t="s">
        <v>1307</v>
      </c>
      <c r="D82" s="714">
        <v>9906672</v>
      </c>
      <c r="E82" s="714" t="s">
        <v>1381</v>
      </c>
      <c r="F82" s="711">
        <v>138891.93</v>
      </c>
      <c r="G82" s="711">
        <v>54020.189999999995</v>
      </c>
      <c r="H82" s="711">
        <v>84871.74</v>
      </c>
      <c r="I82" s="711"/>
      <c r="J82" s="711">
        <f t="shared" si="17"/>
        <v>41512.020038399998</v>
      </c>
      <c r="K82" s="711">
        <f t="shared" si="18"/>
        <v>20635.398600572422</v>
      </c>
      <c r="L82" s="711">
        <f t="shared" si="19"/>
        <v>8126.3422638275752</v>
      </c>
      <c r="M82" s="711">
        <f t="shared" si="20"/>
        <v>12750.279174000001</v>
      </c>
      <c r="O82" s="711">
        <f t="shared" si="21"/>
        <v>16145.554387199998</v>
      </c>
      <c r="P82" s="711">
        <f t="shared" si="22"/>
        <v>8025.8669681431911</v>
      </c>
      <c r="Q82" s="711">
        <f t="shared" si="23"/>
        <v>3160.6339770568079</v>
      </c>
      <c r="R82" s="711">
        <f t="shared" si="24"/>
        <v>4959.0534419999994</v>
      </c>
      <c r="S82" s="723"/>
    </row>
    <row r="83" spans="1:19" ht="15">
      <c r="A83" s="714" t="s">
        <v>1347</v>
      </c>
      <c r="B83" s="714" t="s">
        <v>1306</v>
      </c>
      <c r="C83" s="714" t="s">
        <v>1307</v>
      </c>
      <c r="D83" s="714">
        <v>9906692</v>
      </c>
      <c r="E83" s="714" t="s">
        <v>1382</v>
      </c>
      <c r="F83" s="711">
        <v>466867.55</v>
      </c>
      <c r="G83" s="711">
        <v>262535.32</v>
      </c>
      <c r="H83" s="711">
        <v>204332.22999999998</v>
      </c>
      <c r="I83" s="711"/>
      <c r="J83" s="711">
        <f t="shared" si="17"/>
        <v>139537.37334399999</v>
      </c>
      <c r="K83" s="711">
        <f t="shared" si="18"/>
        <v>69363.266734954843</v>
      </c>
      <c r="L83" s="711">
        <f t="shared" si="19"/>
        <v>27315.66551904516</v>
      </c>
      <c r="M83" s="711">
        <f t="shared" si="20"/>
        <v>42858.44109</v>
      </c>
      <c r="O83" s="711">
        <f t="shared" si="21"/>
        <v>78466.556441599998</v>
      </c>
      <c r="P83" s="711">
        <f t="shared" si="22"/>
        <v>39005.29695950538</v>
      </c>
      <c r="Q83" s="711">
        <f t="shared" si="23"/>
        <v>15360.517106094625</v>
      </c>
      <c r="R83" s="711">
        <f t="shared" si="24"/>
        <v>24100.742376000002</v>
      </c>
      <c r="S83" s="723"/>
    </row>
    <row r="84" spans="1:19" ht="15">
      <c r="A84" s="714" t="s">
        <v>1347</v>
      </c>
      <c r="B84" s="714" t="s">
        <v>1306</v>
      </c>
      <c r="C84" s="714" t="s">
        <v>1307</v>
      </c>
      <c r="D84" s="714">
        <v>9906693</v>
      </c>
      <c r="E84" s="714" t="s">
        <v>1383</v>
      </c>
      <c r="F84" s="711">
        <v>1040288.48</v>
      </c>
      <c r="G84" s="711">
        <v>584994.36</v>
      </c>
      <c r="H84" s="711">
        <v>455294.12</v>
      </c>
      <c r="I84" s="711"/>
      <c r="J84" s="711">
        <f t="shared" si="17"/>
        <v>310921.42090239999</v>
      </c>
      <c r="K84" s="711">
        <f t="shared" si="18"/>
        <v>154557.34141201447</v>
      </c>
      <c r="L84" s="711">
        <f t="shared" si="19"/>
        <v>60865.597026385534</v>
      </c>
      <c r="M84" s="711">
        <f t="shared" si="20"/>
        <v>95498.482464000001</v>
      </c>
      <c r="O84" s="711">
        <f t="shared" si="21"/>
        <v>174843.1143168</v>
      </c>
      <c r="P84" s="711">
        <f t="shared" si="22"/>
        <v>86913.557884081252</v>
      </c>
      <c r="Q84" s="711">
        <f t="shared" si="23"/>
        <v>34227.074184718753</v>
      </c>
      <c r="R84" s="711">
        <f t="shared" si="24"/>
        <v>53702.482248</v>
      </c>
      <c r="S84" s="723"/>
    </row>
    <row r="85" spans="1:19" ht="15">
      <c r="A85" s="714" t="s">
        <v>1347</v>
      </c>
      <c r="B85" s="714" t="s">
        <v>1306</v>
      </c>
      <c r="C85" s="714" t="s">
        <v>1307</v>
      </c>
      <c r="D85" s="714">
        <v>9906699</v>
      </c>
      <c r="E85" s="714" t="s">
        <v>1384</v>
      </c>
      <c r="F85" s="711">
        <v>771369.99</v>
      </c>
      <c r="G85" s="711">
        <v>433748.68</v>
      </c>
      <c r="H85" s="711">
        <v>337621.31000000006</v>
      </c>
      <c r="I85" s="711"/>
      <c r="J85" s="711">
        <f t="shared" si="17"/>
        <v>230547.06261119997</v>
      </c>
      <c r="K85" s="711">
        <f t="shared" si="18"/>
        <v>114603.68656529982</v>
      </c>
      <c r="L85" s="711">
        <f t="shared" si="19"/>
        <v>45131.610963900166</v>
      </c>
      <c r="M85" s="711">
        <f t="shared" si="20"/>
        <v>70811.765081999998</v>
      </c>
      <c r="O85" s="711">
        <f t="shared" si="21"/>
        <v>129638.80547839998</v>
      </c>
      <c r="P85" s="711">
        <f t="shared" si="22"/>
        <v>64442.742672465822</v>
      </c>
      <c r="Q85" s="711">
        <f t="shared" si="23"/>
        <v>25377.933981934177</v>
      </c>
      <c r="R85" s="711">
        <f t="shared" si="24"/>
        <v>39818.128823999999</v>
      </c>
      <c r="S85" s="723"/>
    </row>
    <row r="86" spans="1:19" ht="15">
      <c r="A86" s="714" t="s">
        <v>1347</v>
      </c>
      <c r="B86" s="714" t="s">
        <v>1306</v>
      </c>
      <c r="C86" s="714" t="s">
        <v>1307</v>
      </c>
      <c r="D86" s="714">
        <v>9906700</v>
      </c>
      <c r="E86" s="714" t="s">
        <v>1385</v>
      </c>
      <c r="F86" s="711">
        <v>196694.47999999998</v>
      </c>
      <c r="G86" s="711">
        <v>110603.74</v>
      </c>
      <c r="H86" s="711">
        <v>86090.739999999991</v>
      </c>
      <c r="I86" s="711"/>
      <c r="J86" s="711">
        <f t="shared" si="17"/>
        <v>58788.046182399987</v>
      </c>
      <c r="K86" s="711">
        <f t="shared" si="18"/>
        <v>29223.21690923526</v>
      </c>
      <c r="L86" s="711">
        <f t="shared" si="19"/>
        <v>11508.276009164734</v>
      </c>
      <c r="M86" s="711">
        <f t="shared" si="20"/>
        <v>18056.553263999998</v>
      </c>
      <c r="O86" s="711">
        <f t="shared" si="21"/>
        <v>33057.245811200002</v>
      </c>
      <c r="P86" s="711">
        <f t="shared" si="22"/>
        <v>16432.576475926831</v>
      </c>
      <c r="Q86" s="711">
        <f t="shared" si="23"/>
        <v>6471.2460032731678</v>
      </c>
      <c r="R86" s="711">
        <f t="shared" si="24"/>
        <v>10153.423332000002</v>
      </c>
      <c r="S86" s="723"/>
    </row>
    <row r="87" spans="1:19" ht="15">
      <c r="A87" s="714" t="s">
        <v>1347</v>
      </c>
      <c r="B87" s="714" t="s">
        <v>1306</v>
      </c>
      <c r="C87" s="714" t="s">
        <v>1307</v>
      </c>
      <c r="D87" s="714">
        <v>9906702</v>
      </c>
      <c r="E87" s="714" t="s">
        <v>1698</v>
      </c>
      <c r="F87" s="711">
        <v>38642.450000000004</v>
      </c>
      <c r="G87" s="711">
        <v>15033.890000000001</v>
      </c>
      <c r="H87" s="711">
        <v>23608.560000000001</v>
      </c>
      <c r="I87" s="711"/>
      <c r="J87" s="711">
        <f t="shared" si="17"/>
        <v>11549.455456</v>
      </c>
      <c r="K87" s="711">
        <f t="shared" si="18"/>
        <v>5741.1712736131603</v>
      </c>
      <c r="L87" s="711">
        <f t="shared" si="19"/>
        <v>2260.9072723868403</v>
      </c>
      <c r="M87" s="711">
        <f t="shared" si="20"/>
        <v>3547.3769100000009</v>
      </c>
      <c r="O87" s="711">
        <f t="shared" si="21"/>
        <v>4493.3290432000003</v>
      </c>
      <c r="P87" s="711">
        <f t="shared" si="22"/>
        <v>2233.6093440933523</v>
      </c>
      <c r="Q87" s="711">
        <f t="shared" si="23"/>
        <v>879.60859710664806</v>
      </c>
      <c r="R87" s="711">
        <f t="shared" si="24"/>
        <v>1380.1111020000003</v>
      </c>
      <c r="S87" s="723"/>
    </row>
    <row r="88" spans="1:19" ht="15">
      <c r="A88" s="714" t="s">
        <v>1347</v>
      </c>
      <c r="B88" s="714" t="s">
        <v>1306</v>
      </c>
      <c r="C88" s="714" t="s">
        <v>1307</v>
      </c>
      <c r="D88" s="714">
        <v>9906703</v>
      </c>
      <c r="E88" s="714" t="s">
        <v>1386</v>
      </c>
      <c r="F88" s="711">
        <v>150779.63</v>
      </c>
      <c r="G88" s="711">
        <v>84766.35</v>
      </c>
      <c r="H88" s="711">
        <v>66013.279999999999</v>
      </c>
      <c r="I88" s="711"/>
      <c r="J88" s="711">
        <f t="shared" si="17"/>
        <v>45065.015814400002</v>
      </c>
      <c r="K88" s="711">
        <f t="shared" si="18"/>
        <v>22401.573409605786</v>
      </c>
      <c r="L88" s="711">
        <f t="shared" si="19"/>
        <v>8821.8723707942154</v>
      </c>
      <c r="M88" s="711">
        <f t="shared" si="20"/>
        <v>13841.570034000002</v>
      </c>
      <c r="O88" s="711">
        <f t="shared" si="21"/>
        <v>25334.966688</v>
      </c>
      <c r="P88" s="711">
        <f t="shared" si="22"/>
        <v>12593.873669734681</v>
      </c>
      <c r="Q88" s="711">
        <f t="shared" si="23"/>
        <v>4959.5420882653207</v>
      </c>
      <c r="R88" s="711">
        <f t="shared" si="24"/>
        <v>7781.5509300000012</v>
      </c>
      <c r="S88" s="723"/>
    </row>
    <row r="89" spans="1:19" ht="15">
      <c r="A89" s="714" t="s">
        <v>1347</v>
      </c>
      <c r="B89" s="714" t="s">
        <v>1306</v>
      </c>
      <c r="C89" s="714" t="s">
        <v>1307</v>
      </c>
      <c r="D89" s="714">
        <v>9906707</v>
      </c>
      <c r="E89" s="714" t="s">
        <v>1387</v>
      </c>
      <c r="F89" s="711">
        <v>31028.17</v>
      </c>
      <c r="G89" s="711">
        <v>17446.189999999999</v>
      </c>
      <c r="H89" s="711">
        <v>13581.98</v>
      </c>
      <c r="I89" s="711"/>
      <c r="J89" s="711">
        <f t="shared" si="17"/>
        <v>9273.6994495999988</v>
      </c>
      <c r="K89" s="711">
        <f t="shared" si="18"/>
        <v>4609.9053832452555</v>
      </c>
      <c r="L89" s="711">
        <f t="shared" si="19"/>
        <v>1815.4080603547438</v>
      </c>
      <c r="M89" s="711">
        <f t="shared" si="20"/>
        <v>2848.3860060000002</v>
      </c>
      <c r="O89" s="711">
        <f t="shared" si="21"/>
        <v>5214.3172671999992</v>
      </c>
      <c r="P89" s="711">
        <f t="shared" si="22"/>
        <v>2592.0086552999919</v>
      </c>
      <c r="Q89" s="711">
        <f t="shared" si="23"/>
        <v>1020.7483699000079</v>
      </c>
      <c r="R89" s="711">
        <f t="shared" si="24"/>
        <v>1601.560242</v>
      </c>
      <c r="S89" s="723"/>
    </row>
    <row r="90" spans="1:19" ht="15">
      <c r="A90" s="714" t="s">
        <v>1347</v>
      </c>
      <c r="B90" s="714" t="s">
        <v>1306</v>
      </c>
      <c r="C90" s="714" t="s">
        <v>1307</v>
      </c>
      <c r="D90" s="714">
        <v>9906714</v>
      </c>
      <c r="E90" s="714" t="s">
        <v>1388</v>
      </c>
      <c r="F90" s="711">
        <v>677785.17999999993</v>
      </c>
      <c r="G90" s="711">
        <v>381129.01</v>
      </c>
      <c r="H90" s="711">
        <v>296656.17</v>
      </c>
      <c r="I90" s="711"/>
      <c r="J90" s="711">
        <f t="shared" si="17"/>
        <v>202576.43459839997</v>
      </c>
      <c r="K90" s="711">
        <f t="shared" si="18"/>
        <v>100699.64003567901</v>
      </c>
      <c r="L90" s="711">
        <f t="shared" si="19"/>
        <v>39656.115038720971</v>
      </c>
      <c r="M90" s="711">
        <f t="shared" si="20"/>
        <v>62220.679523999999</v>
      </c>
      <c r="O90" s="711">
        <f t="shared" si="21"/>
        <v>113911.83850879999</v>
      </c>
      <c r="P90" s="711">
        <f t="shared" si="22"/>
        <v>56624.953225083373</v>
      </c>
      <c r="Q90" s="711">
        <f t="shared" si="23"/>
        <v>22299.242165716634</v>
      </c>
      <c r="R90" s="711">
        <f t="shared" si="24"/>
        <v>34987.643118</v>
      </c>
      <c r="S90" s="723"/>
    </row>
    <row r="91" spans="1:19" ht="15">
      <c r="A91" s="714" t="s">
        <v>1347</v>
      </c>
      <c r="B91" s="714" t="s">
        <v>1306</v>
      </c>
      <c r="C91" s="714" t="s">
        <v>1307</v>
      </c>
      <c r="D91" s="714">
        <v>9906724</v>
      </c>
      <c r="E91" s="714" t="s">
        <v>1389</v>
      </c>
      <c r="F91" s="711">
        <v>231724.89</v>
      </c>
      <c r="G91" s="711">
        <v>90112.68</v>
      </c>
      <c r="H91" s="711">
        <v>141612.21</v>
      </c>
      <c r="I91" s="711"/>
      <c r="J91" s="711">
        <f t="shared" si="17"/>
        <v>69257.935123200004</v>
      </c>
      <c r="K91" s="711">
        <f t="shared" si="18"/>
        <v>34427.741560102157</v>
      </c>
      <c r="L91" s="711">
        <f t="shared" si="19"/>
        <v>13557.848661097849</v>
      </c>
      <c r="M91" s="711">
        <f t="shared" si="20"/>
        <v>21272.344902000004</v>
      </c>
      <c r="O91" s="711">
        <f t="shared" si="21"/>
        <v>26932.877798399997</v>
      </c>
      <c r="P91" s="711">
        <f t="shared" si="22"/>
        <v>13388.186561781024</v>
      </c>
      <c r="Q91" s="711">
        <f t="shared" si="23"/>
        <v>5272.3472126189754</v>
      </c>
      <c r="R91" s="711">
        <f t="shared" si="24"/>
        <v>8272.344024</v>
      </c>
      <c r="S91" s="723"/>
    </row>
    <row r="92" spans="1:19" ht="15">
      <c r="A92" s="714" t="s">
        <v>1347</v>
      </c>
      <c r="B92" s="714" t="s">
        <v>1306</v>
      </c>
      <c r="C92" s="714" t="s">
        <v>1307</v>
      </c>
      <c r="D92" s="714">
        <v>9906730</v>
      </c>
      <c r="E92" s="714" t="s">
        <v>1390</v>
      </c>
      <c r="F92" s="711">
        <v>480458.13</v>
      </c>
      <c r="G92" s="711">
        <v>186913.11000000002</v>
      </c>
      <c r="H92" s="711">
        <v>293545.01999999996</v>
      </c>
      <c r="I92" s="711"/>
      <c r="J92" s="711">
        <f t="shared" si="17"/>
        <v>143599.32589439998</v>
      </c>
      <c r="K92" s="711">
        <f t="shared" si="18"/>
        <v>71382.441178804584</v>
      </c>
      <c r="L92" s="711">
        <f t="shared" si="19"/>
        <v>28110.828381595416</v>
      </c>
      <c r="M92" s="711">
        <f t="shared" si="20"/>
        <v>44106.056334000001</v>
      </c>
      <c r="O92" s="711">
        <f t="shared" si="21"/>
        <v>55864.5903168</v>
      </c>
      <c r="P92" s="711">
        <f t="shared" si="22"/>
        <v>27769.982953816252</v>
      </c>
      <c r="Q92" s="711">
        <f t="shared" si="23"/>
        <v>10935.983864983753</v>
      </c>
      <c r="R92" s="711">
        <f t="shared" si="24"/>
        <v>17158.623498000001</v>
      </c>
      <c r="S92" s="723"/>
    </row>
    <row r="93" spans="1:19" ht="15">
      <c r="A93" s="714" t="s">
        <v>1347</v>
      </c>
      <c r="B93" s="714" t="s">
        <v>1306</v>
      </c>
      <c r="C93" s="714" t="s">
        <v>1307</v>
      </c>
      <c r="D93" s="714">
        <v>9906736</v>
      </c>
      <c r="E93" s="714" t="s">
        <v>1391</v>
      </c>
      <c r="F93" s="711">
        <v>24681490.240000006</v>
      </c>
      <c r="G93" s="711">
        <v>14508057.140000001</v>
      </c>
      <c r="H93" s="711">
        <v>10173433.099999998</v>
      </c>
      <c r="I93" s="711"/>
      <c r="J93" s="711">
        <f t="shared" si="17"/>
        <v>7376803.8029312016</v>
      </c>
      <c r="K93" s="711">
        <f t="shared" si="18"/>
        <v>3666968.9099902208</v>
      </c>
      <c r="L93" s="711">
        <f t="shared" si="19"/>
        <v>1444074.0889089804</v>
      </c>
      <c r="M93" s="711">
        <f t="shared" si="20"/>
        <v>2265760.8040320007</v>
      </c>
      <c r="O93" s="711">
        <f t="shared" si="21"/>
        <v>4336168.1180031998</v>
      </c>
      <c r="P93" s="711">
        <f t="shared" si="22"/>
        <v>2155485.5059165838</v>
      </c>
      <c r="Q93" s="711">
        <f t="shared" si="23"/>
        <v>848842.96663461602</v>
      </c>
      <c r="R93" s="711">
        <f t="shared" si="24"/>
        <v>1331839.6454520002</v>
      </c>
      <c r="S93" s="723"/>
    </row>
    <row r="94" spans="1:19" ht="15">
      <c r="A94" s="714" t="s">
        <v>1347</v>
      </c>
      <c r="B94" s="714" t="s">
        <v>1306</v>
      </c>
      <c r="C94" s="714" t="s">
        <v>1307</v>
      </c>
      <c r="D94" s="714">
        <v>9906740</v>
      </c>
      <c r="E94" s="714" t="s">
        <v>1392</v>
      </c>
      <c r="F94" s="711">
        <v>20249.04</v>
      </c>
      <c r="G94" s="711">
        <v>7871.03</v>
      </c>
      <c r="H94" s="711">
        <v>12378.01</v>
      </c>
      <c r="I94" s="711"/>
      <c r="J94" s="711">
        <f t="shared" si="17"/>
        <v>6052.0330752</v>
      </c>
      <c r="K94" s="711">
        <f t="shared" si="18"/>
        <v>3008.4326114478722</v>
      </c>
      <c r="L94" s="711">
        <f t="shared" si="19"/>
        <v>1184.7385917521281</v>
      </c>
      <c r="M94" s="711">
        <f t="shared" si="20"/>
        <v>1858.8618720000002</v>
      </c>
      <c r="O94" s="711">
        <f t="shared" si="21"/>
        <v>2352.4934463999998</v>
      </c>
      <c r="P94" s="711">
        <f t="shared" si="22"/>
        <v>1169.4116529813039</v>
      </c>
      <c r="Q94" s="711">
        <f t="shared" si="23"/>
        <v>460.52123941869598</v>
      </c>
      <c r="R94" s="711">
        <f t="shared" si="24"/>
        <v>722.56055400000002</v>
      </c>
      <c r="S94" s="723"/>
    </row>
    <row r="95" spans="1:19" ht="15">
      <c r="A95" s="714" t="s">
        <v>1347</v>
      </c>
      <c r="B95" s="714" t="s">
        <v>1306</v>
      </c>
      <c r="C95" s="714" t="s">
        <v>1307</v>
      </c>
      <c r="D95" s="714">
        <v>9906742</v>
      </c>
      <c r="E95" s="714" t="s">
        <v>1393</v>
      </c>
      <c r="F95" s="711">
        <v>224890.83000000002</v>
      </c>
      <c r="G95" s="711">
        <v>126464.75</v>
      </c>
      <c r="H95" s="711">
        <v>98426.08</v>
      </c>
      <c r="I95" s="711"/>
      <c r="J95" s="711">
        <f t="shared" si="17"/>
        <v>67215.371270400006</v>
      </c>
      <c r="K95" s="711">
        <f t="shared" si="18"/>
        <v>33412.394216593944</v>
      </c>
      <c r="L95" s="711">
        <f t="shared" si="19"/>
        <v>13157.998859806057</v>
      </c>
      <c r="M95" s="711">
        <f t="shared" si="20"/>
        <v>20644.978194000003</v>
      </c>
      <c r="O95" s="711">
        <f t="shared" si="21"/>
        <v>37797.784479999995</v>
      </c>
      <c r="P95" s="711">
        <f t="shared" si="22"/>
        <v>18789.072375707801</v>
      </c>
      <c r="Q95" s="711">
        <f t="shared" si="23"/>
        <v>7399.2480542922003</v>
      </c>
      <c r="R95" s="711">
        <f t="shared" si="24"/>
        <v>11609.46405</v>
      </c>
      <c r="S95" s="723"/>
    </row>
    <row r="96" spans="1:19" ht="15">
      <c r="A96" s="714" t="s">
        <v>1347</v>
      </c>
      <c r="B96" s="714" t="s">
        <v>1306</v>
      </c>
      <c r="C96" s="714" t="s">
        <v>1307</v>
      </c>
      <c r="D96" s="714">
        <v>9906745</v>
      </c>
      <c r="E96" s="714" t="s">
        <v>1699</v>
      </c>
      <c r="F96" s="711">
        <v>1620001.11</v>
      </c>
      <c r="G96" s="711">
        <v>630392.80000000005</v>
      </c>
      <c r="H96" s="711">
        <v>989608.31</v>
      </c>
      <c r="I96" s="711"/>
      <c r="J96" s="711">
        <f t="shared" si="17"/>
        <v>484185.93175679998</v>
      </c>
      <c r="K96" s="711">
        <f t="shared" si="18"/>
        <v>240686.18413049466</v>
      </c>
      <c r="L96" s="711">
        <f t="shared" si="19"/>
        <v>94783.645728305361</v>
      </c>
      <c r="M96" s="711">
        <f t="shared" si="20"/>
        <v>148716.10189800002</v>
      </c>
      <c r="O96" s="711">
        <f t="shared" si="21"/>
        <v>188411.80006400001</v>
      </c>
      <c r="P96" s="711">
        <f t="shared" si="22"/>
        <v>93658.477515079052</v>
      </c>
      <c r="Q96" s="711">
        <f t="shared" si="23"/>
        <v>36883.263508920965</v>
      </c>
      <c r="R96" s="711">
        <f t="shared" si="24"/>
        <v>57870.059040000007</v>
      </c>
      <c r="S96" s="723"/>
    </row>
    <row r="97" spans="1:19" ht="15">
      <c r="A97" s="714" t="s">
        <v>1347</v>
      </c>
      <c r="B97" s="714" t="s">
        <v>1306</v>
      </c>
      <c r="C97" s="714" t="s">
        <v>1307</v>
      </c>
      <c r="D97" s="714">
        <v>9906747</v>
      </c>
      <c r="E97" s="714" t="s">
        <v>1394</v>
      </c>
      <c r="F97" s="711">
        <v>1279975.0199999998</v>
      </c>
      <c r="G97" s="711">
        <v>497792.94</v>
      </c>
      <c r="H97" s="711">
        <v>782182.08000000007</v>
      </c>
      <c r="I97" s="711"/>
      <c r="J97" s="711">
        <f t="shared" si="17"/>
        <v>382558.9339775999</v>
      </c>
      <c r="K97" s="711">
        <f t="shared" si="18"/>
        <v>190167.95818501231</v>
      </c>
      <c r="L97" s="711">
        <f t="shared" si="19"/>
        <v>74889.26895658765</v>
      </c>
      <c r="M97" s="711">
        <f t="shared" si="20"/>
        <v>117501.70683599998</v>
      </c>
      <c r="O97" s="711">
        <f t="shared" si="21"/>
        <v>148780.35390719998</v>
      </c>
      <c r="P97" s="711">
        <f t="shared" si="22"/>
        <v>73957.901927425395</v>
      </c>
      <c r="Q97" s="711">
        <f t="shared" si="23"/>
        <v>29125.060087774607</v>
      </c>
      <c r="R97" s="711">
        <f t="shared" si="24"/>
        <v>45697.391892000007</v>
      </c>
      <c r="S97" s="723"/>
    </row>
    <row r="98" spans="1:19" ht="15">
      <c r="A98" s="714" t="s">
        <v>1347</v>
      </c>
      <c r="B98" s="714" t="s">
        <v>1306</v>
      </c>
      <c r="C98" s="714" t="s">
        <v>1307</v>
      </c>
      <c r="D98" s="714">
        <v>9906750</v>
      </c>
      <c r="E98" s="714" t="s">
        <v>1700</v>
      </c>
      <c r="F98" s="711">
        <v>2339275.6999999997</v>
      </c>
      <c r="G98" s="711">
        <v>909984.71000000008</v>
      </c>
      <c r="H98" s="711">
        <v>1429290.9900000002</v>
      </c>
      <c r="I98" s="711"/>
      <c r="J98" s="711">
        <f t="shared" si="17"/>
        <v>699162.72121599992</v>
      </c>
      <c r="K98" s="711">
        <f t="shared" si="18"/>
        <v>347549.97288995172</v>
      </c>
      <c r="L98" s="711">
        <f t="shared" si="19"/>
        <v>136867.23906604823</v>
      </c>
      <c r="M98" s="711">
        <f t="shared" si="20"/>
        <v>214745.50925999999</v>
      </c>
      <c r="O98" s="711">
        <f t="shared" si="21"/>
        <v>271976.2301248</v>
      </c>
      <c r="P98" s="711">
        <f t="shared" si="22"/>
        <v>135197.89962797915</v>
      </c>
      <c r="Q98" s="711">
        <f t="shared" si="23"/>
        <v>53241.734118820874</v>
      </c>
      <c r="R98" s="711">
        <f t="shared" si="24"/>
        <v>83536.596378000017</v>
      </c>
      <c r="S98" s="723"/>
    </row>
    <row r="99" spans="1:19" ht="15">
      <c r="A99" s="714" t="s">
        <v>1347</v>
      </c>
      <c r="B99" s="714" t="s">
        <v>1306</v>
      </c>
      <c r="C99" s="714" t="s">
        <v>1307</v>
      </c>
      <c r="D99" s="714">
        <v>9906756</v>
      </c>
      <c r="E99" s="714" t="s">
        <v>1701</v>
      </c>
      <c r="F99" s="711">
        <v>83123.989999999991</v>
      </c>
      <c r="G99" s="711">
        <v>32337.919999999998</v>
      </c>
      <c r="H99" s="711">
        <v>50786.07</v>
      </c>
      <c r="I99" s="711"/>
      <c r="J99" s="711">
        <f t="shared" si="17"/>
        <v>24844.098131199997</v>
      </c>
      <c r="K99" s="711">
        <f t="shared" si="18"/>
        <v>12349.865589167031</v>
      </c>
      <c r="L99" s="711">
        <f t="shared" si="19"/>
        <v>4863.4502600329679</v>
      </c>
      <c r="M99" s="711">
        <f t="shared" si="20"/>
        <v>7630.7822820000001</v>
      </c>
      <c r="O99" s="711">
        <f t="shared" si="21"/>
        <v>9665.1575295999992</v>
      </c>
      <c r="P99" s="711">
        <f t="shared" si="22"/>
        <v>4804.4970583490558</v>
      </c>
      <c r="Q99" s="711">
        <f t="shared" si="23"/>
        <v>1892.0394152509439</v>
      </c>
      <c r="R99" s="711">
        <f t="shared" si="24"/>
        <v>2968.621056</v>
      </c>
      <c r="S99" s="723"/>
    </row>
    <row r="100" spans="1:19" ht="15">
      <c r="A100" s="714" t="s">
        <v>1347</v>
      </c>
      <c r="B100" s="714" t="s">
        <v>1306</v>
      </c>
      <c r="C100" s="714" t="s">
        <v>1307</v>
      </c>
      <c r="D100" s="714">
        <v>9906774</v>
      </c>
      <c r="E100" s="714" t="s">
        <v>1702</v>
      </c>
      <c r="F100" s="711">
        <v>712511.80999999994</v>
      </c>
      <c r="G100" s="711">
        <v>277112.32000000001</v>
      </c>
      <c r="H100" s="711">
        <v>435399.49</v>
      </c>
      <c r="I100" s="711"/>
      <c r="J100" s="711">
        <f t="shared" si="17"/>
        <v>212955.52977279996</v>
      </c>
      <c r="K100" s="711">
        <f t="shared" si="18"/>
        <v>105859.03160079441</v>
      </c>
      <c r="L100" s="711">
        <f t="shared" si="19"/>
        <v>41687.91401400559</v>
      </c>
      <c r="M100" s="711">
        <f t="shared" si="20"/>
        <v>65408.584157999998</v>
      </c>
      <c r="O100" s="711">
        <f t="shared" si="21"/>
        <v>82823.330201599994</v>
      </c>
      <c r="P100" s="711">
        <f t="shared" si="22"/>
        <v>41171.025417598976</v>
      </c>
      <c r="Q100" s="711">
        <f t="shared" si="23"/>
        <v>16213.393808001025</v>
      </c>
      <c r="R100" s="711">
        <f t="shared" si="24"/>
        <v>25438.910976000003</v>
      </c>
      <c r="S100" s="723"/>
    </row>
    <row r="101" spans="1:19" ht="15">
      <c r="A101" s="714" t="s">
        <v>1347</v>
      </c>
      <c r="B101" s="714" t="s">
        <v>1306</v>
      </c>
      <c r="C101" s="714" t="s">
        <v>1307</v>
      </c>
      <c r="D101" s="714">
        <v>9906775</v>
      </c>
      <c r="E101" s="714" t="s">
        <v>1703</v>
      </c>
      <c r="F101" s="711">
        <v>105934.59</v>
      </c>
      <c r="G101" s="711">
        <v>41209.75</v>
      </c>
      <c r="H101" s="711">
        <v>64724.840000000004</v>
      </c>
      <c r="I101" s="711"/>
      <c r="J101" s="711">
        <f t="shared" si="17"/>
        <v>31661.730259199998</v>
      </c>
      <c r="K101" s="711">
        <f t="shared" si="18"/>
        <v>15738.873311345111</v>
      </c>
      <c r="L101" s="711">
        <f t="shared" si="19"/>
        <v>6198.0615858548881</v>
      </c>
      <c r="M101" s="711">
        <f t="shared" si="20"/>
        <v>9724.7953620000008</v>
      </c>
      <c r="O101" s="711">
        <f t="shared" si="21"/>
        <v>12316.770079999998</v>
      </c>
      <c r="P101" s="711">
        <f t="shared" si="22"/>
        <v>6122.5991854238</v>
      </c>
      <c r="Q101" s="711">
        <f t="shared" si="23"/>
        <v>2411.1158445761998</v>
      </c>
      <c r="R101" s="711">
        <f t="shared" si="24"/>
        <v>3783.0550500000004</v>
      </c>
      <c r="S101" s="723"/>
    </row>
    <row r="102" spans="1:19" ht="15">
      <c r="A102" s="714" t="s">
        <v>1347</v>
      </c>
      <c r="B102" s="714" t="s">
        <v>1306</v>
      </c>
      <c r="C102" s="714" t="s">
        <v>1307</v>
      </c>
      <c r="D102" s="714">
        <v>9906776</v>
      </c>
      <c r="E102" s="714" t="s">
        <v>1395</v>
      </c>
      <c r="F102" s="711">
        <v>2555671.48</v>
      </c>
      <c r="G102" s="711">
        <v>993264.87999999989</v>
      </c>
      <c r="H102" s="711">
        <v>1562406.6</v>
      </c>
      <c r="I102" s="711"/>
      <c r="J102" s="711">
        <f t="shared" si="17"/>
        <v>763839.09194239997</v>
      </c>
      <c r="K102" s="711">
        <f t="shared" si="18"/>
        <v>379700.24379324884</v>
      </c>
      <c r="L102" s="711">
        <f t="shared" si="19"/>
        <v>149528.20628515113</v>
      </c>
      <c r="M102" s="711">
        <f t="shared" si="20"/>
        <v>234610.641864</v>
      </c>
      <c r="O102" s="711">
        <f t="shared" si="21"/>
        <v>296867.00733439997</v>
      </c>
      <c r="P102" s="711">
        <f t="shared" si="22"/>
        <v>147570.96913225797</v>
      </c>
      <c r="Q102" s="711">
        <f t="shared" si="23"/>
        <v>58114.322218142006</v>
      </c>
      <c r="R102" s="711">
        <f t="shared" si="24"/>
        <v>91181.715983999995</v>
      </c>
      <c r="S102" s="723"/>
    </row>
    <row r="103" spans="1:19" ht="15">
      <c r="A103" s="714" t="s">
        <v>1347</v>
      </c>
      <c r="B103" s="714" t="s">
        <v>1306</v>
      </c>
      <c r="C103" s="714" t="s">
        <v>1307</v>
      </c>
      <c r="D103" s="714">
        <v>9906777</v>
      </c>
      <c r="E103" s="714" t="s">
        <v>1396</v>
      </c>
      <c r="F103" s="711">
        <v>1373488.51</v>
      </c>
      <c r="G103" s="711">
        <v>534067.12</v>
      </c>
      <c r="H103" s="711">
        <v>839421.39</v>
      </c>
      <c r="I103" s="711"/>
      <c r="J103" s="711">
        <f t="shared" si="17"/>
        <v>410508.24586879998</v>
      </c>
      <c r="K103" s="711">
        <f t="shared" si="18"/>
        <v>204061.40858692297</v>
      </c>
      <c r="L103" s="711">
        <f t="shared" si="19"/>
        <v>80360.592063877033</v>
      </c>
      <c r="M103" s="711">
        <f t="shared" si="20"/>
        <v>126086.24521800001</v>
      </c>
      <c r="O103" s="711">
        <f t="shared" si="21"/>
        <v>159621.98082559998</v>
      </c>
      <c r="P103" s="711">
        <f t="shared" si="22"/>
        <v>79347.215498119622</v>
      </c>
      <c r="Q103" s="711">
        <f t="shared" si="23"/>
        <v>31247.403711480383</v>
      </c>
      <c r="R103" s="711">
        <f t="shared" si="24"/>
        <v>49027.361616000002</v>
      </c>
      <c r="S103" s="723"/>
    </row>
    <row r="104" spans="1:19" ht="15">
      <c r="A104" s="714" t="s">
        <v>1347</v>
      </c>
      <c r="B104" s="714" t="s">
        <v>1306</v>
      </c>
      <c r="C104" s="714" t="s">
        <v>1307</v>
      </c>
      <c r="D104" s="714">
        <v>9906783</v>
      </c>
      <c r="E104" s="714" t="s">
        <v>1704</v>
      </c>
      <c r="F104" s="711">
        <v>26359.7</v>
      </c>
      <c r="G104" s="711">
        <v>10257.459999999999</v>
      </c>
      <c r="H104" s="711">
        <v>16102.240000000002</v>
      </c>
      <c r="I104" s="711"/>
      <c r="J104" s="711">
        <f t="shared" si="17"/>
        <v>7878.3871359999994</v>
      </c>
      <c r="K104" s="711">
        <f t="shared" si="18"/>
        <v>3916.3032473629601</v>
      </c>
      <c r="L104" s="711">
        <f t="shared" si="19"/>
        <v>1542.2634286370401</v>
      </c>
      <c r="M104" s="711">
        <f t="shared" si="20"/>
        <v>2419.8204600000004</v>
      </c>
      <c r="O104" s="711">
        <f t="shared" si="21"/>
        <v>3065.7496447999997</v>
      </c>
      <c r="P104" s="711">
        <f t="shared" si="22"/>
        <v>1523.967416461328</v>
      </c>
      <c r="Q104" s="711">
        <f t="shared" si="23"/>
        <v>600.1474003386719</v>
      </c>
      <c r="R104" s="711">
        <f t="shared" si="24"/>
        <v>941.63482799999997</v>
      </c>
      <c r="S104" s="723"/>
    </row>
    <row r="105" spans="1:19" ht="15">
      <c r="A105" s="714" t="s">
        <v>1347</v>
      </c>
      <c r="B105" s="714" t="s">
        <v>1306</v>
      </c>
      <c r="C105" s="714" t="s">
        <v>1307</v>
      </c>
      <c r="D105" s="714">
        <v>9906789</v>
      </c>
      <c r="E105" s="714" t="s">
        <v>1397</v>
      </c>
      <c r="F105" s="711">
        <v>9526.61</v>
      </c>
      <c r="G105" s="711">
        <v>3703.0899999999997</v>
      </c>
      <c r="H105" s="711">
        <v>5823.5199999999995</v>
      </c>
      <c r="I105" s="711"/>
      <c r="J105" s="711">
        <f t="shared" si="17"/>
        <v>2847.3131967999998</v>
      </c>
      <c r="K105" s="711">
        <f t="shared" si="18"/>
        <v>1415.3838503230481</v>
      </c>
      <c r="L105" s="711">
        <f t="shared" si="19"/>
        <v>557.38654847695204</v>
      </c>
      <c r="M105" s="711">
        <f t="shared" si="20"/>
        <v>874.54279800000006</v>
      </c>
      <c r="O105" s="711">
        <f t="shared" si="21"/>
        <v>1106.7795391999998</v>
      </c>
      <c r="P105" s="711">
        <f t="shared" si="22"/>
        <v>550.17406845591199</v>
      </c>
      <c r="Q105" s="711">
        <f t="shared" si="23"/>
        <v>216.66180874408798</v>
      </c>
      <c r="R105" s="711">
        <f t="shared" si="24"/>
        <v>339.94366200000002</v>
      </c>
      <c r="S105" s="723"/>
    </row>
    <row r="106" spans="1:19" ht="15">
      <c r="A106" s="714" t="s">
        <v>1347</v>
      </c>
      <c r="B106" s="714" t="s">
        <v>1306</v>
      </c>
      <c r="C106" s="714" t="s">
        <v>1307</v>
      </c>
      <c r="D106" s="714">
        <v>9906790</v>
      </c>
      <c r="E106" s="714" t="s">
        <v>1705</v>
      </c>
      <c r="F106" s="711">
        <v>1340253.6199999999</v>
      </c>
      <c r="G106" s="711">
        <v>521113.82</v>
      </c>
      <c r="H106" s="711">
        <v>819139.8</v>
      </c>
      <c r="I106" s="711"/>
      <c r="J106" s="711">
        <f t="shared" si="17"/>
        <v>400575.00194559991</v>
      </c>
      <c r="K106" s="711">
        <f t="shared" si="18"/>
        <v>199123.6472454528</v>
      </c>
      <c r="L106" s="711">
        <f t="shared" si="19"/>
        <v>78416.072384147177</v>
      </c>
      <c r="M106" s="711">
        <f t="shared" si="20"/>
        <v>123035.282316</v>
      </c>
      <c r="O106" s="711">
        <f t="shared" si="21"/>
        <v>155750.49852159998</v>
      </c>
      <c r="P106" s="711">
        <f t="shared" si="22"/>
        <v>77422.722774224181</v>
      </c>
      <c r="Q106" s="711">
        <f t="shared" si="23"/>
        <v>30489.527071375825</v>
      </c>
      <c r="R106" s="711">
        <f t="shared" si="24"/>
        <v>47838.248676000003</v>
      </c>
      <c r="S106" s="723"/>
    </row>
    <row r="107" spans="1:19" ht="15">
      <c r="A107" s="714" t="s">
        <v>1347</v>
      </c>
      <c r="B107" s="714" t="s">
        <v>1306</v>
      </c>
      <c r="C107" s="714" t="s">
        <v>1307</v>
      </c>
      <c r="D107" s="714">
        <v>9906791</v>
      </c>
      <c r="E107" s="714" t="s">
        <v>1706</v>
      </c>
      <c r="F107" s="711">
        <v>80840.88</v>
      </c>
      <c r="G107" s="711">
        <v>31436.880000000001</v>
      </c>
      <c r="H107" s="711">
        <v>49404</v>
      </c>
      <c r="I107" s="711"/>
      <c r="J107" s="711">
        <f t="shared" si="17"/>
        <v>24161.722214400001</v>
      </c>
      <c r="K107" s="711">
        <f t="shared" si="18"/>
        <v>12010.660245134784</v>
      </c>
      <c r="L107" s="711">
        <f t="shared" si="19"/>
        <v>4729.8691852652164</v>
      </c>
      <c r="M107" s="711">
        <f t="shared" si="20"/>
        <v>7421.1927840000008</v>
      </c>
      <c r="O107" s="711">
        <f t="shared" si="21"/>
        <v>9395.8546943999991</v>
      </c>
      <c r="P107" s="711">
        <f t="shared" si="22"/>
        <v>4670.6280887475841</v>
      </c>
      <c r="Q107" s="711">
        <f t="shared" si="23"/>
        <v>1839.321021652416</v>
      </c>
      <c r="R107" s="711">
        <f t="shared" si="24"/>
        <v>2885.9055840000001</v>
      </c>
      <c r="S107" s="723"/>
    </row>
    <row r="108" spans="1:19" ht="15">
      <c r="A108" s="714" t="s">
        <v>1347</v>
      </c>
      <c r="B108" s="714" t="s">
        <v>1306</v>
      </c>
      <c r="C108" s="714" t="s">
        <v>1307</v>
      </c>
      <c r="D108" s="714">
        <v>9906792</v>
      </c>
      <c r="E108" s="714" t="s">
        <v>1707</v>
      </c>
      <c r="F108" s="711">
        <v>88483.29</v>
      </c>
      <c r="G108" s="711">
        <v>34443.57</v>
      </c>
      <c r="H108" s="711">
        <v>54039.72</v>
      </c>
      <c r="I108" s="711"/>
      <c r="J108" s="711">
        <f t="shared" si="17"/>
        <v>26445.885715199995</v>
      </c>
      <c r="K108" s="711">
        <f t="shared" si="18"/>
        <v>13146.10545508327</v>
      </c>
      <c r="L108" s="711">
        <f t="shared" si="19"/>
        <v>5177.0142381167279</v>
      </c>
      <c r="M108" s="711">
        <f t="shared" si="20"/>
        <v>8122.7660219999998</v>
      </c>
      <c r="O108" s="711">
        <f t="shared" si="21"/>
        <v>10294.494201599999</v>
      </c>
      <c r="P108" s="711">
        <f t="shared" si="22"/>
        <v>5117.3368832639762</v>
      </c>
      <c r="Q108" s="711">
        <f t="shared" si="23"/>
        <v>2015.2375923360239</v>
      </c>
      <c r="R108" s="711">
        <f t="shared" si="24"/>
        <v>3161.9197260000001</v>
      </c>
      <c r="S108" s="723"/>
    </row>
    <row r="109" spans="1:19" ht="15">
      <c r="A109" s="714" t="s">
        <v>1347</v>
      </c>
      <c r="B109" s="714" t="s">
        <v>1306</v>
      </c>
      <c r="C109" s="714" t="s">
        <v>1307</v>
      </c>
      <c r="D109" s="714">
        <v>9906794</v>
      </c>
      <c r="E109" s="714" t="s">
        <v>1398</v>
      </c>
      <c r="F109" s="711">
        <v>117770.85</v>
      </c>
      <c r="G109" s="711">
        <v>45786.07</v>
      </c>
      <c r="H109" s="711">
        <v>71984.78</v>
      </c>
      <c r="I109" s="711"/>
      <c r="J109" s="711">
        <f t="shared" si="17"/>
        <v>35199.351647999996</v>
      </c>
      <c r="K109" s="711">
        <f t="shared" si="18"/>
        <v>17497.405596410281</v>
      </c>
      <c r="L109" s="711">
        <f t="shared" si="19"/>
        <v>6890.5820215897202</v>
      </c>
      <c r="M109" s="711">
        <f t="shared" si="20"/>
        <v>10811.364030000001</v>
      </c>
      <c r="O109" s="711">
        <f t="shared" si="21"/>
        <v>13684.5406016</v>
      </c>
      <c r="P109" s="711">
        <f t="shared" si="22"/>
        <v>6802.5104468179761</v>
      </c>
      <c r="Q109" s="711">
        <f t="shared" si="23"/>
        <v>2678.8689287820239</v>
      </c>
      <c r="R109" s="711">
        <f t="shared" si="24"/>
        <v>4203.1612260000002</v>
      </c>
      <c r="S109" s="723"/>
    </row>
    <row r="110" spans="1:19" ht="15">
      <c r="A110" s="714" t="s">
        <v>1347</v>
      </c>
      <c r="B110" s="714" t="s">
        <v>1306</v>
      </c>
      <c r="C110" s="714" t="s">
        <v>1307</v>
      </c>
      <c r="D110" s="714">
        <v>9906795</v>
      </c>
      <c r="E110" s="714" t="s">
        <v>1708</v>
      </c>
      <c r="F110" s="711">
        <v>113380.15000000001</v>
      </c>
      <c r="G110" s="711">
        <v>44081.35</v>
      </c>
      <c r="H110" s="711">
        <v>69298.8</v>
      </c>
      <c r="I110" s="711"/>
      <c r="J110" s="711">
        <f t="shared" si="17"/>
        <v>33887.059232</v>
      </c>
      <c r="K110" s="711">
        <f t="shared" si="18"/>
        <v>16845.072198526523</v>
      </c>
      <c r="L110" s="711">
        <f t="shared" si="19"/>
        <v>6633.6892634734804</v>
      </c>
      <c r="M110" s="711">
        <f t="shared" si="20"/>
        <v>10408.297770000001</v>
      </c>
      <c r="O110" s="711">
        <f t="shared" si="21"/>
        <v>13175.033887999998</v>
      </c>
      <c r="P110" s="711">
        <f t="shared" si="22"/>
        <v>6549.2374402266796</v>
      </c>
      <c r="Q110" s="711">
        <f t="shared" si="23"/>
        <v>2579.1285177733198</v>
      </c>
      <c r="R110" s="711">
        <f t="shared" si="24"/>
        <v>4046.6679300000001</v>
      </c>
      <c r="S110" s="723"/>
    </row>
    <row r="111" spans="1:19" ht="15">
      <c r="A111" s="714" t="s">
        <v>1347</v>
      </c>
      <c r="B111" s="714" t="s">
        <v>1306</v>
      </c>
      <c r="C111" s="714" t="s">
        <v>1307</v>
      </c>
      <c r="D111" s="714">
        <v>9906796</v>
      </c>
      <c r="E111" s="714" t="s">
        <v>1709</v>
      </c>
      <c r="F111" s="711">
        <v>6910.12</v>
      </c>
      <c r="G111" s="711">
        <v>1118.74</v>
      </c>
      <c r="H111" s="711">
        <v>5791.3799999999992</v>
      </c>
      <c r="I111" s="711"/>
      <c r="J111" s="711">
        <f t="shared" si="17"/>
        <v>2065.2966655999999</v>
      </c>
      <c r="K111" s="711">
        <f t="shared" si="18"/>
        <v>1026.647700682016</v>
      </c>
      <c r="L111" s="711">
        <f t="shared" si="19"/>
        <v>404.29994891798401</v>
      </c>
      <c r="M111" s="711">
        <f t="shared" si="20"/>
        <v>634.34901600000001</v>
      </c>
      <c r="O111" s="711">
        <f t="shared" si="21"/>
        <v>334.36901119999999</v>
      </c>
      <c r="P111" s="711">
        <f t="shared" si="22"/>
        <v>166.21301057883201</v>
      </c>
      <c r="Q111" s="711">
        <f t="shared" si="23"/>
        <v>65.455668621168002</v>
      </c>
      <c r="R111" s="711">
        <f t="shared" si="24"/>
        <v>102.700332</v>
      </c>
      <c r="S111" s="723"/>
    </row>
    <row r="112" spans="1:19" ht="15">
      <c r="A112" s="714" t="s">
        <v>1347</v>
      </c>
      <c r="B112" s="714" t="s">
        <v>1306</v>
      </c>
      <c r="C112" s="714" t="s">
        <v>1307</v>
      </c>
      <c r="D112" s="714">
        <v>9906797</v>
      </c>
      <c r="E112" s="714" t="s">
        <v>1710</v>
      </c>
      <c r="F112" s="711">
        <v>51778.950000000004</v>
      </c>
      <c r="G112" s="711">
        <v>20149.11</v>
      </c>
      <c r="H112" s="711">
        <v>31629.84</v>
      </c>
      <c r="I112" s="711"/>
      <c r="J112" s="711">
        <f t="shared" ref="J112:J175" si="25">F112*($J$2+$M$2)</f>
        <v>15475.692575999999</v>
      </c>
      <c r="K112" s="711">
        <f t="shared" ref="K112:K175" si="26">F112*($J$2*$K$7)</f>
        <v>7692.8823177063605</v>
      </c>
      <c r="L112" s="711">
        <f t="shared" ref="L112:L175" si="27">F112*($J$2*$L$7)</f>
        <v>3029.50264829364</v>
      </c>
      <c r="M112" s="711">
        <f t="shared" ref="M112:M175" si="28">F112*($M$2)</f>
        <v>4753.3076100000008</v>
      </c>
      <c r="O112" s="711">
        <f t="shared" ref="O112:O175" si="29">G112*($J$2+$M$2)</f>
        <v>6022.1659967999994</v>
      </c>
      <c r="P112" s="711">
        <f t="shared" ref="P112:P175" si="30">G112*($J$2*$K$7)</f>
        <v>2993.5858497810482</v>
      </c>
      <c r="Q112" s="711">
        <f t="shared" ref="Q112:Q175" si="31">G112*($J$2*$L$7)</f>
        <v>1178.8918490189521</v>
      </c>
      <c r="R112" s="711">
        <f t="shared" ref="R112:R175" si="32">G112*($M$2)</f>
        <v>1849.6882980000003</v>
      </c>
      <c r="S112" s="723"/>
    </row>
    <row r="113" spans="1:19" ht="15">
      <c r="A113" s="714" t="s">
        <v>1347</v>
      </c>
      <c r="B113" s="714" t="s">
        <v>1306</v>
      </c>
      <c r="C113" s="714" t="s">
        <v>1307</v>
      </c>
      <c r="D113" s="714">
        <v>9906798</v>
      </c>
      <c r="E113" s="714" t="s">
        <v>1399</v>
      </c>
      <c r="F113" s="711">
        <v>716312.62</v>
      </c>
      <c r="G113" s="711">
        <v>278396</v>
      </c>
      <c r="H113" s="711">
        <v>437916.62</v>
      </c>
      <c r="I113" s="711"/>
      <c r="J113" s="711">
        <f t="shared" si="25"/>
        <v>214091.51586559997</v>
      </c>
      <c r="K113" s="711">
        <f t="shared" si="26"/>
        <v>106423.72408764402</v>
      </c>
      <c r="L113" s="711">
        <f t="shared" si="27"/>
        <v>41910.293261955987</v>
      </c>
      <c r="M113" s="711">
        <f t="shared" si="28"/>
        <v>65757.498516000007</v>
      </c>
      <c r="O113" s="711">
        <f t="shared" si="29"/>
        <v>83206.996479999987</v>
      </c>
      <c r="P113" s="711">
        <f t="shared" si="30"/>
        <v>41361.743830652798</v>
      </c>
      <c r="Q113" s="711">
        <f t="shared" si="31"/>
        <v>16288.499849347199</v>
      </c>
      <c r="R113" s="711">
        <f t="shared" si="32"/>
        <v>25556.752800000002</v>
      </c>
      <c r="S113" s="723"/>
    </row>
    <row r="114" spans="1:19" ht="15">
      <c r="A114" s="714" t="s">
        <v>1347</v>
      </c>
      <c r="B114" s="714" t="s">
        <v>1306</v>
      </c>
      <c r="C114" s="714" t="s">
        <v>1307</v>
      </c>
      <c r="D114" s="714">
        <v>9906800</v>
      </c>
      <c r="E114" s="714" t="s">
        <v>1711</v>
      </c>
      <c r="F114" s="711">
        <v>176322.54</v>
      </c>
      <c r="G114" s="711">
        <v>28546.260000000002</v>
      </c>
      <c r="H114" s="711">
        <v>147776.28</v>
      </c>
      <c r="I114" s="711"/>
      <c r="J114" s="711">
        <f t="shared" si="25"/>
        <v>52699.280755200001</v>
      </c>
      <c r="K114" s="711">
        <f t="shared" si="26"/>
        <v>26196.524846082673</v>
      </c>
      <c r="L114" s="711">
        <f t="shared" si="27"/>
        <v>10316.346737117328</v>
      </c>
      <c r="M114" s="711">
        <f t="shared" si="28"/>
        <v>16186.409172000001</v>
      </c>
      <c r="O114" s="711">
        <f t="shared" si="29"/>
        <v>8531.9061887999997</v>
      </c>
      <c r="P114" s="711">
        <f t="shared" si="30"/>
        <v>4241.1640017931686</v>
      </c>
      <c r="Q114" s="711">
        <f t="shared" si="31"/>
        <v>1670.195519006832</v>
      </c>
      <c r="R114" s="711">
        <f t="shared" si="32"/>
        <v>2620.5466680000004</v>
      </c>
      <c r="S114" s="723"/>
    </row>
    <row r="115" spans="1:19" ht="15">
      <c r="A115" s="714" t="s">
        <v>1347</v>
      </c>
      <c r="B115" s="714" t="s">
        <v>1306</v>
      </c>
      <c r="C115" s="714" t="s">
        <v>1307</v>
      </c>
      <c r="D115" s="714">
        <v>9906801</v>
      </c>
      <c r="E115" s="714" t="s">
        <v>1712</v>
      </c>
      <c r="F115" s="711">
        <v>15712.33</v>
      </c>
      <c r="G115" s="711">
        <v>6110.07</v>
      </c>
      <c r="H115" s="711">
        <v>9602.2599999999984</v>
      </c>
      <c r="I115" s="711"/>
      <c r="J115" s="711">
        <f t="shared" si="25"/>
        <v>4696.1011903999997</v>
      </c>
      <c r="K115" s="711">
        <f t="shared" si="26"/>
        <v>2334.4062717951442</v>
      </c>
      <c r="L115" s="711">
        <f t="shared" si="27"/>
        <v>919.30302460485598</v>
      </c>
      <c r="M115" s="711">
        <f t="shared" si="28"/>
        <v>1442.3918940000001</v>
      </c>
      <c r="O115" s="711">
        <f t="shared" si="29"/>
        <v>1826.1777215999998</v>
      </c>
      <c r="P115" s="711">
        <f t="shared" si="30"/>
        <v>907.782978661176</v>
      </c>
      <c r="Q115" s="711">
        <f t="shared" si="31"/>
        <v>357.49031693882398</v>
      </c>
      <c r="R115" s="711">
        <f t="shared" si="32"/>
        <v>560.90442600000006</v>
      </c>
      <c r="S115" s="723"/>
    </row>
    <row r="116" spans="1:19" ht="15">
      <c r="A116" s="714" t="s">
        <v>1347</v>
      </c>
      <c r="B116" s="714" t="s">
        <v>1306</v>
      </c>
      <c r="C116" s="714" t="s">
        <v>1307</v>
      </c>
      <c r="D116" s="714">
        <v>9906803</v>
      </c>
      <c r="E116" s="714" t="s">
        <v>1713</v>
      </c>
      <c r="F116" s="711">
        <v>114371.27</v>
      </c>
      <c r="G116" s="711">
        <v>18519.259999999998</v>
      </c>
      <c r="H116" s="711">
        <v>95852.010000000009</v>
      </c>
      <c r="I116" s="711"/>
      <c r="J116" s="711">
        <f t="shared" si="25"/>
        <v>34183.285177599995</v>
      </c>
      <c r="K116" s="711">
        <f t="shared" si="26"/>
        <v>16992.324499369337</v>
      </c>
      <c r="L116" s="711">
        <f t="shared" si="27"/>
        <v>6691.6780922306643</v>
      </c>
      <c r="M116" s="711">
        <f t="shared" si="28"/>
        <v>10499.282586000001</v>
      </c>
      <c r="O116" s="711">
        <f t="shared" si="29"/>
        <v>5535.0364287999992</v>
      </c>
      <c r="P116" s="711">
        <f t="shared" si="30"/>
        <v>2751.4364001395679</v>
      </c>
      <c r="Q116" s="711">
        <f t="shared" si="31"/>
        <v>1083.5319606604319</v>
      </c>
      <c r="R116" s="711">
        <f t="shared" si="32"/>
        <v>1700.068068</v>
      </c>
      <c r="S116" s="723"/>
    </row>
    <row r="117" spans="1:19" ht="15">
      <c r="A117" s="714" t="s">
        <v>1347</v>
      </c>
      <c r="B117" s="714" t="s">
        <v>1306</v>
      </c>
      <c r="C117" s="714" t="s">
        <v>1307</v>
      </c>
      <c r="D117" s="714">
        <v>9906806</v>
      </c>
      <c r="E117" s="714" t="s">
        <v>1714</v>
      </c>
      <c r="F117" s="711">
        <v>97747.45</v>
      </c>
      <c r="G117" s="711">
        <v>38042.939999999995</v>
      </c>
      <c r="H117" s="711">
        <v>59704.51</v>
      </c>
      <c r="I117" s="711"/>
      <c r="J117" s="711">
        <f t="shared" si="25"/>
        <v>29214.757855999997</v>
      </c>
      <c r="K117" s="711">
        <f t="shared" si="26"/>
        <v>14522.49668457716</v>
      </c>
      <c r="L117" s="711">
        <f t="shared" si="27"/>
        <v>5719.0452614228398</v>
      </c>
      <c r="M117" s="711">
        <f t="shared" si="28"/>
        <v>8973.2159100000008</v>
      </c>
      <c r="O117" s="711">
        <f t="shared" si="29"/>
        <v>11370.273907199999</v>
      </c>
      <c r="P117" s="711">
        <f t="shared" si="30"/>
        <v>5652.1011036253913</v>
      </c>
      <c r="Q117" s="711">
        <f t="shared" si="31"/>
        <v>2225.8309115746079</v>
      </c>
      <c r="R117" s="711">
        <f t="shared" si="32"/>
        <v>3492.3418919999999</v>
      </c>
      <c r="S117" s="723"/>
    </row>
    <row r="118" spans="1:19" ht="15">
      <c r="A118" s="714" t="s">
        <v>1347</v>
      </c>
      <c r="B118" s="714" t="s">
        <v>1306</v>
      </c>
      <c r="C118" s="714" t="s">
        <v>1307</v>
      </c>
      <c r="D118" s="714">
        <v>9906812</v>
      </c>
      <c r="E118" s="714" t="s">
        <v>1400</v>
      </c>
      <c r="F118" s="711">
        <v>177300.66999999998</v>
      </c>
      <c r="G118" s="711">
        <v>68929.81</v>
      </c>
      <c r="H118" s="711">
        <v>108370.86</v>
      </c>
      <c r="I118" s="711"/>
      <c r="J118" s="711">
        <f t="shared" si="25"/>
        <v>52991.62424959999</v>
      </c>
      <c r="K118" s="711">
        <f t="shared" si="26"/>
        <v>26341.847201623255</v>
      </c>
      <c r="L118" s="711">
        <f t="shared" si="27"/>
        <v>10373.575541976743</v>
      </c>
      <c r="M118" s="711">
        <f t="shared" si="28"/>
        <v>16276.201505999999</v>
      </c>
      <c r="O118" s="711">
        <f t="shared" si="29"/>
        <v>20601.741612799997</v>
      </c>
      <c r="P118" s="711">
        <f t="shared" si="30"/>
        <v>10241.013317416808</v>
      </c>
      <c r="Q118" s="711">
        <f t="shared" si="31"/>
        <v>4032.9717373831918</v>
      </c>
      <c r="R118" s="711">
        <f t="shared" si="32"/>
        <v>6327.756558</v>
      </c>
      <c r="S118" s="723"/>
    </row>
    <row r="119" spans="1:19" ht="15">
      <c r="A119" s="714" t="s">
        <v>1347</v>
      </c>
      <c r="B119" s="714" t="s">
        <v>1306</v>
      </c>
      <c r="C119" s="714" t="s">
        <v>1307</v>
      </c>
      <c r="D119" s="714">
        <v>9906817</v>
      </c>
      <c r="E119" s="714" t="s">
        <v>1715</v>
      </c>
      <c r="F119" s="711">
        <v>350949.79</v>
      </c>
      <c r="G119" s="711">
        <v>56812.049999999996</v>
      </c>
      <c r="H119" s="711">
        <v>294137.74</v>
      </c>
      <c r="I119" s="711"/>
      <c r="J119" s="711">
        <f t="shared" si="25"/>
        <v>104891.87323519999</v>
      </c>
      <c r="K119" s="711">
        <f t="shared" si="26"/>
        <v>52141.177715920472</v>
      </c>
      <c r="L119" s="711">
        <f t="shared" si="27"/>
        <v>20533.504797279526</v>
      </c>
      <c r="M119" s="711">
        <f t="shared" si="28"/>
        <v>32217.190721999999</v>
      </c>
      <c r="O119" s="711">
        <f t="shared" si="29"/>
        <v>16979.985503999997</v>
      </c>
      <c r="P119" s="711">
        <f t="shared" si="30"/>
        <v>8440.6581222224395</v>
      </c>
      <c r="Q119" s="711">
        <f t="shared" si="31"/>
        <v>3323.9811917775596</v>
      </c>
      <c r="R119" s="711">
        <f t="shared" si="32"/>
        <v>5215.3461900000002</v>
      </c>
      <c r="S119" s="723"/>
    </row>
    <row r="120" spans="1:19" ht="15">
      <c r="A120" s="714" t="s">
        <v>1347</v>
      </c>
      <c r="B120" s="714" t="s">
        <v>1306</v>
      </c>
      <c r="C120" s="714" t="s">
        <v>1307</v>
      </c>
      <c r="D120" s="714">
        <v>9906820</v>
      </c>
      <c r="E120" s="714" t="s">
        <v>1716</v>
      </c>
      <c r="F120" s="711">
        <v>210498.2</v>
      </c>
      <c r="G120" s="711">
        <v>81865.55</v>
      </c>
      <c r="H120" s="711">
        <v>128632.65</v>
      </c>
      <c r="I120" s="711"/>
      <c r="J120" s="711">
        <f t="shared" si="25"/>
        <v>62913.702015999996</v>
      </c>
      <c r="K120" s="711">
        <f t="shared" si="26"/>
        <v>31274.057907489761</v>
      </c>
      <c r="L120" s="711">
        <f t="shared" si="27"/>
        <v>12315.90934851024</v>
      </c>
      <c r="M120" s="711">
        <f t="shared" si="28"/>
        <v>19323.734760000003</v>
      </c>
      <c r="O120" s="711">
        <f t="shared" si="29"/>
        <v>24467.975584</v>
      </c>
      <c r="P120" s="711">
        <f t="shared" si="30"/>
        <v>12162.897123721241</v>
      </c>
      <c r="Q120" s="711">
        <f t="shared" si="31"/>
        <v>4789.8209702787599</v>
      </c>
      <c r="R120" s="711">
        <f t="shared" si="32"/>
        <v>7515.2574900000009</v>
      </c>
      <c r="S120" s="723"/>
    </row>
    <row r="121" spans="1:19" ht="15">
      <c r="A121" s="714" t="s">
        <v>1347</v>
      </c>
      <c r="B121" s="714" t="s">
        <v>1306</v>
      </c>
      <c r="C121" s="714" t="s">
        <v>1307</v>
      </c>
      <c r="D121" s="714">
        <v>9906831</v>
      </c>
      <c r="E121" s="714" t="s">
        <v>1401</v>
      </c>
      <c r="F121" s="711">
        <v>580039.17999999993</v>
      </c>
      <c r="G121" s="711">
        <v>225569.52</v>
      </c>
      <c r="H121" s="711">
        <v>354469.66</v>
      </c>
      <c r="I121" s="711"/>
      <c r="J121" s="711">
        <f t="shared" si="25"/>
        <v>173362.11011839996</v>
      </c>
      <c r="K121" s="711">
        <f t="shared" si="26"/>
        <v>86177.358779946211</v>
      </c>
      <c r="L121" s="711">
        <f t="shared" si="27"/>
        <v>33937.154614453772</v>
      </c>
      <c r="M121" s="711">
        <f t="shared" si="28"/>
        <v>53247.596723999995</v>
      </c>
      <c r="O121" s="711">
        <f t="shared" si="29"/>
        <v>67418.218137599993</v>
      </c>
      <c r="P121" s="711">
        <f t="shared" si="30"/>
        <v>33513.228287199934</v>
      </c>
      <c r="Q121" s="711">
        <f t="shared" si="31"/>
        <v>13197.707914400064</v>
      </c>
      <c r="R121" s="711">
        <f t="shared" si="32"/>
        <v>20707.281935999999</v>
      </c>
      <c r="S121" s="723"/>
    </row>
    <row r="122" spans="1:19" ht="15">
      <c r="A122" s="714" t="s">
        <v>1347</v>
      </c>
      <c r="B122" s="714" t="s">
        <v>1306</v>
      </c>
      <c r="C122" s="714" t="s">
        <v>1307</v>
      </c>
      <c r="D122" s="714">
        <v>9906832</v>
      </c>
      <c r="E122" s="714" t="s">
        <v>1717</v>
      </c>
      <c r="F122" s="711">
        <v>527280.64000000001</v>
      </c>
      <c r="G122" s="711">
        <v>204976.78</v>
      </c>
      <c r="H122" s="711">
        <v>322303.86</v>
      </c>
      <c r="I122" s="711"/>
      <c r="J122" s="711">
        <f t="shared" si="25"/>
        <v>157593.63768319998</v>
      </c>
      <c r="K122" s="711">
        <f t="shared" si="26"/>
        <v>78338.93719213875</v>
      </c>
      <c r="L122" s="711">
        <f t="shared" si="27"/>
        <v>30850.337739061248</v>
      </c>
      <c r="M122" s="711">
        <f t="shared" si="28"/>
        <v>48404.362752000008</v>
      </c>
      <c r="O122" s="711">
        <f t="shared" si="29"/>
        <v>61263.460006399997</v>
      </c>
      <c r="P122" s="711">
        <f t="shared" si="30"/>
        <v>30453.731611057905</v>
      </c>
      <c r="Q122" s="711">
        <f t="shared" si="31"/>
        <v>11992.859991342097</v>
      </c>
      <c r="R122" s="711">
        <f t="shared" si="32"/>
        <v>18816.868404000001</v>
      </c>
      <c r="S122" s="723"/>
    </row>
    <row r="123" spans="1:19" ht="15">
      <c r="A123" s="714" t="s">
        <v>1347</v>
      </c>
      <c r="B123" s="714" t="s">
        <v>1306</v>
      </c>
      <c r="C123" s="714" t="s">
        <v>1307</v>
      </c>
      <c r="D123" s="714">
        <v>9906833</v>
      </c>
      <c r="E123" s="714" t="s">
        <v>1718</v>
      </c>
      <c r="F123" s="711">
        <v>340701.62000000005</v>
      </c>
      <c r="G123" s="711">
        <v>55175.64</v>
      </c>
      <c r="H123" s="711">
        <v>285525.98</v>
      </c>
      <c r="I123" s="711"/>
      <c r="J123" s="711">
        <f t="shared" si="25"/>
        <v>101828.90018560001</v>
      </c>
      <c r="K123" s="711">
        <f t="shared" si="26"/>
        <v>50618.590529779227</v>
      </c>
      <c r="L123" s="711">
        <f t="shared" si="27"/>
        <v>19933.900939820785</v>
      </c>
      <c r="M123" s="711">
        <f t="shared" si="28"/>
        <v>31276.408716000005</v>
      </c>
      <c r="O123" s="711">
        <f t="shared" si="29"/>
        <v>16490.8952832</v>
      </c>
      <c r="P123" s="711">
        <f t="shared" si="30"/>
        <v>8197.5340427747524</v>
      </c>
      <c r="Q123" s="711">
        <f t="shared" si="31"/>
        <v>3228.2374884252481</v>
      </c>
      <c r="R123" s="711">
        <f t="shared" si="32"/>
        <v>5065.1237520000004</v>
      </c>
      <c r="S123" s="723"/>
    </row>
    <row r="124" spans="1:19" ht="15">
      <c r="A124" s="714" t="s">
        <v>1347</v>
      </c>
      <c r="B124" s="714" t="s">
        <v>1306</v>
      </c>
      <c r="C124" s="714" t="s">
        <v>1307</v>
      </c>
      <c r="D124" s="714">
        <v>9906837</v>
      </c>
      <c r="E124" s="714" t="s">
        <v>1402</v>
      </c>
      <c r="F124" s="711">
        <v>62051.99</v>
      </c>
      <c r="G124" s="711">
        <v>24116.58</v>
      </c>
      <c r="H124" s="711">
        <v>37935.410000000003</v>
      </c>
      <c r="I124" s="711"/>
      <c r="J124" s="711">
        <f t="shared" si="25"/>
        <v>18546.098771199999</v>
      </c>
      <c r="K124" s="711">
        <f t="shared" si="26"/>
        <v>9219.1644799574315</v>
      </c>
      <c r="L124" s="711">
        <f t="shared" si="27"/>
        <v>3630.561609242568</v>
      </c>
      <c r="M124" s="711">
        <f t="shared" si="28"/>
        <v>5696.3726820000002</v>
      </c>
      <c r="O124" s="711">
        <f t="shared" si="29"/>
        <v>7207.9634304000001</v>
      </c>
      <c r="P124" s="711">
        <f t="shared" si="30"/>
        <v>3583.0392822865442</v>
      </c>
      <c r="Q124" s="711">
        <f t="shared" si="31"/>
        <v>1411.0221041134562</v>
      </c>
      <c r="R124" s="711">
        <f t="shared" si="32"/>
        <v>2213.9020440000004</v>
      </c>
      <c r="S124" s="723"/>
    </row>
    <row r="125" spans="1:19" ht="15">
      <c r="A125" s="714" t="s">
        <v>1347</v>
      </c>
      <c r="B125" s="714" t="s">
        <v>1306</v>
      </c>
      <c r="C125" s="714" t="s">
        <v>1307</v>
      </c>
      <c r="D125" s="714">
        <v>9906842</v>
      </c>
      <c r="E125" s="714" t="s">
        <v>1719</v>
      </c>
      <c r="F125" s="711">
        <v>110919.75</v>
      </c>
      <c r="G125" s="711">
        <v>43141.39</v>
      </c>
      <c r="H125" s="711">
        <v>67778.36</v>
      </c>
      <c r="I125" s="711"/>
      <c r="J125" s="711">
        <f t="shared" si="25"/>
        <v>33151.694879999995</v>
      </c>
      <c r="K125" s="711">
        <f t="shared" si="26"/>
        <v>16479.5265925518</v>
      </c>
      <c r="L125" s="711">
        <f t="shared" si="27"/>
        <v>6489.7352374481998</v>
      </c>
      <c r="M125" s="711">
        <f t="shared" si="28"/>
        <v>10182.433050000001</v>
      </c>
      <c r="O125" s="711">
        <f t="shared" si="29"/>
        <v>12894.098643199999</v>
      </c>
      <c r="P125" s="711">
        <f t="shared" si="30"/>
        <v>6409.5860632993517</v>
      </c>
      <c r="Q125" s="711">
        <f t="shared" si="31"/>
        <v>2524.1329779006478</v>
      </c>
      <c r="R125" s="711">
        <f t="shared" si="32"/>
        <v>3960.3796020000004</v>
      </c>
      <c r="S125" s="723"/>
    </row>
    <row r="126" spans="1:19" ht="15">
      <c r="A126" s="714" t="s">
        <v>1347</v>
      </c>
      <c r="B126" s="714" t="s">
        <v>1306</v>
      </c>
      <c r="C126" s="714" t="s">
        <v>1307</v>
      </c>
      <c r="D126" s="714">
        <v>9906858</v>
      </c>
      <c r="E126" s="714" t="s">
        <v>1403</v>
      </c>
      <c r="F126" s="711">
        <v>18918.14</v>
      </c>
      <c r="G126" s="711">
        <v>7356.9800000000005</v>
      </c>
      <c r="H126" s="711">
        <v>11561.16</v>
      </c>
      <c r="I126" s="711"/>
      <c r="J126" s="711">
        <f t="shared" si="25"/>
        <v>5654.2536831999996</v>
      </c>
      <c r="K126" s="711">
        <f t="shared" si="26"/>
        <v>2810.6986466487519</v>
      </c>
      <c r="L126" s="711">
        <f t="shared" si="27"/>
        <v>1106.8697845512479</v>
      </c>
      <c r="M126" s="711">
        <f t="shared" si="28"/>
        <v>1736.685252</v>
      </c>
      <c r="O126" s="711">
        <f t="shared" si="29"/>
        <v>2198.8541823999999</v>
      </c>
      <c r="P126" s="711">
        <f t="shared" si="30"/>
        <v>1093.038413365264</v>
      </c>
      <c r="Q126" s="711">
        <f t="shared" si="31"/>
        <v>430.44500503473603</v>
      </c>
      <c r="R126" s="711">
        <f t="shared" si="32"/>
        <v>675.37076400000012</v>
      </c>
      <c r="S126" s="723"/>
    </row>
    <row r="127" spans="1:19" ht="15">
      <c r="A127" s="714" t="s">
        <v>1347</v>
      </c>
      <c r="B127" s="714" t="s">
        <v>1306</v>
      </c>
      <c r="C127" s="714" t="s">
        <v>1307</v>
      </c>
      <c r="D127" s="714">
        <v>9906868</v>
      </c>
      <c r="E127" s="714" t="s">
        <v>1404</v>
      </c>
      <c r="F127" s="711">
        <v>11492.199999999999</v>
      </c>
      <c r="G127" s="711">
        <v>4468.2300000000005</v>
      </c>
      <c r="H127" s="711">
        <v>7023.97</v>
      </c>
      <c r="I127" s="711"/>
      <c r="J127" s="711">
        <f t="shared" si="25"/>
        <v>3434.7887359999995</v>
      </c>
      <c r="K127" s="711">
        <f t="shared" si="26"/>
        <v>1707.4147345889598</v>
      </c>
      <c r="L127" s="711">
        <f t="shared" si="27"/>
        <v>672.39004141103999</v>
      </c>
      <c r="M127" s="711">
        <f t="shared" si="28"/>
        <v>1054.98396</v>
      </c>
      <c r="O127" s="711">
        <f t="shared" si="29"/>
        <v>1335.4645824000002</v>
      </c>
      <c r="P127" s="711">
        <f t="shared" si="30"/>
        <v>663.85215533426413</v>
      </c>
      <c r="Q127" s="711">
        <f t="shared" si="31"/>
        <v>261.42891306573603</v>
      </c>
      <c r="R127" s="711">
        <f t="shared" si="32"/>
        <v>410.18351400000006</v>
      </c>
      <c r="S127" s="723"/>
    </row>
    <row r="128" spans="1:19" ht="15">
      <c r="A128" s="714" t="s">
        <v>1347</v>
      </c>
      <c r="B128" s="714" t="s">
        <v>1306</v>
      </c>
      <c r="C128" s="714" t="s">
        <v>1307</v>
      </c>
      <c r="D128" s="714">
        <v>9906869</v>
      </c>
      <c r="E128" s="714" t="s">
        <v>1405</v>
      </c>
      <c r="F128" s="711">
        <v>329273.31</v>
      </c>
      <c r="G128" s="711">
        <v>128049.10999999999</v>
      </c>
      <c r="H128" s="711">
        <v>201224.19999999998</v>
      </c>
      <c r="I128" s="711"/>
      <c r="J128" s="711">
        <f t="shared" si="25"/>
        <v>98413.206892799994</v>
      </c>
      <c r="K128" s="711">
        <f t="shared" si="26"/>
        <v>48920.66803578761</v>
      </c>
      <c r="L128" s="711">
        <f t="shared" si="27"/>
        <v>19265.24899901239</v>
      </c>
      <c r="M128" s="711">
        <f t="shared" si="28"/>
        <v>30227.289858000004</v>
      </c>
      <c r="O128" s="711">
        <f t="shared" si="29"/>
        <v>38271.317996799997</v>
      </c>
      <c r="P128" s="711">
        <f t="shared" si="30"/>
        <v>19024.463302501044</v>
      </c>
      <c r="Q128" s="711">
        <f t="shared" si="31"/>
        <v>7491.9463962989512</v>
      </c>
      <c r="R128" s="711">
        <f t="shared" si="32"/>
        <v>11754.908298</v>
      </c>
      <c r="S128" s="723"/>
    </row>
    <row r="129" spans="1:19" ht="15">
      <c r="A129" s="714" t="s">
        <v>1347</v>
      </c>
      <c r="B129" s="714" t="s">
        <v>1306</v>
      </c>
      <c r="C129" s="714" t="s">
        <v>1307</v>
      </c>
      <c r="D129" s="714">
        <v>9906874</v>
      </c>
      <c r="E129" s="714" t="s">
        <v>1720</v>
      </c>
      <c r="F129" s="711">
        <v>440524.11</v>
      </c>
      <c r="G129" s="711">
        <v>171229.12999999998</v>
      </c>
      <c r="H129" s="711">
        <v>269294.98000000004</v>
      </c>
      <c r="I129" s="711"/>
      <c r="J129" s="711">
        <f t="shared" si="25"/>
        <v>131663.8459968</v>
      </c>
      <c r="K129" s="711">
        <f t="shared" si="26"/>
        <v>65449.379262081049</v>
      </c>
      <c r="L129" s="711">
        <f t="shared" si="27"/>
        <v>25774.35343671895</v>
      </c>
      <c r="M129" s="711">
        <f t="shared" si="28"/>
        <v>40440.113298000004</v>
      </c>
      <c r="O129" s="711">
        <f t="shared" si="29"/>
        <v>51176.962374399991</v>
      </c>
      <c r="P129" s="711">
        <f t="shared" si="30"/>
        <v>25439.788687357381</v>
      </c>
      <c r="Q129" s="711">
        <f t="shared" si="31"/>
        <v>10018.339553042615</v>
      </c>
      <c r="R129" s="711">
        <f t="shared" si="32"/>
        <v>15718.834133999999</v>
      </c>
      <c r="S129" s="723"/>
    </row>
    <row r="130" spans="1:19" ht="15">
      <c r="A130" s="714" t="s">
        <v>1347</v>
      </c>
      <c r="B130" s="714" t="s">
        <v>1306</v>
      </c>
      <c r="C130" s="714" t="s">
        <v>1307</v>
      </c>
      <c r="D130" s="714">
        <v>9906934</v>
      </c>
      <c r="E130" s="714" t="s">
        <v>1721</v>
      </c>
      <c r="F130" s="711">
        <v>136775.75</v>
      </c>
      <c r="G130" s="711">
        <v>5095.1799999999994</v>
      </c>
      <c r="H130" s="711">
        <v>131680.57</v>
      </c>
      <c r="I130" s="711"/>
      <c r="J130" s="711">
        <f t="shared" si="25"/>
        <v>40879.536159999996</v>
      </c>
      <c r="K130" s="711">
        <f t="shared" si="26"/>
        <v>20320.9943165326</v>
      </c>
      <c r="L130" s="711">
        <f t="shared" si="27"/>
        <v>8002.5279934673999</v>
      </c>
      <c r="M130" s="711">
        <f t="shared" si="28"/>
        <v>12556.013850000001</v>
      </c>
      <c r="O130" s="711">
        <f t="shared" si="29"/>
        <v>1522.8473983999997</v>
      </c>
      <c r="P130" s="711">
        <f t="shared" si="30"/>
        <v>756.99913048702388</v>
      </c>
      <c r="Q130" s="711">
        <f t="shared" si="31"/>
        <v>298.11074391297598</v>
      </c>
      <c r="R130" s="711">
        <f t="shared" si="32"/>
        <v>467.73752399999995</v>
      </c>
      <c r="S130" s="723"/>
    </row>
    <row r="131" spans="1:19" ht="15">
      <c r="A131" s="714" t="s">
        <v>1347</v>
      </c>
      <c r="B131" s="714" t="s">
        <v>1306</v>
      </c>
      <c r="C131" s="714" t="s">
        <v>1307</v>
      </c>
      <c r="D131" s="714">
        <v>9906941</v>
      </c>
      <c r="E131" s="714" t="s">
        <v>1722</v>
      </c>
      <c r="F131" s="711">
        <v>1120000.5599999998</v>
      </c>
      <c r="G131" s="711">
        <v>181363.52000000002</v>
      </c>
      <c r="H131" s="711">
        <v>938637.04</v>
      </c>
      <c r="I131" s="711"/>
      <c r="J131" s="711">
        <f t="shared" si="25"/>
        <v>334745.76737279992</v>
      </c>
      <c r="K131" s="711">
        <f t="shared" si="26"/>
        <v>166400.29401610538</v>
      </c>
      <c r="L131" s="711">
        <f t="shared" si="27"/>
        <v>65529.42194869458</v>
      </c>
      <c r="M131" s="711">
        <f t="shared" si="28"/>
        <v>102816.05140799998</v>
      </c>
      <c r="O131" s="711">
        <f t="shared" si="29"/>
        <v>54205.928857600004</v>
      </c>
      <c r="P131" s="711">
        <f t="shared" si="30"/>
        <v>26945.471394939137</v>
      </c>
      <c r="Q131" s="711">
        <f t="shared" si="31"/>
        <v>10611.286326660866</v>
      </c>
      <c r="R131" s="711">
        <f t="shared" si="32"/>
        <v>16649.171136000004</v>
      </c>
      <c r="S131" s="723"/>
    </row>
    <row r="132" spans="1:19" ht="15">
      <c r="A132" s="714" t="s">
        <v>1347</v>
      </c>
      <c r="B132" s="714" t="s">
        <v>1306</v>
      </c>
      <c r="C132" s="714" t="s">
        <v>1307</v>
      </c>
      <c r="D132" s="714">
        <v>9906942</v>
      </c>
      <c r="E132" s="714" t="s">
        <v>1723</v>
      </c>
      <c r="F132" s="711">
        <v>264921.59999999992</v>
      </c>
      <c r="G132" s="711">
        <v>42901.88</v>
      </c>
      <c r="H132" s="711">
        <v>222019.72</v>
      </c>
      <c r="I132" s="711"/>
      <c r="J132" s="711">
        <f t="shared" si="25"/>
        <v>79179.767807999975</v>
      </c>
      <c r="K132" s="711">
        <f t="shared" si="26"/>
        <v>39359.830437242868</v>
      </c>
      <c r="L132" s="711">
        <f t="shared" si="27"/>
        <v>15500.134490757115</v>
      </c>
      <c r="M132" s="711">
        <f t="shared" si="28"/>
        <v>24319.802879999996</v>
      </c>
      <c r="O132" s="711">
        <f t="shared" si="29"/>
        <v>12822.513894399999</v>
      </c>
      <c r="P132" s="711">
        <f t="shared" si="30"/>
        <v>6374.0016753595837</v>
      </c>
      <c r="Q132" s="711">
        <f t="shared" si="31"/>
        <v>2510.1196350404157</v>
      </c>
      <c r="R132" s="711">
        <f t="shared" si="32"/>
        <v>3938.3925840000002</v>
      </c>
      <c r="S132" s="723"/>
    </row>
    <row r="133" spans="1:19" ht="15">
      <c r="A133" s="714" t="s">
        <v>1347</v>
      </c>
      <c r="B133" s="714" t="s">
        <v>1306</v>
      </c>
      <c r="C133" s="714" t="s">
        <v>1307</v>
      </c>
      <c r="D133" s="714">
        <v>9906945</v>
      </c>
      <c r="E133" s="714" t="s">
        <v>1724</v>
      </c>
      <c r="F133" s="711">
        <v>8965.92</v>
      </c>
      <c r="G133" s="711">
        <v>3484.83</v>
      </c>
      <c r="H133" s="711">
        <v>5481.09</v>
      </c>
      <c r="I133" s="711"/>
      <c r="J133" s="711">
        <f t="shared" si="25"/>
        <v>2679.7341695999999</v>
      </c>
      <c r="K133" s="711">
        <f t="shared" si="26"/>
        <v>1332.0812304994561</v>
      </c>
      <c r="L133" s="711">
        <f t="shared" si="27"/>
        <v>524.58148310054401</v>
      </c>
      <c r="M133" s="711">
        <f t="shared" si="28"/>
        <v>823.07145600000001</v>
      </c>
      <c r="O133" s="711">
        <f t="shared" si="29"/>
        <v>1041.5459903999999</v>
      </c>
      <c r="P133" s="711">
        <f t="shared" si="30"/>
        <v>517.74682737314401</v>
      </c>
      <c r="Q133" s="711">
        <f t="shared" si="31"/>
        <v>203.891769026856</v>
      </c>
      <c r="R133" s="711">
        <f t="shared" si="32"/>
        <v>319.90739400000001</v>
      </c>
      <c r="S133" s="723"/>
    </row>
    <row r="134" spans="1:19" ht="15">
      <c r="A134" s="714" t="s">
        <v>1347</v>
      </c>
      <c r="B134" s="714" t="s">
        <v>1306</v>
      </c>
      <c r="C134" s="714" t="s">
        <v>1307</v>
      </c>
      <c r="D134" s="714">
        <v>9906956</v>
      </c>
      <c r="E134" s="714" t="s">
        <v>1725</v>
      </c>
      <c r="F134" s="711">
        <v>34042.839999999997</v>
      </c>
      <c r="G134" s="711">
        <v>5512.58</v>
      </c>
      <c r="H134" s="711">
        <v>28530.26</v>
      </c>
      <c r="I134" s="711"/>
      <c r="J134" s="711">
        <f t="shared" si="25"/>
        <v>10174.724019199999</v>
      </c>
      <c r="K134" s="711">
        <f t="shared" si="26"/>
        <v>5057.7997792637116</v>
      </c>
      <c r="L134" s="711">
        <f t="shared" si="27"/>
        <v>1991.7915279362878</v>
      </c>
      <c r="M134" s="711">
        <f t="shared" si="28"/>
        <v>3125.1327120000001</v>
      </c>
      <c r="O134" s="711">
        <f t="shared" si="29"/>
        <v>1647.5999103999998</v>
      </c>
      <c r="P134" s="711">
        <f t="shared" si="30"/>
        <v>819.01292333934396</v>
      </c>
      <c r="Q134" s="711">
        <f t="shared" si="31"/>
        <v>322.53214306065598</v>
      </c>
      <c r="R134" s="711">
        <f t="shared" si="32"/>
        <v>506.054844</v>
      </c>
      <c r="S134" s="723"/>
    </row>
    <row r="135" spans="1:19" ht="15">
      <c r="A135" s="714" t="s">
        <v>1347</v>
      </c>
      <c r="B135" s="714" t="s">
        <v>1306</v>
      </c>
      <c r="C135" s="714" t="s">
        <v>1307</v>
      </c>
      <c r="D135" s="714">
        <v>9906965</v>
      </c>
      <c r="E135" s="714" t="s">
        <v>1726</v>
      </c>
      <c r="F135" s="711">
        <v>244924.13</v>
      </c>
      <c r="G135" s="711">
        <v>39666.159999999996</v>
      </c>
      <c r="H135" s="711">
        <v>205257.97</v>
      </c>
      <c r="I135" s="711"/>
      <c r="J135" s="711">
        <f t="shared" si="25"/>
        <v>73202.923974399993</v>
      </c>
      <c r="K135" s="711">
        <f t="shared" si="26"/>
        <v>36388.773987433386</v>
      </c>
      <c r="L135" s="711">
        <f t="shared" si="27"/>
        <v>14330.114852966617</v>
      </c>
      <c r="M135" s="711">
        <f t="shared" si="28"/>
        <v>22484.035134000002</v>
      </c>
      <c r="O135" s="711">
        <f t="shared" si="29"/>
        <v>11855.421900799998</v>
      </c>
      <c r="P135" s="711">
        <f t="shared" si="30"/>
        <v>5893.2655234474878</v>
      </c>
      <c r="Q135" s="711">
        <f t="shared" si="31"/>
        <v>2320.8028893525116</v>
      </c>
      <c r="R135" s="711">
        <f t="shared" si="32"/>
        <v>3641.3534879999997</v>
      </c>
      <c r="S135" s="723"/>
    </row>
    <row r="136" spans="1:19" ht="15">
      <c r="A136" s="714" t="s">
        <v>1347</v>
      </c>
      <c r="B136" s="714" t="s">
        <v>1306</v>
      </c>
      <c r="C136" s="714" t="s">
        <v>1307</v>
      </c>
      <c r="D136" s="714">
        <v>9906970</v>
      </c>
      <c r="E136" s="714" t="s">
        <v>1727</v>
      </c>
      <c r="F136" s="711">
        <v>8043.03</v>
      </c>
      <c r="G136" s="711">
        <v>1302.46</v>
      </c>
      <c r="H136" s="711">
        <v>6740.57</v>
      </c>
      <c r="I136" s="711"/>
      <c r="J136" s="711">
        <f t="shared" si="25"/>
        <v>2403.9008064</v>
      </c>
      <c r="K136" s="711">
        <f t="shared" si="26"/>
        <v>1194.9659710709041</v>
      </c>
      <c r="L136" s="711">
        <f t="shared" si="27"/>
        <v>470.58468132909599</v>
      </c>
      <c r="M136" s="711">
        <f t="shared" si="28"/>
        <v>738.35015399999997</v>
      </c>
      <c r="O136" s="711">
        <f t="shared" si="29"/>
        <v>389.27924479999996</v>
      </c>
      <c r="P136" s="711">
        <f t="shared" si="30"/>
        <v>193.50858801732801</v>
      </c>
      <c r="Q136" s="711">
        <f t="shared" si="31"/>
        <v>76.204828782671996</v>
      </c>
      <c r="R136" s="711">
        <f t="shared" si="32"/>
        <v>119.56582800000001</v>
      </c>
      <c r="S136" s="723"/>
    </row>
    <row r="137" spans="1:19" ht="15">
      <c r="A137" s="714" t="s">
        <v>1347</v>
      </c>
      <c r="B137" s="714" t="s">
        <v>1306</v>
      </c>
      <c r="C137" s="714" t="s">
        <v>1307</v>
      </c>
      <c r="D137" s="714">
        <v>9906971</v>
      </c>
      <c r="E137" s="714" t="s">
        <v>1728</v>
      </c>
      <c r="F137" s="711">
        <v>1263415.2099999997</v>
      </c>
      <c r="G137" s="711">
        <v>204596.77</v>
      </c>
      <c r="H137" s="711">
        <v>1058818.4400000002</v>
      </c>
      <c r="I137" s="711"/>
      <c r="J137" s="711">
        <f t="shared" si="25"/>
        <v>377609.53796479991</v>
      </c>
      <c r="K137" s="711">
        <f t="shared" si="26"/>
        <v>187707.64043941148</v>
      </c>
      <c r="L137" s="711">
        <f t="shared" si="27"/>
        <v>73920.381247388461</v>
      </c>
      <c r="M137" s="711">
        <f t="shared" si="28"/>
        <v>115981.51627799998</v>
      </c>
      <c r="O137" s="711">
        <f t="shared" si="29"/>
        <v>61149.882617599993</v>
      </c>
      <c r="P137" s="711">
        <f t="shared" si="30"/>
        <v>30397.272910957734</v>
      </c>
      <c r="Q137" s="711">
        <f t="shared" si="31"/>
        <v>11970.626220642263</v>
      </c>
      <c r="R137" s="711">
        <f t="shared" si="32"/>
        <v>18781.983486000001</v>
      </c>
      <c r="S137" s="723"/>
    </row>
    <row r="138" spans="1:19" ht="15">
      <c r="A138" s="714" t="s">
        <v>1347</v>
      </c>
      <c r="B138" s="714" t="s">
        <v>1306</v>
      </c>
      <c r="C138" s="714" t="s">
        <v>1307</v>
      </c>
      <c r="D138" s="714">
        <v>9906972</v>
      </c>
      <c r="E138" s="714" t="s">
        <v>1729</v>
      </c>
      <c r="F138" s="711">
        <v>844613.98</v>
      </c>
      <c r="G138" s="711">
        <v>136778.74</v>
      </c>
      <c r="H138" s="711">
        <v>707835.23999999987</v>
      </c>
      <c r="I138" s="711"/>
      <c r="J138" s="711">
        <f t="shared" si="25"/>
        <v>252438.22634239998</v>
      </c>
      <c r="K138" s="711">
        <f t="shared" si="26"/>
        <v>125485.66458048286</v>
      </c>
      <c r="L138" s="711">
        <f t="shared" si="27"/>
        <v>49416.998397917137</v>
      </c>
      <c r="M138" s="711">
        <f t="shared" si="28"/>
        <v>77535.563364000001</v>
      </c>
      <c r="O138" s="711">
        <f t="shared" si="29"/>
        <v>40880.429811199996</v>
      </c>
      <c r="P138" s="711">
        <f t="shared" si="30"/>
        <v>20321.438545666831</v>
      </c>
      <c r="Q138" s="711">
        <f t="shared" si="31"/>
        <v>8002.7029335331672</v>
      </c>
      <c r="R138" s="711">
        <f t="shared" si="32"/>
        <v>12556.288332</v>
      </c>
      <c r="S138" s="723"/>
    </row>
    <row r="139" spans="1:19" ht="15">
      <c r="A139" s="714" t="s">
        <v>1347</v>
      </c>
      <c r="B139" s="714" t="s">
        <v>1306</v>
      </c>
      <c r="C139" s="714" t="s">
        <v>1307</v>
      </c>
      <c r="D139" s="714">
        <v>9906974</v>
      </c>
      <c r="E139" s="714" t="s">
        <v>1730</v>
      </c>
      <c r="F139" s="711">
        <v>77566.890000000014</v>
      </c>
      <c r="G139" s="711">
        <v>12561.960000000001</v>
      </c>
      <c r="H139" s="711">
        <v>65004.930000000008</v>
      </c>
      <c r="I139" s="711"/>
      <c r="J139" s="711">
        <f t="shared" si="25"/>
        <v>23183.192083200003</v>
      </c>
      <c r="K139" s="711">
        <f t="shared" si="26"/>
        <v>11524.238257447754</v>
      </c>
      <c r="L139" s="711">
        <f t="shared" si="27"/>
        <v>4538.3133237522488</v>
      </c>
      <c r="M139" s="711">
        <f t="shared" si="28"/>
        <v>7120.640502000002</v>
      </c>
      <c r="O139" s="711">
        <f t="shared" si="29"/>
        <v>3754.5186048</v>
      </c>
      <c r="P139" s="711">
        <f t="shared" si="30"/>
        <v>1866.3507073769281</v>
      </c>
      <c r="Q139" s="711">
        <f t="shared" si="31"/>
        <v>734.97996942307202</v>
      </c>
      <c r="R139" s="711">
        <f t="shared" si="32"/>
        <v>1153.1879280000001</v>
      </c>
      <c r="S139" s="723"/>
    </row>
    <row r="140" spans="1:19" ht="15">
      <c r="A140" s="714" t="s">
        <v>1347</v>
      </c>
      <c r="B140" s="714" t="s">
        <v>1306</v>
      </c>
      <c r="C140" s="714" t="s">
        <v>1307</v>
      </c>
      <c r="D140" s="714">
        <v>9906977</v>
      </c>
      <c r="E140" s="714" t="s">
        <v>1731</v>
      </c>
      <c r="F140" s="711">
        <v>626715.28</v>
      </c>
      <c r="G140" s="711">
        <v>101487.85</v>
      </c>
      <c r="H140" s="711">
        <v>525227.43000000005</v>
      </c>
      <c r="I140" s="711"/>
      <c r="J140" s="711">
        <f t="shared" si="25"/>
        <v>187312.66288640001</v>
      </c>
      <c r="K140" s="711">
        <f t="shared" si="26"/>
        <v>93112.102422864715</v>
      </c>
      <c r="L140" s="711">
        <f t="shared" si="27"/>
        <v>36668.097759535296</v>
      </c>
      <c r="M140" s="711">
        <f t="shared" si="28"/>
        <v>57532.462704000005</v>
      </c>
      <c r="O140" s="711">
        <f t="shared" si="29"/>
        <v>30332.688608</v>
      </c>
      <c r="P140" s="711">
        <f t="shared" si="30"/>
        <v>15078.21396005588</v>
      </c>
      <c r="Q140" s="711">
        <f t="shared" si="31"/>
        <v>5937.8900179441207</v>
      </c>
      <c r="R140" s="711">
        <f t="shared" si="32"/>
        <v>9316.5846300000012</v>
      </c>
      <c r="S140" s="723"/>
    </row>
    <row r="141" spans="1:19" ht="15">
      <c r="A141" s="714" t="s">
        <v>1347</v>
      </c>
      <c r="B141" s="714" t="s">
        <v>1306</v>
      </c>
      <c r="C141" s="714" t="s">
        <v>1307</v>
      </c>
      <c r="D141" s="714">
        <v>9906978</v>
      </c>
      <c r="E141" s="714" t="s">
        <v>1732</v>
      </c>
      <c r="F141" s="711">
        <v>655949.78</v>
      </c>
      <c r="G141" s="711">
        <v>106230.82999999999</v>
      </c>
      <c r="H141" s="711">
        <v>549718.94999999995</v>
      </c>
      <c r="I141" s="711"/>
      <c r="J141" s="711">
        <f t="shared" si="25"/>
        <v>196050.2702464</v>
      </c>
      <c r="K141" s="711">
        <f t="shared" si="26"/>
        <v>97455.519354204313</v>
      </c>
      <c r="L141" s="711">
        <f t="shared" si="27"/>
        <v>38378.561088195696</v>
      </c>
      <c r="M141" s="711">
        <f t="shared" si="28"/>
        <v>60216.189804000009</v>
      </c>
      <c r="O141" s="711">
        <f t="shared" si="29"/>
        <v>31750.270470399995</v>
      </c>
      <c r="P141" s="711">
        <f t="shared" si="30"/>
        <v>15782.886167105942</v>
      </c>
      <c r="Q141" s="711">
        <f t="shared" si="31"/>
        <v>6215.3941092940549</v>
      </c>
      <c r="R141" s="711">
        <f t="shared" si="32"/>
        <v>9751.990194</v>
      </c>
      <c r="S141" s="723"/>
    </row>
    <row r="142" spans="1:19" ht="15">
      <c r="A142" s="714" t="s">
        <v>1347</v>
      </c>
      <c r="B142" s="714" t="s">
        <v>1306</v>
      </c>
      <c r="C142" s="714" t="s">
        <v>1307</v>
      </c>
      <c r="D142" s="714">
        <v>9906979</v>
      </c>
      <c r="E142" s="714" t="s">
        <v>1733</v>
      </c>
      <c r="F142" s="711">
        <v>52958.89</v>
      </c>
      <c r="G142" s="711">
        <v>8575.59</v>
      </c>
      <c r="H142" s="711">
        <v>44383.3</v>
      </c>
      <c r="I142" s="711"/>
      <c r="J142" s="711">
        <f t="shared" si="25"/>
        <v>15828.353043199999</v>
      </c>
      <c r="K142" s="711">
        <f t="shared" si="26"/>
        <v>7868.1879112333518</v>
      </c>
      <c r="L142" s="711">
        <f t="shared" si="27"/>
        <v>3098.5390299666478</v>
      </c>
      <c r="M142" s="711">
        <f t="shared" si="28"/>
        <v>4861.6261020000002</v>
      </c>
      <c r="O142" s="711">
        <f t="shared" si="29"/>
        <v>2563.0723392</v>
      </c>
      <c r="P142" s="711">
        <f t="shared" si="30"/>
        <v>1274.0892713139119</v>
      </c>
      <c r="Q142" s="711">
        <f t="shared" si="31"/>
        <v>501.74390588608799</v>
      </c>
      <c r="R142" s="711">
        <f t="shared" si="32"/>
        <v>787.23916200000008</v>
      </c>
      <c r="S142" s="723"/>
    </row>
    <row r="143" spans="1:19" ht="15">
      <c r="A143" s="714" t="s">
        <v>1347</v>
      </c>
      <c r="B143" s="714" t="s">
        <v>1306</v>
      </c>
      <c r="C143" s="714" t="s">
        <v>1307</v>
      </c>
      <c r="D143" s="714">
        <v>9906980</v>
      </c>
      <c r="E143" s="714" t="s">
        <v>1734</v>
      </c>
      <c r="F143" s="711">
        <v>735179.20000000007</v>
      </c>
      <c r="G143" s="711">
        <v>116925.92</v>
      </c>
      <c r="H143" s="711">
        <v>618253.27999999991</v>
      </c>
      <c r="I143" s="711"/>
      <c r="J143" s="711">
        <f t="shared" si="25"/>
        <v>219730.35929600001</v>
      </c>
      <c r="K143" s="711">
        <f t="shared" si="26"/>
        <v>109226.76238173057</v>
      </c>
      <c r="L143" s="711">
        <f t="shared" si="27"/>
        <v>43014.146354269447</v>
      </c>
      <c r="M143" s="711">
        <f t="shared" si="28"/>
        <v>67489.450560000012</v>
      </c>
      <c r="O143" s="711">
        <f t="shared" si="29"/>
        <v>34946.818969599997</v>
      </c>
      <c r="P143" s="711">
        <f t="shared" si="30"/>
        <v>17371.872980227457</v>
      </c>
      <c r="Q143" s="711">
        <f t="shared" si="31"/>
        <v>6841.1465333725437</v>
      </c>
      <c r="R143" s="711">
        <f t="shared" si="32"/>
        <v>10733.799456000001</v>
      </c>
      <c r="S143" s="723"/>
    </row>
    <row r="144" spans="1:19" ht="15">
      <c r="A144" s="714" t="s">
        <v>1347</v>
      </c>
      <c r="B144" s="714" t="s">
        <v>1306</v>
      </c>
      <c r="C144" s="714" t="s">
        <v>1307</v>
      </c>
      <c r="D144" s="714">
        <v>9906981</v>
      </c>
      <c r="E144" s="714" t="s">
        <v>1735</v>
      </c>
      <c r="F144" s="711">
        <v>466526.43</v>
      </c>
      <c r="G144" s="711">
        <v>75551.94</v>
      </c>
      <c r="H144" s="711">
        <v>390974.49</v>
      </c>
      <c r="I144" s="711"/>
      <c r="J144" s="711">
        <f t="shared" si="25"/>
        <v>139435.4193984</v>
      </c>
      <c r="K144" s="711">
        <f t="shared" si="26"/>
        <v>69312.585985032027</v>
      </c>
      <c r="L144" s="711">
        <f t="shared" si="27"/>
        <v>27295.707139367976</v>
      </c>
      <c r="M144" s="711">
        <f t="shared" si="28"/>
        <v>42827.126274000002</v>
      </c>
      <c r="O144" s="711">
        <f t="shared" si="29"/>
        <v>22580.963827199997</v>
      </c>
      <c r="P144" s="711">
        <f t="shared" si="30"/>
        <v>11224.873878176593</v>
      </c>
      <c r="Q144" s="711">
        <f t="shared" si="31"/>
        <v>4420.4218570234079</v>
      </c>
      <c r="R144" s="711">
        <f t="shared" si="32"/>
        <v>6935.6680920000008</v>
      </c>
      <c r="S144" s="723"/>
    </row>
    <row r="145" spans="1:19" ht="15">
      <c r="A145" s="714" t="s">
        <v>1347</v>
      </c>
      <c r="B145" s="714" t="s">
        <v>1306</v>
      </c>
      <c r="C145" s="714" t="s">
        <v>1307</v>
      </c>
      <c r="D145" s="714">
        <v>9906982</v>
      </c>
      <c r="E145" s="714" t="s">
        <v>1736</v>
      </c>
      <c r="F145" s="711">
        <v>595730.8899999999</v>
      </c>
      <c r="G145" s="711">
        <v>96472.9</v>
      </c>
      <c r="H145" s="711">
        <v>499257.98999999993</v>
      </c>
      <c r="I145" s="711"/>
      <c r="J145" s="711">
        <f t="shared" si="25"/>
        <v>178052.04840319997</v>
      </c>
      <c r="K145" s="711">
        <f t="shared" si="26"/>
        <v>88508.701505002944</v>
      </c>
      <c r="L145" s="711">
        <f t="shared" si="27"/>
        <v>34855.251196197045</v>
      </c>
      <c r="M145" s="711">
        <f t="shared" si="28"/>
        <v>54688.095701999991</v>
      </c>
      <c r="O145" s="711">
        <f t="shared" si="29"/>
        <v>28833.820351999995</v>
      </c>
      <c r="P145" s="711">
        <f t="shared" si="30"/>
        <v>14333.13473038472</v>
      </c>
      <c r="Q145" s="711">
        <f t="shared" si="31"/>
        <v>5644.4734016152797</v>
      </c>
      <c r="R145" s="711">
        <f t="shared" si="32"/>
        <v>8856.2122199999994</v>
      </c>
      <c r="S145" s="723"/>
    </row>
    <row r="146" spans="1:19" ht="15">
      <c r="A146" s="714" t="s">
        <v>1347</v>
      </c>
      <c r="B146" s="714" t="s">
        <v>1306</v>
      </c>
      <c r="C146" s="714" t="s">
        <v>1307</v>
      </c>
      <c r="D146" s="714">
        <v>9906987</v>
      </c>
      <c r="E146" s="714" t="s">
        <v>1737</v>
      </c>
      <c r="F146" s="711">
        <v>1249572.5</v>
      </c>
      <c r="G146" s="711">
        <v>202357.41</v>
      </c>
      <c r="H146" s="711">
        <v>1047215.09</v>
      </c>
      <c r="I146" s="711"/>
      <c r="J146" s="711">
        <f t="shared" si="25"/>
        <v>373472.22879999998</v>
      </c>
      <c r="K146" s="711">
        <f t="shared" si="26"/>
        <v>185651.006633818</v>
      </c>
      <c r="L146" s="711">
        <f t="shared" si="27"/>
        <v>73110.466666181994</v>
      </c>
      <c r="M146" s="711">
        <f t="shared" si="28"/>
        <v>114710.75550000001</v>
      </c>
      <c r="O146" s="711">
        <f t="shared" si="29"/>
        <v>60480.582700799998</v>
      </c>
      <c r="P146" s="711">
        <f t="shared" si="30"/>
        <v>30064.56757516049</v>
      </c>
      <c r="Q146" s="711">
        <f t="shared" si="31"/>
        <v>11839.604887639513</v>
      </c>
      <c r="R146" s="711">
        <f t="shared" si="32"/>
        <v>18576.410238</v>
      </c>
      <c r="S146" s="723"/>
    </row>
    <row r="147" spans="1:19" ht="15">
      <c r="A147" s="714" t="s">
        <v>1347</v>
      </c>
      <c r="B147" s="714" t="s">
        <v>1306</v>
      </c>
      <c r="C147" s="714" t="s">
        <v>1307</v>
      </c>
      <c r="D147" s="714">
        <v>9906990</v>
      </c>
      <c r="E147" s="714" t="s">
        <v>1738</v>
      </c>
      <c r="F147" s="711">
        <v>69908.110000000015</v>
      </c>
      <c r="G147" s="711">
        <v>11320.980000000001</v>
      </c>
      <c r="H147" s="711">
        <v>58587.130000000005</v>
      </c>
      <c r="I147" s="711"/>
      <c r="J147" s="711">
        <f t="shared" si="25"/>
        <v>20894.135916800002</v>
      </c>
      <c r="K147" s="711">
        <f t="shared" si="26"/>
        <v>10386.36093013225</v>
      </c>
      <c r="L147" s="711">
        <f t="shared" si="27"/>
        <v>4090.210488667753</v>
      </c>
      <c r="M147" s="711">
        <f t="shared" si="28"/>
        <v>6417.5644980000015</v>
      </c>
      <c r="O147" s="711">
        <f t="shared" si="29"/>
        <v>3383.6145024000002</v>
      </c>
      <c r="P147" s="711">
        <f t="shared" si="30"/>
        <v>1681.9763023604642</v>
      </c>
      <c r="Q147" s="711">
        <f t="shared" si="31"/>
        <v>662.37223603953612</v>
      </c>
      <c r="R147" s="711">
        <f t="shared" si="32"/>
        <v>1039.2659640000002</v>
      </c>
      <c r="S147" s="723"/>
    </row>
    <row r="148" spans="1:19" ht="15">
      <c r="A148" s="714" t="s">
        <v>1347</v>
      </c>
      <c r="B148" s="714" t="s">
        <v>1306</v>
      </c>
      <c r="C148" s="714" t="s">
        <v>1307</v>
      </c>
      <c r="D148" s="714">
        <v>9906991</v>
      </c>
      <c r="E148" s="714" t="s">
        <v>1739</v>
      </c>
      <c r="F148" s="711">
        <v>81586.779999999984</v>
      </c>
      <c r="G148" s="711">
        <v>13211.94</v>
      </c>
      <c r="H148" s="711">
        <v>68374.84</v>
      </c>
      <c r="I148" s="711"/>
      <c r="J148" s="711">
        <f t="shared" si="25"/>
        <v>24384.656806399995</v>
      </c>
      <c r="K148" s="711">
        <f t="shared" si="26"/>
        <v>12121.479814105902</v>
      </c>
      <c r="L148" s="711">
        <f t="shared" si="27"/>
        <v>4773.5105882940952</v>
      </c>
      <c r="M148" s="711">
        <f t="shared" si="28"/>
        <v>7489.6664039999987</v>
      </c>
      <c r="O148" s="711">
        <f t="shared" si="29"/>
        <v>3948.7846271999997</v>
      </c>
      <c r="P148" s="711">
        <f t="shared" si="30"/>
        <v>1962.9192868645921</v>
      </c>
      <c r="Q148" s="711">
        <f t="shared" si="31"/>
        <v>773.00924833540807</v>
      </c>
      <c r="R148" s="711">
        <f t="shared" si="32"/>
        <v>1212.8560920000002</v>
      </c>
      <c r="S148" s="723"/>
    </row>
    <row r="149" spans="1:19" ht="15">
      <c r="A149" s="714" t="s">
        <v>1347</v>
      </c>
      <c r="B149" s="714" t="s">
        <v>1306</v>
      </c>
      <c r="C149" s="714" t="s">
        <v>1307</v>
      </c>
      <c r="D149" s="714">
        <v>9906992</v>
      </c>
      <c r="E149" s="714" t="s">
        <v>1740</v>
      </c>
      <c r="F149" s="711">
        <v>42156.340000000004</v>
      </c>
      <c r="G149" s="711">
        <v>6825.7099999999991</v>
      </c>
      <c r="H149" s="711">
        <v>35330.629999999997</v>
      </c>
      <c r="I149" s="711"/>
      <c r="J149" s="711">
        <f t="shared" si="25"/>
        <v>12599.6868992</v>
      </c>
      <c r="K149" s="711">
        <f t="shared" si="26"/>
        <v>6263.235592170513</v>
      </c>
      <c r="L149" s="711">
        <f t="shared" si="27"/>
        <v>2466.4992950294882</v>
      </c>
      <c r="M149" s="711">
        <f t="shared" si="28"/>
        <v>3869.9520120000007</v>
      </c>
      <c r="O149" s="711">
        <f t="shared" si="29"/>
        <v>2040.0682047999996</v>
      </c>
      <c r="P149" s="711">
        <f t="shared" si="30"/>
        <v>1014.1067705079279</v>
      </c>
      <c r="Q149" s="711">
        <f t="shared" si="31"/>
        <v>399.36125629207197</v>
      </c>
      <c r="R149" s="711">
        <f t="shared" si="32"/>
        <v>626.60017799999991</v>
      </c>
      <c r="S149" s="723"/>
    </row>
    <row r="150" spans="1:19" ht="15">
      <c r="A150" s="714" t="s">
        <v>1347</v>
      </c>
      <c r="B150" s="714" t="s">
        <v>1306</v>
      </c>
      <c r="C150" s="714" t="s">
        <v>1307</v>
      </c>
      <c r="D150" s="714">
        <v>9906993</v>
      </c>
      <c r="E150" s="714" t="s">
        <v>1741</v>
      </c>
      <c r="F150" s="711">
        <v>146613.51999999999</v>
      </c>
      <c r="G150" s="711">
        <v>23740.22</v>
      </c>
      <c r="H150" s="711">
        <v>122873.30000000002</v>
      </c>
      <c r="I150" s="711"/>
      <c r="J150" s="711">
        <f t="shared" si="25"/>
        <v>43819.848857599995</v>
      </c>
      <c r="K150" s="711">
        <f t="shared" si="26"/>
        <v>21782.607711139135</v>
      </c>
      <c r="L150" s="711">
        <f t="shared" si="27"/>
        <v>8578.1200104608633</v>
      </c>
      <c r="M150" s="711">
        <f t="shared" si="28"/>
        <v>13459.121136</v>
      </c>
      <c r="O150" s="711">
        <f t="shared" si="29"/>
        <v>7095.4769535999994</v>
      </c>
      <c r="P150" s="711">
        <f t="shared" si="30"/>
        <v>3527.1228685876963</v>
      </c>
      <c r="Q150" s="711">
        <f t="shared" si="31"/>
        <v>1389.001889012304</v>
      </c>
      <c r="R150" s="711">
        <f t="shared" si="32"/>
        <v>2179.3521960000003</v>
      </c>
      <c r="S150" s="723"/>
    </row>
    <row r="151" spans="1:19" ht="15">
      <c r="A151" s="714" t="s">
        <v>1347</v>
      </c>
      <c r="B151" s="714" t="s">
        <v>1306</v>
      </c>
      <c r="C151" s="714" t="s">
        <v>1307</v>
      </c>
      <c r="D151" s="714">
        <v>9906995</v>
      </c>
      <c r="E151" s="714" t="s">
        <v>1742</v>
      </c>
      <c r="F151" s="711">
        <v>58813.279999999999</v>
      </c>
      <c r="G151" s="711">
        <v>9522.340000000002</v>
      </c>
      <c r="H151" s="711">
        <v>49290.94</v>
      </c>
      <c r="I151" s="711"/>
      <c r="J151" s="711">
        <f t="shared" si="25"/>
        <v>17578.1131264</v>
      </c>
      <c r="K151" s="711">
        <f t="shared" si="26"/>
        <v>8737.9840989111035</v>
      </c>
      <c r="L151" s="711">
        <f t="shared" si="27"/>
        <v>3441.0699234888957</v>
      </c>
      <c r="M151" s="711">
        <f t="shared" si="28"/>
        <v>5399.0591039999999</v>
      </c>
      <c r="O151" s="711">
        <f t="shared" si="29"/>
        <v>2846.0369792000006</v>
      </c>
      <c r="P151" s="711">
        <f t="shared" si="30"/>
        <v>1414.7494495193123</v>
      </c>
      <c r="Q151" s="711">
        <f t="shared" si="31"/>
        <v>557.13671768068809</v>
      </c>
      <c r="R151" s="711">
        <f t="shared" si="32"/>
        <v>874.1508120000002</v>
      </c>
      <c r="S151" s="723"/>
    </row>
    <row r="152" spans="1:19" ht="15">
      <c r="A152" s="714" t="s">
        <v>1347</v>
      </c>
      <c r="B152" s="714" t="s">
        <v>1306</v>
      </c>
      <c r="C152" s="714" t="s">
        <v>1307</v>
      </c>
      <c r="D152" s="714">
        <v>9906996</v>
      </c>
      <c r="E152" s="714" t="s">
        <v>1743</v>
      </c>
      <c r="F152" s="711">
        <v>162261.42000000001</v>
      </c>
      <c r="G152" s="711">
        <v>26274.920000000002</v>
      </c>
      <c r="H152" s="711">
        <v>135986.5</v>
      </c>
      <c r="I152" s="711"/>
      <c r="J152" s="711">
        <f t="shared" si="25"/>
        <v>48496.693209600002</v>
      </c>
      <c r="K152" s="711">
        <f t="shared" si="26"/>
        <v>24107.441513663856</v>
      </c>
      <c r="L152" s="711">
        <f t="shared" si="27"/>
        <v>9493.6533399361451</v>
      </c>
      <c r="M152" s="711">
        <f t="shared" si="28"/>
        <v>14895.598356000002</v>
      </c>
      <c r="O152" s="711">
        <f t="shared" si="29"/>
        <v>7853.0480895999999</v>
      </c>
      <c r="P152" s="711">
        <f t="shared" si="30"/>
        <v>3903.7073456906564</v>
      </c>
      <c r="Q152" s="711">
        <f t="shared" si="31"/>
        <v>1537.3030879093442</v>
      </c>
      <c r="R152" s="711">
        <f t="shared" si="32"/>
        <v>2412.0376560000004</v>
      </c>
      <c r="S152" s="723"/>
    </row>
    <row r="153" spans="1:19" ht="15">
      <c r="A153" s="714" t="s">
        <v>1347</v>
      </c>
      <c r="B153" s="714" t="s">
        <v>1306</v>
      </c>
      <c r="C153" s="714" t="s">
        <v>1307</v>
      </c>
      <c r="D153" s="714">
        <v>9906997</v>
      </c>
      <c r="E153" s="714" t="s">
        <v>1744</v>
      </c>
      <c r="F153" s="711">
        <v>53421.73</v>
      </c>
      <c r="G153" s="711">
        <v>8649.41</v>
      </c>
      <c r="H153" s="711">
        <v>44772.32</v>
      </c>
      <c r="I153" s="711"/>
      <c r="J153" s="711">
        <f t="shared" si="25"/>
        <v>15966.686662399999</v>
      </c>
      <c r="K153" s="711">
        <f t="shared" si="26"/>
        <v>7936.9527983530643</v>
      </c>
      <c r="L153" s="711">
        <f t="shared" si="27"/>
        <v>3125.6190500469361</v>
      </c>
      <c r="M153" s="711">
        <f t="shared" si="28"/>
        <v>4904.1148140000005</v>
      </c>
      <c r="O153" s="711">
        <f t="shared" si="29"/>
        <v>2585.1356607999996</v>
      </c>
      <c r="P153" s="711">
        <f t="shared" si="30"/>
        <v>1285.056828066088</v>
      </c>
      <c r="Q153" s="711">
        <f t="shared" si="31"/>
        <v>506.06299473391198</v>
      </c>
      <c r="R153" s="711">
        <f t="shared" si="32"/>
        <v>794.01583800000003</v>
      </c>
      <c r="S153" s="723"/>
    </row>
    <row r="154" spans="1:19" ht="15">
      <c r="A154" s="714" t="s">
        <v>1347</v>
      </c>
      <c r="B154" s="714" t="s">
        <v>1306</v>
      </c>
      <c r="C154" s="714" t="s">
        <v>1307</v>
      </c>
      <c r="D154" s="714">
        <v>9907000</v>
      </c>
      <c r="E154" s="714" t="s">
        <v>1745</v>
      </c>
      <c r="F154" s="711">
        <v>173222.91999999998</v>
      </c>
      <c r="G154" s="711">
        <v>28048.73</v>
      </c>
      <c r="H154" s="711">
        <v>145174.19</v>
      </c>
      <c r="I154" s="711"/>
      <c r="J154" s="711">
        <f t="shared" si="25"/>
        <v>51772.866329599994</v>
      </c>
      <c r="K154" s="711">
        <f t="shared" si="26"/>
        <v>25736.009291217055</v>
      </c>
      <c r="L154" s="711">
        <f t="shared" si="27"/>
        <v>10134.992982382943</v>
      </c>
      <c r="M154" s="711">
        <f t="shared" si="28"/>
        <v>15901.864056</v>
      </c>
      <c r="O154" s="711">
        <f t="shared" si="29"/>
        <v>8383.2044224000001</v>
      </c>
      <c r="P154" s="711">
        <f t="shared" si="30"/>
        <v>4167.2451652866639</v>
      </c>
      <c r="Q154" s="711">
        <f t="shared" si="31"/>
        <v>1641.0858431133361</v>
      </c>
      <c r="R154" s="711">
        <f t="shared" si="32"/>
        <v>2574.8734140000001</v>
      </c>
      <c r="S154" s="723"/>
    </row>
    <row r="155" spans="1:19" ht="15">
      <c r="A155" s="714" t="s">
        <v>1347</v>
      </c>
      <c r="B155" s="714" t="s">
        <v>1306</v>
      </c>
      <c r="C155" s="714" t="s">
        <v>1307</v>
      </c>
      <c r="D155" s="714">
        <v>9907001</v>
      </c>
      <c r="E155" s="714" t="s">
        <v>1746</v>
      </c>
      <c r="F155" s="711">
        <v>637777.59</v>
      </c>
      <c r="G155" s="711">
        <v>23548.41</v>
      </c>
      <c r="H155" s="711">
        <v>614229.17999999993</v>
      </c>
      <c r="I155" s="711"/>
      <c r="J155" s="711">
        <f t="shared" si="25"/>
        <v>190618.96609919998</v>
      </c>
      <c r="K155" s="711">
        <f t="shared" si="26"/>
        <v>94755.647705107505</v>
      </c>
      <c r="L155" s="711">
        <f t="shared" si="27"/>
        <v>37315.335632092487</v>
      </c>
      <c r="M155" s="711">
        <f t="shared" si="28"/>
        <v>58547.982762</v>
      </c>
      <c r="O155" s="711">
        <f t="shared" si="29"/>
        <v>7038.1487807999993</v>
      </c>
      <c r="P155" s="711">
        <f t="shared" si="30"/>
        <v>3498.6253467692882</v>
      </c>
      <c r="Q155" s="711">
        <f t="shared" si="31"/>
        <v>1377.779396030712</v>
      </c>
      <c r="R155" s="711">
        <f t="shared" si="32"/>
        <v>2161.7440380000003</v>
      </c>
      <c r="S155" s="723"/>
    </row>
    <row r="156" spans="1:19" ht="15">
      <c r="A156" s="714" t="s">
        <v>1347</v>
      </c>
      <c r="B156" s="714" t="s">
        <v>1306</v>
      </c>
      <c r="C156" s="714" t="s">
        <v>1307</v>
      </c>
      <c r="D156" s="714">
        <v>9907006</v>
      </c>
      <c r="E156" s="714" t="s">
        <v>1747</v>
      </c>
      <c r="F156" s="711">
        <v>112511.08</v>
      </c>
      <c r="G156" s="711">
        <v>18219.62</v>
      </c>
      <c r="H156" s="711">
        <v>94291.459999999992</v>
      </c>
      <c r="I156" s="711"/>
      <c r="J156" s="711">
        <f t="shared" si="25"/>
        <v>33627.311590400001</v>
      </c>
      <c r="K156" s="711">
        <f t="shared" si="26"/>
        <v>16715.953063514145</v>
      </c>
      <c r="L156" s="711">
        <f t="shared" si="27"/>
        <v>6582.8413828858556</v>
      </c>
      <c r="M156" s="711">
        <f t="shared" si="28"/>
        <v>10328.517144000001</v>
      </c>
      <c r="O156" s="711">
        <f t="shared" si="29"/>
        <v>5445.480025599999</v>
      </c>
      <c r="P156" s="711">
        <f t="shared" si="30"/>
        <v>2706.918400881616</v>
      </c>
      <c r="Q156" s="711">
        <f t="shared" si="31"/>
        <v>1066.000508718384</v>
      </c>
      <c r="R156" s="711">
        <f t="shared" si="32"/>
        <v>1672.5611160000001</v>
      </c>
      <c r="S156" s="723"/>
    </row>
    <row r="157" spans="1:19" ht="15">
      <c r="A157" s="714" t="s">
        <v>1347</v>
      </c>
      <c r="B157" s="714" t="s">
        <v>1306</v>
      </c>
      <c r="C157" s="714" t="s">
        <v>1307</v>
      </c>
      <c r="D157" s="714">
        <v>9907012</v>
      </c>
      <c r="E157" s="714" t="s">
        <v>1748</v>
      </c>
      <c r="F157" s="711">
        <v>536264.98</v>
      </c>
      <c r="G157" s="711">
        <v>19798.84</v>
      </c>
      <c r="H157" s="711">
        <v>516466.13999999996</v>
      </c>
      <c r="I157" s="711"/>
      <c r="J157" s="711">
        <f t="shared" si="25"/>
        <v>160278.87722239998</v>
      </c>
      <c r="K157" s="711">
        <f t="shared" si="26"/>
        <v>79673.755111819657</v>
      </c>
      <c r="L157" s="711">
        <f t="shared" si="27"/>
        <v>31375.996946580333</v>
      </c>
      <c r="M157" s="711">
        <f t="shared" si="28"/>
        <v>49229.125164000005</v>
      </c>
      <c r="O157" s="711">
        <f t="shared" si="29"/>
        <v>5917.4772991999998</v>
      </c>
      <c r="P157" s="711">
        <f t="shared" si="30"/>
        <v>2941.5456695645121</v>
      </c>
      <c r="Q157" s="711">
        <f t="shared" si="31"/>
        <v>1158.398117635488</v>
      </c>
      <c r="R157" s="711">
        <f t="shared" si="32"/>
        <v>1817.5335120000002</v>
      </c>
      <c r="S157" s="723"/>
    </row>
    <row r="158" spans="1:19" ht="15">
      <c r="A158" s="714" t="s">
        <v>1347</v>
      </c>
      <c r="B158" s="714" t="s">
        <v>1306</v>
      </c>
      <c r="C158" s="714" t="s">
        <v>1307</v>
      </c>
      <c r="D158" s="714">
        <v>9907015</v>
      </c>
      <c r="E158" s="714" t="s">
        <v>1749</v>
      </c>
      <c r="F158" s="711">
        <v>21716.57</v>
      </c>
      <c r="G158" s="711">
        <v>3516.9500000000003</v>
      </c>
      <c r="H158" s="711">
        <v>18199.620000000003</v>
      </c>
      <c r="I158" s="711"/>
      <c r="J158" s="711">
        <f t="shared" si="25"/>
        <v>6490.6484415999994</v>
      </c>
      <c r="K158" s="711">
        <f t="shared" si="26"/>
        <v>3226.4659162503758</v>
      </c>
      <c r="L158" s="711">
        <f t="shared" si="27"/>
        <v>1270.601399349624</v>
      </c>
      <c r="M158" s="711">
        <f t="shared" si="28"/>
        <v>1993.581126</v>
      </c>
      <c r="O158" s="711">
        <f t="shared" si="29"/>
        <v>1051.1460159999999</v>
      </c>
      <c r="P158" s="711">
        <f t="shared" si="30"/>
        <v>522.51894770476008</v>
      </c>
      <c r="Q158" s="711">
        <f t="shared" si="31"/>
        <v>205.77105829524001</v>
      </c>
      <c r="R158" s="711">
        <f t="shared" si="32"/>
        <v>322.85601000000003</v>
      </c>
      <c r="S158" s="723"/>
    </row>
    <row r="159" spans="1:19" ht="15">
      <c r="A159" s="714" t="s">
        <v>1347</v>
      </c>
      <c r="B159" s="714" t="s">
        <v>1306</v>
      </c>
      <c r="C159" s="714" t="s">
        <v>1307</v>
      </c>
      <c r="D159" s="714">
        <v>9907019</v>
      </c>
      <c r="E159" s="714" t="s">
        <v>1750</v>
      </c>
      <c r="F159" s="711">
        <v>262454.42</v>
      </c>
      <c r="G159" s="711">
        <v>42499.210000000006</v>
      </c>
      <c r="H159" s="711">
        <v>219955.21</v>
      </c>
      <c r="I159" s="711"/>
      <c r="J159" s="711">
        <f t="shared" si="25"/>
        <v>78442.377049599992</v>
      </c>
      <c r="K159" s="711">
        <f t="shared" si="26"/>
        <v>38993.277515706257</v>
      </c>
      <c r="L159" s="711">
        <f t="shared" si="27"/>
        <v>15355.783777893743</v>
      </c>
      <c r="M159" s="711">
        <f t="shared" si="28"/>
        <v>24093.315756</v>
      </c>
      <c r="O159" s="711">
        <f t="shared" si="29"/>
        <v>12702.1638848</v>
      </c>
      <c r="P159" s="711">
        <f t="shared" si="30"/>
        <v>6314.1763424227292</v>
      </c>
      <c r="Q159" s="711">
        <f t="shared" si="31"/>
        <v>2486.5600643772723</v>
      </c>
      <c r="R159" s="711">
        <f t="shared" si="32"/>
        <v>3901.427478000001</v>
      </c>
      <c r="S159" s="723"/>
    </row>
    <row r="160" spans="1:19" ht="15">
      <c r="A160" s="714" t="s">
        <v>1347</v>
      </c>
      <c r="B160" s="714" t="s">
        <v>1306</v>
      </c>
      <c r="C160" s="714" t="s">
        <v>1307</v>
      </c>
      <c r="D160" s="714">
        <v>9907020</v>
      </c>
      <c r="E160" s="714" t="s">
        <v>1751</v>
      </c>
      <c r="F160" s="711">
        <v>17518.050000000003</v>
      </c>
      <c r="G160" s="711">
        <v>2836.8499999999995</v>
      </c>
      <c r="H160" s="711">
        <v>14681.200000000003</v>
      </c>
      <c r="I160" s="711"/>
      <c r="J160" s="711">
        <f t="shared" si="25"/>
        <v>5235.7947840000006</v>
      </c>
      <c r="K160" s="711">
        <f t="shared" si="26"/>
        <v>2602.6850116832406</v>
      </c>
      <c r="L160" s="711">
        <f t="shared" si="27"/>
        <v>1024.9527823167602</v>
      </c>
      <c r="M160" s="711">
        <f t="shared" si="28"/>
        <v>1608.1569900000004</v>
      </c>
      <c r="O160" s="711">
        <f t="shared" si="29"/>
        <v>847.87772799999982</v>
      </c>
      <c r="P160" s="711">
        <f t="shared" si="30"/>
        <v>421.47539111907992</v>
      </c>
      <c r="Q160" s="711">
        <f t="shared" si="31"/>
        <v>165.97950688091996</v>
      </c>
      <c r="R160" s="711">
        <f t="shared" si="32"/>
        <v>260.42282999999998</v>
      </c>
      <c r="S160" s="723"/>
    </row>
    <row r="161" spans="1:19" ht="15">
      <c r="A161" s="714" t="s">
        <v>1347</v>
      </c>
      <c r="B161" s="714" t="s">
        <v>1306</v>
      </c>
      <c r="C161" s="714" t="s">
        <v>1307</v>
      </c>
      <c r="D161" s="714">
        <v>9907035</v>
      </c>
      <c r="E161" s="714" t="s">
        <v>1752</v>
      </c>
      <c r="F161" s="711">
        <v>339352.18</v>
      </c>
      <c r="G161" s="711">
        <v>12506.92</v>
      </c>
      <c r="H161" s="711">
        <v>326845.26</v>
      </c>
      <c r="I161" s="711"/>
      <c r="J161" s="711">
        <f t="shared" si="25"/>
        <v>101425.57955839999</v>
      </c>
      <c r="K161" s="711">
        <f t="shared" si="26"/>
        <v>50418.102047204622</v>
      </c>
      <c r="L161" s="711">
        <f t="shared" si="27"/>
        <v>19854.947387195374</v>
      </c>
      <c r="M161" s="711">
        <f t="shared" si="28"/>
        <v>31152.530124000001</v>
      </c>
      <c r="O161" s="711">
        <f t="shared" si="29"/>
        <v>3738.0682495999999</v>
      </c>
      <c r="P161" s="711">
        <f t="shared" si="30"/>
        <v>1858.1733255882559</v>
      </c>
      <c r="Q161" s="711">
        <f t="shared" si="31"/>
        <v>731.759668011744</v>
      </c>
      <c r="R161" s="711">
        <f t="shared" si="32"/>
        <v>1148.135256</v>
      </c>
      <c r="S161" s="723"/>
    </row>
    <row r="162" spans="1:19" ht="15">
      <c r="A162" s="714" t="s">
        <v>1347</v>
      </c>
      <c r="B162" s="714" t="s">
        <v>1306</v>
      </c>
      <c r="C162" s="714" t="s">
        <v>1307</v>
      </c>
      <c r="D162" s="714">
        <v>9907036</v>
      </c>
      <c r="E162" s="714" t="s">
        <v>1753</v>
      </c>
      <c r="F162" s="711">
        <v>61823.260000000009</v>
      </c>
      <c r="G162" s="711">
        <v>2272.5500000000002</v>
      </c>
      <c r="H162" s="711">
        <v>59550.71</v>
      </c>
      <c r="I162" s="711"/>
      <c r="J162" s="711">
        <f t="shared" si="25"/>
        <v>18477.7359488</v>
      </c>
      <c r="K162" s="711">
        <f t="shared" si="26"/>
        <v>9185.1816940467688</v>
      </c>
      <c r="L162" s="711">
        <f t="shared" si="27"/>
        <v>3617.1789867532325</v>
      </c>
      <c r="M162" s="711">
        <f t="shared" si="28"/>
        <v>5675.3752680000016</v>
      </c>
      <c r="O162" s="711">
        <f t="shared" si="29"/>
        <v>679.21974399999999</v>
      </c>
      <c r="P162" s="711">
        <f t="shared" si="30"/>
        <v>337.63642775884</v>
      </c>
      <c r="Q162" s="711">
        <f t="shared" si="31"/>
        <v>132.96322624116002</v>
      </c>
      <c r="R162" s="711">
        <f t="shared" si="32"/>
        <v>208.62009000000003</v>
      </c>
      <c r="S162" s="723"/>
    </row>
    <row r="163" spans="1:19" ht="15">
      <c r="A163" s="714" t="s">
        <v>1347</v>
      </c>
      <c r="B163" s="714" t="s">
        <v>1306</v>
      </c>
      <c r="C163" s="714" t="s">
        <v>1307</v>
      </c>
      <c r="D163" s="714">
        <v>9907037</v>
      </c>
      <c r="E163" s="714" t="s">
        <v>1754</v>
      </c>
      <c r="F163" s="711">
        <v>158437.85</v>
      </c>
      <c r="G163" s="711">
        <v>25654.47</v>
      </c>
      <c r="H163" s="711">
        <v>132783.38</v>
      </c>
      <c r="I163" s="711"/>
      <c r="J163" s="711">
        <f t="shared" si="25"/>
        <v>47353.904607999997</v>
      </c>
      <c r="K163" s="711">
        <f t="shared" si="26"/>
        <v>23539.36753681588</v>
      </c>
      <c r="L163" s="711">
        <f t="shared" si="27"/>
        <v>9269.942441184121</v>
      </c>
      <c r="M163" s="711">
        <f t="shared" si="28"/>
        <v>14544.594630000001</v>
      </c>
      <c r="O163" s="711">
        <f t="shared" si="29"/>
        <v>7667.6079935999996</v>
      </c>
      <c r="P163" s="711">
        <f t="shared" si="30"/>
        <v>3811.5260860470962</v>
      </c>
      <c r="Q163" s="711">
        <f t="shared" si="31"/>
        <v>1501.0015615529041</v>
      </c>
      <c r="R163" s="711">
        <f t="shared" si="32"/>
        <v>2355.0803460000002</v>
      </c>
      <c r="S163" s="723"/>
    </row>
    <row r="164" spans="1:19" ht="15">
      <c r="A164" s="714" t="s">
        <v>1347</v>
      </c>
      <c r="B164" s="714" t="s">
        <v>1306</v>
      </c>
      <c r="C164" s="714" t="s">
        <v>1307</v>
      </c>
      <c r="D164" s="714">
        <v>9907040</v>
      </c>
      <c r="E164" s="714" t="s">
        <v>1755</v>
      </c>
      <c r="F164" s="711">
        <v>124101.26</v>
      </c>
      <c r="G164" s="711">
        <v>20098.46</v>
      </c>
      <c r="H164" s="711">
        <v>104002.79999999999</v>
      </c>
      <c r="I164" s="711"/>
      <c r="J164" s="711">
        <f t="shared" si="25"/>
        <v>37091.384588799992</v>
      </c>
      <c r="K164" s="711">
        <f t="shared" si="26"/>
        <v>18437.924845117166</v>
      </c>
      <c r="L164" s="711">
        <f t="shared" si="27"/>
        <v>7260.9640756828321</v>
      </c>
      <c r="M164" s="711">
        <f t="shared" si="28"/>
        <v>11392.495668</v>
      </c>
      <c r="O164" s="711">
        <f t="shared" si="29"/>
        <v>6007.0277247999993</v>
      </c>
      <c r="P164" s="711">
        <f t="shared" si="30"/>
        <v>2986.0606973901281</v>
      </c>
      <c r="Q164" s="711">
        <f t="shared" si="31"/>
        <v>1175.9283994098719</v>
      </c>
      <c r="R164" s="711">
        <f t="shared" si="32"/>
        <v>1845.038628</v>
      </c>
      <c r="S164" s="723"/>
    </row>
    <row r="165" spans="1:19" ht="15">
      <c r="A165" s="714" t="s">
        <v>1347</v>
      </c>
      <c r="B165" s="714" t="s">
        <v>1306</v>
      </c>
      <c r="C165" s="714" t="s">
        <v>1307</v>
      </c>
      <c r="D165" s="714">
        <v>9907043</v>
      </c>
      <c r="E165" s="714" t="s">
        <v>1756</v>
      </c>
      <c r="F165" s="711">
        <v>64403.669999999991</v>
      </c>
      <c r="G165" s="711">
        <v>10428.94</v>
      </c>
      <c r="H165" s="711">
        <v>53974.73</v>
      </c>
      <c r="I165" s="711"/>
      <c r="J165" s="711">
        <f t="shared" si="25"/>
        <v>19248.968889599997</v>
      </c>
      <c r="K165" s="711">
        <f t="shared" si="26"/>
        <v>9568.5573797536545</v>
      </c>
      <c r="L165" s="711">
        <f t="shared" si="27"/>
        <v>3768.1546038463434</v>
      </c>
      <c r="M165" s="711">
        <f t="shared" si="28"/>
        <v>5912.2569059999996</v>
      </c>
      <c r="O165" s="711">
        <f t="shared" si="29"/>
        <v>3117.0015871999999</v>
      </c>
      <c r="P165" s="711">
        <f t="shared" si="30"/>
        <v>1549.444477310192</v>
      </c>
      <c r="Q165" s="711">
        <f t="shared" si="31"/>
        <v>610.18041788980804</v>
      </c>
      <c r="R165" s="711">
        <f t="shared" si="32"/>
        <v>957.37669200000016</v>
      </c>
      <c r="S165" s="723"/>
    </row>
    <row r="166" spans="1:19" ht="15">
      <c r="A166" s="714" t="s">
        <v>1347</v>
      </c>
      <c r="B166" s="714" t="s">
        <v>1306</v>
      </c>
      <c r="C166" s="714" t="s">
        <v>1307</v>
      </c>
      <c r="D166" s="714">
        <v>9907048</v>
      </c>
      <c r="E166" s="714" t="s">
        <v>1757</v>
      </c>
      <c r="F166" s="711">
        <v>24997.93</v>
      </c>
      <c r="G166" s="711">
        <v>4048.22</v>
      </c>
      <c r="H166" s="711">
        <v>20949.710000000003</v>
      </c>
      <c r="I166" s="711"/>
      <c r="J166" s="711">
        <f t="shared" si="25"/>
        <v>7471.3813183999991</v>
      </c>
      <c r="K166" s="711">
        <f t="shared" si="26"/>
        <v>3713.982876753224</v>
      </c>
      <c r="L166" s="711">
        <f t="shared" si="27"/>
        <v>1462.5884676467761</v>
      </c>
      <c r="M166" s="711">
        <f t="shared" si="28"/>
        <v>2294.8099740000002</v>
      </c>
      <c r="O166" s="711">
        <f t="shared" si="29"/>
        <v>1209.9319935999999</v>
      </c>
      <c r="P166" s="711">
        <f t="shared" si="30"/>
        <v>601.45059056209595</v>
      </c>
      <c r="Q166" s="711">
        <f t="shared" si="31"/>
        <v>236.85480703790398</v>
      </c>
      <c r="R166" s="711">
        <f t="shared" si="32"/>
        <v>371.62659600000001</v>
      </c>
      <c r="S166" s="723"/>
    </row>
    <row r="167" spans="1:19" ht="15">
      <c r="A167" s="714" t="s">
        <v>1347</v>
      </c>
      <c r="B167" s="714" t="s">
        <v>1306</v>
      </c>
      <c r="C167" s="714" t="s">
        <v>1307</v>
      </c>
      <c r="D167" s="714">
        <v>9907057</v>
      </c>
      <c r="E167" s="714" t="s">
        <v>1758</v>
      </c>
      <c r="F167" s="711">
        <v>10938.05</v>
      </c>
      <c r="G167" s="711">
        <v>1771.3300000000002</v>
      </c>
      <c r="H167" s="711">
        <v>9166.7199999999993</v>
      </c>
      <c r="I167" s="711"/>
      <c r="J167" s="711">
        <f t="shared" si="25"/>
        <v>3269.1643839999997</v>
      </c>
      <c r="K167" s="711">
        <f t="shared" si="26"/>
        <v>1625.0837731392398</v>
      </c>
      <c r="L167" s="711">
        <f t="shared" si="27"/>
        <v>639.96762086076001</v>
      </c>
      <c r="M167" s="711">
        <f t="shared" si="28"/>
        <v>1004.11299</v>
      </c>
      <c r="O167" s="711">
        <f t="shared" si="29"/>
        <v>529.4151104</v>
      </c>
      <c r="P167" s="711">
        <f t="shared" si="30"/>
        <v>263.16936198634403</v>
      </c>
      <c r="Q167" s="711">
        <f t="shared" si="31"/>
        <v>103.63765441365601</v>
      </c>
      <c r="R167" s="711">
        <f t="shared" si="32"/>
        <v>162.60809400000002</v>
      </c>
      <c r="S167" s="723"/>
    </row>
    <row r="168" spans="1:19" ht="15">
      <c r="A168" s="714" t="s">
        <v>1347</v>
      </c>
      <c r="B168" s="714" t="s">
        <v>1306</v>
      </c>
      <c r="C168" s="714" t="s">
        <v>1307</v>
      </c>
      <c r="D168" s="714">
        <v>9907070</v>
      </c>
      <c r="E168" s="714" t="s">
        <v>1759</v>
      </c>
      <c r="F168" s="711">
        <v>42436.900000000009</v>
      </c>
      <c r="G168" s="711">
        <v>1557.13</v>
      </c>
      <c r="H168" s="711">
        <v>40879.770000000004</v>
      </c>
      <c r="I168" s="711"/>
      <c r="J168" s="711">
        <f t="shared" si="25"/>
        <v>12683.540672000001</v>
      </c>
      <c r="K168" s="711">
        <f t="shared" si="26"/>
        <v>6304.9188449799212</v>
      </c>
      <c r="L168" s="711">
        <f t="shared" si="27"/>
        <v>2482.9144070200805</v>
      </c>
      <c r="M168" s="711">
        <f t="shared" si="28"/>
        <v>3895.7074200000011</v>
      </c>
      <c r="O168" s="711">
        <f t="shared" si="29"/>
        <v>465.39501439999998</v>
      </c>
      <c r="P168" s="711">
        <f t="shared" si="30"/>
        <v>231.34532166778402</v>
      </c>
      <c r="Q168" s="711">
        <f t="shared" si="31"/>
        <v>91.105158732216012</v>
      </c>
      <c r="R168" s="711">
        <f t="shared" si="32"/>
        <v>142.94453400000003</v>
      </c>
      <c r="S168" s="723"/>
    </row>
    <row r="169" spans="1:19" ht="15">
      <c r="A169" s="714" t="s">
        <v>1347</v>
      </c>
      <c r="B169" s="714" t="s">
        <v>1306</v>
      </c>
      <c r="C169" s="714" t="s">
        <v>1307</v>
      </c>
      <c r="D169" s="714">
        <v>9907071</v>
      </c>
      <c r="E169" s="714" t="s">
        <v>1760</v>
      </c>
      <c r="F169" s="711">
        <v>16279.33</v>
      </c>
      <c r="G169" s="711">
        <v>2636.8199999999997</v>
      </c>
      <c r="H169" s="711">
        <v>13642.51</v>
      </c>
      <c r="I169" s="711"/>
      <c r="J169" s="711">
        <f t="shared" si="25"/>
        <v>4865.5661504</v>
      </c>
      <c r="K169" s="711">
        <f t="shared" si="26"/>
        <v>2418.6463785207438</v>
      </c>
      <c r="L169" s="711">
        <f t="shared" si="27"/>
        <v>952.47727787925601</v>
      </c>
      <c r="M169" s="711">
        <f t="shared" si="28"/>
        <v>1494.4424940000001</v>
      </c>
      <c r="O169" s="711">
        <f t="shared" si="29"/>
        <v>788.0927615999999</v>
      </c>
      <c r="P169" s="711">
        <f t="shared" si="30"/>
        <v>391.75661061057593</v>
      </c>
      <c r="Q169" s="711">
        <f t="shared" si="31"/>
        <v>154.27607498942399</v>
      </c>
      <c r="R169" s="711">
        <f t="shared" si="32"/>
        <v>242.06007599999998</v>
      </c>
      <c r="S169" s="723"/>
    </row>
    <row r="170" spans="1:19" ht="15">
      <c r="A170" s="714" t="s">
        <v>1347</v>
      </c>
      <c r="B170" s="714" t="s">
        <v>1306</v>
      </c>
      <c r="C170" s="714" t="s">
        <v>1307</v>
      </c>
      <c r="D170" s="714">
        <v>9907074</v>
      </c>
      <c r="E170" s="714" t="s">
        <v>1761</v>
      </c>
      <c r="F170" s="711">
        <v>174296.63999999996</v>
      </c>
      <c r="G170" s="711">
        <v>28226.44</v>
      </c>
      <c r="H170" s="711">
        <v>146070.20000000001</v>
      </c>
      <c r="I170" s="711"/>
      <c r="J170" s="711">
        <f t="shared" si="25"/>
        <v>52093.779763199986</v>
      </c>
      <c r="K170" s="711">
        <f t="shared" si="26"/>
        <v>25895.533607607547</v>
      </c>
      <c r="L170" s="711">
        <f t="shared" si="27"/>
        <v>10197.814603592446</v>
      </c>
      <c r="M170" s="711">
        <f t="shared" si="28"/>
        <v>16000.431551999996</v>
      </c>
      <c r="O170" s="711">
        <f t="shared" si="29"/>
        <v>8436.3183871999991</v>
      </c>
      <c r="P170" s="711">
        <f t="shared" si="30"/>
        <v>4193.6478273081921</v>
      </c>
      <c r="Q170" s="711">
        <f t="shared" si="31"/>
        <v>1651.483367891808</v>
      </c>
      <c r="R170" s="711">
        <f t="shared" si="32"/>
        <v>2591.1871919999999</v>
      </c>
      <c r="S170" s="723"/>
    </row>
    <row r="171" spans="1:19" ht="15">
      <c r="A171" s="714" t="s">
        <v>1347</v>
      </c>
      <c r="B171" s="714" t="s">
        <v>1306</v>
      </c>
      <c r="C171" s="714" t="s">
        <v>1307</v>
      </c>
      <c r="D171" s="714">
        <v>9907078</v>
      </c>
      <c r="E171" s="714" t="s">
        <v>1762</v>
      </c>
      <c r="F171" s="711">
        <v>34503.42</v>
      </c>
      <c r="G171" s="711">
        <v>1272.8099999999997</v>
      </c>
      <c r="H171" s="711">
        <v>33230.61</v>
      </c>
      <c r="I171" s="711"/>
      <c r="J171" s="711">
        <f t="shared" si="25"/>
        <v>10312.3821696</v>
      </c>
      <c r="K171" s="711">
        <f t="shared" si="26"/>
        <v>5126.2288945294558</v>
      </c>
      <c r="L171" s="711">
        <f t="shared" si="27"/>
        <v>2018.7393190705438</v>
      </c>
      <c r="M171" s="711">
        <f t="shared" si="28"/>
        <v>3167.4139559999999</v>
      </c>
      <c r="O171" s="711">
        <f t="shared" si="29"/>
        <v>380.41745279999986</v>
      </c>
      <c r="P171" s="711">
        <f t="shared" si="30"/>
        <v>189.10343957920796</v>
      </c>
      <c r="Q171" s="711">
        <f t="shared" si="31"/>
        <v>74.470055220791977</v>
      </c>
      <c r="R171" s="711">
        <f t="shared" si="32"/>
        <v>116.84395799999999</v>
      </c>
      <c r="S171" s="723"/>
    </row>
    <row r="172" spans="1:19" ht="15">
      <c r="A172" s="714" t="s">
        <v>1347</v>
      </c>
      <c r="B172" s="714" t="s">
        <v>1306</v>
      </c>
      <c r="C172" s="714" t="s">
        <v>1307</v>
      </c>
      <c r="D172" s="714">
        <v>9907085</v>
      </c>
      <c r="E172" s="714" t="s">
        <v>1763</v>
      </c>
      <c r="F172" s="711">
        <v>12987.11</v>
      </c>
      <c r="G172" s="711">
        <v>2103.02</v>
      </c>
      <c r="H172" s="711">
        <v>10884.09</v>
      </c>
      <c r="I172" s="711"/>
      <c r="J172" s="711">
        <f t="shared" si="25"/>
        <v>3881.5874368</v>
      </c>
      <c r="K172" s="711">
        <f t="shared" si="26"/>
        <v>1929.5159302594482</v>
      </c>
      <c r="L172" s="711">
        <f t="shared" si="27"/>
        <v>759.85480854055209</v>
      </c>
      <c r="M172" s="711">
        <f t="shared" si="28"/>
        <v>1192.2166980000002</v>
      </c>
      <c r="O172" s="711">
        <f t="shared" si="29"/>
        <v>628.5506175999999</v>
      </c>
      <c r="P172" s="711">
        <f t="shared" si="30"/>
        <v>312.44908156273601</v>
      </c>
      <c r="Q172" s="711">
        <f t="shared" si="31"/>
        <v>123.04430003726399</v>
      </c>
      <c r="R172" s="711">
        <f t="shared" si="32"/>
        <v>193.05723600000002</v>
      </c>
      <c r="S172" s="723"/>
    </row>
    <row r="173" spans="1:19" ht="15">
      <c r="A173" s="714" t="s">
        <v>1347</v>
      </c>
      <c r="B173" s="714" t="s">
        <v>1306</v>
      </c>
      <c r="C173" s="714" t="s">
        <v>1307</v>
      </c>
      <c r="D173" s="714">
        <v>9907103</v>
      </c>
      <c r="E173" s="714" t="s">
        <v>1764</v>
      </c>
      <c r="F173" s="711">
        <v>540316.32999999996</v>
      </c>
      <c r="G173" s="711">
        <v>19863.18</v>
      </c>
      <c r="H173" s="711">
        <v>520453.15000000008</v>
      </c>
      <c r="I173" s="711"/>
      <c r="J173" s="711">
        <f t="shared" si="25"/>
        <v>161489.74471039997</v>
      </c>
      <c r="K173" s="711">
        <f t="shared" si="26"/>
        <v>80275.670731542341</v>
      </c>
      <c r="L173" s="711">
        <f t="shared" si="27"/>
        <v>31613.034884857654</v>
      </c>
      <c r="M173" s="711">
        <f t="shared" si="28"/>
        <v>49601.039094</v>
      </c>
      <c r="O173" s="711">
        <f t="shared" si="29"/>
        <v>5936.7072383999994</v>
      </c>
      <c r="P173" s="711">
        <f t="shared" si="30"/>
        <v>2951.1047673894241</v>
      </c>
      <c r="Q173" s="711">
        <f t="shared" si="31"/>
        <v>1162.162547010576</v>
      </c>
      <c r="R173" s="711">
        <f t="shared" si="32"/>
        <v>1823.4399240000002</v>
      </c>
      <c r="S173" s="723"/>
    </row>
    <row r="174" spans="1:19" ht="15">
      <c r="A174" s="714" t="s">
        <v>1347</v>
      </c>
      <c r="B174" s="714" t="s">
        <v>1306</v>
      </c>
      <c r="C174" s="714" t="s">
        <v>1307</v>
      </c>
      <c r="D174" s="714">
        <v>9907106</v>
      </c>
      <c r="E174" s="714" t="s">
        <v>1765</v>
      </c>
      <c r="F174" s="711">
        <v>64087.05</v>
      </c>
      <c r="G174" s="711">
        <v>2358.2799999999997</v>
      </c>
      <c r="H174" s="711">
        <v>61728.770000000004</v>
      </c>
      <c r="I174" s="711"/>
      <c r="J174" s="711">
        <f t="shared" si="25"/>
        <v>19154.337503999999</v>
      </c>
      <c r="K174" s="711">
        <f t="shared" si="26"/>
        <v>9521.5166344424397</v>
      </c>
      <c r="L174" s="711">
        <f t="shared" si="27"/>
        <v>3749.6296795575599</v>
      </c>
      <c r="M174" s="711">
        <f t="shared" si="28"/>
        <v>5883.1911900000005</v>
      </c>
      <c r="O174" s="711">
        <f t="shared" si="29"/>
        <v>704.84272639999983</v>
      </c>
      <c r="P174" s="711">
        <f t="shared" si="30"/>
        <v>350.37347246710397</v>
      </c>
      <c r="Q174" s="711">
        <f t="shared" si="31"/>
        <v>137.97914993289598</v>
      </c>
      <c r="R174" s="711">
        <f t="shared" si="32"/>
        <v>216.490104</v>
      </c>
      <c r="S174" s="723"/>
    </row>
    <row r="175" spans="1:19" ht="15">
      <c r="A175" s="714" t="s">
        <v>1347</v>
      </c>
      <c r="B175" s="714" t="s">
        <v>1306</v>
      </c>
      <c r="C175" s="714" t="s">
        <v>1307</v>
      </c>
      <c r="D175" s="714">
        <v>9907161</v>
      </c>
      <c r="E175" s="714" t="s">
        <v>1766</v>
      </c>
      <c r="F175" s="711">
        <v>1093046.3399999999</v>
      </c>
      <c r="G175" s="711">
        <v>40057.64</v>
      </c>
      <c r="H175" s="711">
        <v>1052988.7</v>
      </c>
      <c r="I175" s="711"/>
      <c r="J175" s="711">
        <f t="shared" si="25"/>
        <v>326689.69009919994</v>
      </c>
      <c r="K175" s="711">
        <f t="shared" si="26"/>
        <v>162395.66197112249</v>
      </c>
      <c r="L175" s="711">
        <f t="shared" si="27"/>
        <v>63952.374116077481</v>
      </c>
      <c r="M175" s="711">
        <f t="shared" si="28"/>
        <v>100341.654012</v>
      </c>
      <c r="O175" s="711">
        <f t="shared" si="29"/>
        <v>11972.427443199998</v>
      </c>
      <c r="P175" s="711">
        <f t="shared" si="30"/>
        <v>5951.4283399923515</v>
      </c>
      <c r="Q175" s="711">
        <f t="shared" si="31"/>
        <v>2343.707751207648</v>
      </c>
      <c r="R175" s="711">
        <f t="shared" si="32"/>
        <v>3677.2913520000002</v>
      </c>
      <c r="S175" s="723"/>
    </row>
    <row r="176" spans="1:19" ht="15">
      <c r="A176" s="714" t="s">
        <v>1347</v>
      </c>
      <c r="B176" s="714" t="s">
        <v>1306</v>
      </c>
      <c r="C176" s="714" t="s">
        <v>1307</v>
      </c>
      <c r="D176" s="714">
        <v>9907165</v>
      </c>
      <c r="E176" s="714" t="s">
        <v>1767</v>
      </c>
      <c r="F176" s="711">
        <v>148385.22</v>
      </c>
      <c r="G176" s="711">
        <v>5441.1600000000008</v>
      </c>
      <c r="H176" s="711">
        <v>142944.06000000003</v>
      </c>
      <c r="I176" s="711"/>
      <c r="J176" s="711">
        <f t="shared" ref="J176:J182" si="33">F176*($J$2+$M$2)</f>
        <v>44349.374553599999</v>
      </c>
      <c r="K176" s="711">
        <f t="shared" ref="K176:K182" si="34">F176*($J$2*$K$7)</f>
        <v>22045.832044623698</v>
      </c>
      <c r="L176" s="711">
        <f t="shared" ref="L176:L182" si="35">F176*($J$2*$L$7)</f>
        <v>8681.7793129763049</v>
      </c>
      <c r="M176" s="711">
        <f t="shared" ref="M176:M182" si="36">F176*($M$2)</f>
        <v>13621.763196000002</v>
      </c>
      <c r="O176" s="711">
        <f t="shared" ref="O176:O182" si="37">G176*($J$2+$M$2)</f>
        <v>1626.2539008000001</v>
      </c>
      <c r="P176" s="711">
        <f t="shared" ref="P176:P182" si="38">G176*($J$2*$K$7)</f>
        <v>808.40193846748809</v>
      </c>
      <c r="Q176" s="711">
        <f t="shared" ref="Q176:Q182" si="39">G176*($J$2*$L$7)</f>
        <v>318.35347433251206</v>
      </c>
      <c r="R176" s="711">
        <f t="shared" ref="R176:R182" si="40">G176*($M$2)</f>
        <v>499.49848800000012</v>
      </c>
      <c r="S176" s="723"/>
    </row>
    <row r="177" spans="1:18" ht="15">
      <c r="A177" s="714" t="s">
        <v>1347</v>
      </c>
      <c r="B177" s="714" t="s">
        <v>1306</v>
      </c>
      <c r="C177" s="714" t="s">
        <v>1307</v>
      </c>
      <c r="D177" s="714">
        <v>9907171</v>
      </c>
      <c r="E177" s="714" t="s">
        <v>1768</v>
      </c>
      <c r="F177" s="711">
        <v>85692.349999999991</v>
      </c>
      <c r="G177" s="711">
        <v>3140.33</v>
      </c>
      <c r="H177" s="711">
        <v>82552.01999999999</v>
      </c>
      <c r="I177" s="711"/>
      <c r="J177" s="711">
        <f t="shared" si="33"/>
        <v>25611.729567999995</v>
      </c>
      <c r="K177" s="711">
        <f t="shared" si="34"/>
        <v>12731.450986891479</v>
      </c>
      <c r="L177" s="711">
        <f t="shared" si="35"/>
        <v>5013.7208511085191</v>
      </c>
      <c r="M177" s="711">
        <f t="shared" si="36"/>
        <v>7866.5577299999995</v>
      </c>
      <c r="O177" s="711">
        <f t="shared" si="37"/>
        <v>938.58183039999994</v>
      </c>
      <c r="P177" s="711">
        <f t="shared" si="38"/>
        <v>466.56390538554399</v>
      </c>
      <c r="Q177" s="711">
        <f t="shared" si="39"/>
        <v>183.735631014456</v>
      </c>
      <c r="R177" s="711">
        <f t="shared" si="40"/>
        <v>288.28229400000004</v>
      </c>
    </row>
    <row r="178" spans="1:18" ht="15">
      <c r="A178" s="714" t="s">
        <v>1347</v>
      </c>
      <c r="B178" s="714" t="s">
        <v>1306</v>
      </c>
      <c r="C178" s="714" t="s">
        <v>1307</v>
      </c>
      <c r="D178" s="714">
        <v>9907176</v>
      </c>
      <c r="E178" s="714" t="s">
        <v>1769</v>
      </c>
      <c r="F178" s="711">
        <v>407173.98000000004</v>
      </c>
      <c r="G178" s="711">
        <v>14921.739999999998</v>
      </c>
      <c r="H178" s="711">
        <v>392252.23999999993</v>
      </c>
      <c r="I178" s="711"/>
      <c r="J178" s="711">
        <f t="shared" si="33"/>
        <v>121696.15914240001</v>
      </c>
      <c r="K178" s="711">
        <f t="shared" si="34"/>
        <v>60494.496527490868</v>
      </c>
      <c r="L178" s="711">
        <f t="shared" si="35"/>
        <v>23823.091250909139</v>
      </c>
      <c r="M178" s="711">
        <f t="shared" si="36"/>
        <v>37378.571364000003</v>
      </c>
      <c r="O178" s="711">
        <f t="shared" si="37"/>
        <v>4459.8096511999993</v>
      </c>
      <c r="P178" s="711">
        <f t="shared" si="38"/>
        <v>2216.9470372692317</v>
      </c>
      <c r="Q178" s="711">
        <f t="shared" si="39"/>
        <v>873.04688193076788</v>
      </c>
      <c r="R178" s="711">
        <f t="shared" si="40"/>
        <v>1369.8157319999998</v>
      </c>
    </row>
    <row r="179" spans="1:18" ht="15">
      <c r="A179" s="714" t="s">
        <v>1347</v>
      </c>
      <c r="B179" s="714" t="s">
        <v>1306</v>
      </c>
      <c r="C179" s="714" t="s">
        <v>1307</v>
      </c>
      <c r="D179" s="714">
        <v>9907177</v>
      </c>
      <c r="E179" s="714" t="s">
        <v>1770</v>
      </c>
      <c r="F179" s="711">
        <v>503066.79</v>
      </c>
      <c r="G179" s="711">
        <v>18436.29</v>
      </c>
      <c r="H179" s="711">
        <v>484630.5</v>
      </c>
      <c r="I179" s="711"/>
      <c r="J179" s="711">
        <f t="shared" si="33"/>
        <v>150356.60219519999</v>
      </c>
      <c r="K179" s="711">
        <f t="shared" si="34"/>
        <v>74741.446348686062</v>
      </c>
      <c r="L179" s="711">
        <f t="shared" si="35"/>
        <v>29433.624524513925</v>
      </c>
      <c r="M179" s="711">
        <f t="shared" si="36"/>
        <v>46181.531322000003</v>
      </c>
      <c r="O179" s="711">
        <f t="shared" si="37"/>
        <v>5510.2383552000001</v>
      </c>
      <c r="P179" s="711">
        <f t="shared" si="38"/>
        <v>2739.1094130936722</v>
      </c>
      <c r="Q179" s="711">
        <f t="shared" si="39"/>
        <v>1078.6775201063281</v>
      </c>
      <c r="R179" s="711">
        <f t="shared" si="40"/>
        <v>1692.4514220000001</v>
      </c>
    </row>
    <row r="180" spans="1:18" ht="15">
      <c r="A180" s="714" t="s">
        <v>1347</v>
      </c>
      <c r="B180" s="714" t="s">
        <v>1306</v>
      </c>
      <c r="C180" s="714" t="s">
        <v>1307</v>
      </c>
      <c r="D180" s="714">
        <v>9907188</v>
      </c>
      <c r="E180" s="714" t="s">
        <v>1771</v>
      </c>
      <c r="F180" s="711">
        <v>96865.73</v>
      </c>
      <c r="G180" s="711">
        <v>3549.88</v>
      </c>
      <c r="H180" s="711">
        <v>93315.849999999991</v>
      </c>
      <c r="I180" s="711"/>
      <c r="J180" s="711">
        <f t="shared" si="33"/>
        <v>28951.229382399997</v>
      </c>
      <c r="K180" s="711">
        <f t="shared" si="34"/>
        <v>14391.498118612264</v>
      </c>
      <c r="L180" s="711">
        <f t="shared" si="35"/>
        <v>5667.4572497877361</v>
      </c>
      <c r="M180" s="711">
        <f t="shared" si="36"/>
        <v>8892.2740140000005</v>
      </c>
      <c r="O180" s="711">
        <f t="shared" si="37"/>
        <v>1060.9881344</v>
      </c>
      <c r="P180" s="711">
        <f t="shared" si="38"/>
        <v>527.41141104598398</v>
      </c>
      <c r="Q180" s="711">
        <f t="shared" si="39"/>
        <v>207.69773935401599</v>
      </c>
      <c r="R180" s="711">
        <f t="shared" si="40"/>
        <v>325.87898400000006</v>
      </c>
    </row>
    <row r="181" spans="1:18" ht="15">
      <c r="A181" s="714" t="s">
        <v>1347</v>
      </c>
      <c r="B181" s="714" t="s">
        <v>1306</v>
      </c>
      <c r="C181" s="714" t="s">
        <v>1307</v>
      </c>
      <c r="D181" s="714">
        <v>9907197</v>
      </c>
      <c r="E181" s="714" t="s">
        <v>1772</v>
      </c>
      <c r="F181" s="711">
        <v>115506.65</v>
      </c>
      <c r="G181" s="711">
        <v>4232.9699999999993</v>
      </c>
      <c r="H181" s="711">
        <v>111273.68</v>
      </c>
      <c r="I181" s="711"/>
      <c r="J181" s="711">
        <f t="shared" si="33"/>
        <v>34522.627551999998</v>
      </c>
      <c r="K181" s="711">
        <f t="shared" si="34"/>
        <v>17161.00974165172</v>
      </c>
      <c r="L181" s="711">
        <f t="shared" si="35"/>
        <v>6758.1073403482796</v>
      </c>
      <c r="M181" s="711">
        <f t="shared" si="36"/>
        <v>10603.510470000001</v>
      </c>
      <c r="O181" s="711">
        <f t="shared" si="37"/>
        <v>1265.1500735999998</v>
      </c>
      <c r="P181" s="711">
        <f t="shared" si="38"/>
        <v>628.89919676589591</v>
      </c>
      <c r="Q181" s="711">
        <f t="shared" si="39"/>
        <v>247.66423083410396</v>
      </c>
      <c r="R181" s="711">
        <f t="shared" si="40"/>
        <v>388.58664599999997</v>
      </c>
    </row>
    <row r="182" spans="1:18" ht="15">
      <c r="A182" s="714" t="s">
        <v>1347</v>
      </c>
      <c r="B182" s="714" t="s">
        <v>1306</v>
      </c>
      <c r="C182" s="714" t="s">
        <v>1307</v>
      </c>
      <c r="D182" s="714">
        <v>11005289</v>
      </c>
      <c r="E182" s="714" t="s">
        <v>1406</v>
      </c>
      <c r="F182" s="711">
        <v>28685022.770000003</v>
      </c>
      <c r="G182" s="711">
        <v>22263803.260000017</v>
      </c>
      <c r="H182" s="711">
        <v>6421219.5100000016</v>
      </c>
      <c r="I182" s="711"/>
      <c r="J182" s="711">
        <f t="shared" si="33"/>
        <v>8573379.6054976005</v>
      </c>
      <c r="K182" s="711">
        <f t="shared" si="34"/>
        <v>4261780.2108837152</v>
      </c>
      <c r="L182" s="711">
        <f t="shared" si="35"/>
        <v>1678314.3043278856</v>
      </c>
      <c r="M182" s="711">
        <f t="shared" si="36"/>
        <v>2633285.0902860006</v>
      </c>
      <c r="O182" s="711">
        <f t="shared" si="37"/>
        <v>6654205.5183488047</v>
      </c>
      <c r="P182" s="711">
        <f t="shared" si="38"/>
        <v>3307769.2464553132</v>
      </c>
      <c r="Q182" s="711">
        <f t="shared" si="39"/>
        <v>1302619.1326254902</v>
      </c>
      <c r="R182" s="711">
        <f t="shared" si="40"/>
        <v>2043817.1392680018</v>
      </c>
    </row>
    <row r="183" spans="1:18" ht="15">
      <c r="A183" s="714" t="s">
        <v>1347</v>
      </c>
      <c r="B183" s="714" t="s">
        <v>1306</v>
      </c>
      <c r="C183" s="714" t="s">
        <v>1307</v>
      </c>
      <c r="D183" s="714">
        <v>11105036</v>
      </c>
      <c r="E183" s="714" t="s">
        <v>1407</v>
      </c>
      <c r="F183" s="711">
        <v>18027622.579999991</v>
      </c>
      <c r="G183" s="711">
        <v>17146851.990000002</v>
      </c>
      <c r="H183" s="711">
        <v>880770.59000000008</v>
      </c>
      <c r="I183" s="711"/>
      <c r="J183" s="711">
        <f>F183*($J$2+$M$2)</f>
        <v>5388095.8367103972</v>
      </c>
      <c r="K183" s="711">
        <f t="shared" ref="K183" si="41">F183*($J$2*$K$7)</f>
        <v>2678393.0337707861</v>
      </c>
      <c r="L183" s="711">
        <f t="shared" ref="L183" si="42">F183*($J$2*$L$7)</f>
        <v>1054767.0500956122</v>
      </c>
      <c r="M183" s="711">
        <f t="shared" ref="M183" si="43">F183*($M$2)</f>
        <v>1654935.7528439993</v>
      </c>
      <c r="O183" s="711">
        <f t="shared" ref="O183" si="44">G183*($J$2+$M$2)</f>
        <v>5124851.1227712007</v>
      </c>
      <c r="P183" s="711">
        <f t="shared" ref="P183" si="45">G183*($J$2*$K$7)</f>
        <v>2547535.523184598</v>
      </c>
      <c r="Q183" s="711">
        <f t="shared" ref="Q183" si="46">G183*($J$2*$L$7)</f>
        <v>1003234.5869046027</v>
      </c>
      <c r="R183" s="711">
        <f t="shared" ref="R183" si="47">G183*($M$2)</f>
        <v>1574081.0126820004</v>
      </c>
    </row>
    <row r="184" spans="1:18" ht="15">
      <c r="A184" s="714" t="s">
        <v>1347</v>
      </c>
      <c r="B184" s="714" t="s">
        <v>1306</v>
      </c>
      <c r="C184" s="714" t="s">
        <v>1310</v>
      </c>
      <c r="D184" s="714">
        <v>9805950</v>
      </c>
      <c r="E184" s="714" t="s">
        <v>1408</v>
      </c>
      <c r="F184" s="711">
        <v>338716.25999999995</v>
      </c>
      <c r="G184" s="711">
        <v>307603.67000000004</v>
      </c>
      <c r="H184" s="711">
        <v>31112.59</v>
      </c>
      <c r="I184" s="711"/>
      <c r="J184" s="711">
        <f>F184*($J$4)</f>
        <v>77416.988385599994</v>
      </c>
      <c r="K184" s="711">
        <f>IF($C184="WA",$J184,IF($C184="ID",0,$J184*K$7))</f>
        <v>55543.59248713257</v>
      </c>
      <c r="L184" s="711">
        <f>F184*$J$4*$L$7</f>
        <v>21873.395898467425</v>
      </c>
      <c r="M184" s="711">
        <v>0</v>
      </c>
      <c r="O184" s="711">
        <f>G184*($J$4)</f>
        <v>70305.894815200008</v>
      </c>
      <c r="P184" s="711">
        <f>G184*$J$4*$K$7</f>
        <v>50441.667294113395</v>
      </c>
      <c r="Q184" s="711">
        <f>G184*$J$4*$L$7</f>
        <v>19864.22752108661</v>
      </c>
      <c r="R184" s="711">
        <v>0</v>
      </c>
    </row>
    <row r="185" spans="1:18" ht="15">
      <c r="A185" s="714" t="s">
        <v>1347</v>
      </c>
      <c r="B185" s="714" t="s">
        <v>1306</v>
      </c>
      <c r="C185" s="714" t="s">
        <v>1310</v>
      </c>
      <c r="D185" s="714">
        <v>9806058</v>
      </c>
      <c r="E185" s="714" t="s">
        <v>1409</v>
      </c>
      <c r="F185" s="711">
        <v>263198.93</v>
      </c>
      <c r="G185" s="711">
        <v>146952.78</v>
      </c>
      <c r="H185" s="711">
        <v>116246.15000000001</v>
      </c>
      <c r="I185" s="711"/>
      <c r="J185" s="711">
        <f>F185*($J$4)</f>
        <v>60156.747440800005</v>
      </c>
      <c r="K185" s="711">
        <f>IF($C185="WA",$J185,IF($C185="ID",0,$J185*K$7))</f>
        <v>43160.060018876371</v>
      </c>
      <c r="L185" s="711">
        <f>F185*$J$4*$L$7</f>
        <v>16996.687421923634</v>
      </c>
      <c r="M185" s="711">
        <v>0</v>
      </c>
      <c r="O185" s="711">
        <f>G185*($J$4)</f>
        <v>33587.527396800004</v>
      </c>
      <c r="P185" s="711">
        <f>G185*$J$4*$K$7</f>
        <v>24097.707406108129</v>
      </c>
      <c r="Q185" s="711">
        <f>G185*$J$4*$L$7</f>
        <v>9489.8199906918744</v>
      </c>
      <c r="R185" s="711">
        <v>0</v>
      </c>
    </row>
    <row r="186" spans="1:18" ht="15">
      <c r="A186" s="714" t="s">
        <v>1347</v>
      </c>
      <c r="B186" s="714" t="s">
        <v>1306</v>
      </c>
      <c r="C186" s="714" t="s">
        <v>1313</v>
      </c>
      <c r="D186" s="714">
        <v>2806922</v>
      </c>
      <c r="E186" s="714" t="s">
        <v>1773</v>
      </c>
      <c r="F186" s="711">
        <v>167929.04</v>
      </c>
      <c r="G186" s="711">
        <v>57169.390000000007</v>
      </c>
      <c r="H186" s="711">
        <v>110759.65</v>
      </c>
      <c r="I186" s="711"/>
      <c r="J186" s="711">
        <f t="shared" ref="J186:J188" si="48">F186*($J$4)</f>
        <v>38381.861382400006</v>
      </c>
      <c r="K186" s="711">
        <f>F186*($J$4)</f>
        <v>38381.861382400006</v>
      </c>
      <c r="L186" s="711">
        <v>0</v>
      </c>
      <c r="M186" s="711">
        <v>0</v>
      </c>
      <c r="O186" s="711">
        <f>G186*($J$4)</f>
        <v>13066.635778400003</v>
      </c>
      <c r="P186" s="711">
        <f>G186*($J$4)</f>
        <v>13066.635778400003</v>
      </c>
      <c r="Q186" s="711">
        <v>0</v>
      </c>
      <c r="R186" s="732">
        <v>0</v>
      </c>
    </row>
    <row r="187" spans="1:18" ht="15">
      <c r="A187" s="714" t="s">
        <v>1347</v>
      </c>
      <c r="B187" s="714" t="s">
        <v>1306</v>
      </c>
      <c r="C187" s="714" t="s">
        <v>1313</v>
      </c>
      <c r="D187" s="714">
        <v>2807062</v>
      </c>
      <c r="E187" s="714" t="s">
        <v>1774</v>
      </c>
      <c r="F187" s="711">
        <v>117853.16</v>
      </c>
      <c r="G187" s="711">
        <v>6742.01</v>
      </c>
      <c r="H187" s="711">
        <v>111111.15</v>
      </c>
      <c r="I187" s="711"/>
      <c r="J187" s="711">
        <f t="shared" si="48"/>
        <v>26936.518249600002</v>
      </c>
      <c r="K187" s="711">
        <f t="shared" ref="K187:K188" si="49">F187*($J$4)</f>
        <v>26936.518249600002</v>
      </c>
      <c r="L187" s="711">
        <v>0</v>
      </c>
      <c r="M187" s="711">
        <v>0</v>
      </c>
      <c r="O187" s="711">
        <f>G187*($J$4)</f>
        <v>1540.9538056000001</v>
      </c>
      <c r="P187" s="711">
        <f t="shared" ref="P187:P188" si="50">G187*($J$4)</f>
        <v>1540.9538056000001</v>
      </c>
      <c r="Q187" s="711">
        <v>0</v>
      </c>
      <c r="R187" s="732">
        <v>0</v>
      </c>
    </row>
    <row r="188" spans="1:18" ht="15">
      <c r="A188" s="714" t="s">
        <v>1347</v>
      </c>
      <c r="B188" s="714" t="s">
        <v>1306</v>
      </c>
      <c r="C188" s="714" t="s">
        <v>1313</v>
      </c>
      <c r="D188" s="714">
        <v>2807094</v>
      </c>
      <c r="E188" s="714" t="s">
        <v>1775</v>
      </c>
      <c r="F188" s="711">
        <v>80458.759999999995</v>
      </c>
      <c r="G188" s="711">
        <v>7954.3600000000006</v>
      </c>
      <c r="H188" s="711">
        <v>72504.400000000009</v>
      </c>
      <c r="I188" s="711"/>
      <c r="J188" s="711">
        <f t="shared" si="48"/>
        <v>18389.6541856</v>
      </c>
      <c r="K188" s="711">
        <f t="shared" si="49"/>
        <v>18389.6541856</v>
      </c>
      <c r="L188" s="711">
        <v>0</v>
      </c>
      <c r="M188" s="711">
        <v>0</v>
      </c>
      <c r="O188" s="711">
        <f t="shared" ref="O188" si="51">G188*($J$4)</f>
        <v>1818.0485216000002</v>
      </c>
      <c r="P188" s="711">
        <f t="shared" si="50"/>
        <v>1818.0485216000002</v>
      </c>
      <c r="Q188" s="711">
        <v>0</v>
      </c>
      <c r="R188" s="732">
        <v>0</v>
      </c>
    </row>
    <row r="189" spans="1:18" ht="15">
      <c r="A189" s="714" t="s">
        <v>1347</v>
      </c>
      <c r="B189" s="714" t="s">
        <v>1312</v>
      </c>
      <c r="C189" s="714" t="s">
        <v>1310</v>
      </c>
      <c r="D189" s="714">
        <v>9805781</v>
      </c>
      <c r="E189" s="714" t="s">
        <v>1415</v>
      </c>
      <c r="F189" s="711">
        <v>463086.25</v>
      </c>
      <c r="G189" s="711">
        <v>264065.55</v>
      </c>
      <c r="H189" s="711">
        <v>199020.7</v>
      </c>
      <c r="I189" s="711"/>
      <c r="J189" s="711">
        <v>0</v>
      </c>
      <c r="K189" s="711">
        <v>0</v>
      </c>
      <c r="L189" s="711">
        <v>0</v>
      </c>
      <c r="M189" s="711">
        <v>0</v>
      </c>
      <c r="O189" s="711">
        <v>0</v>
      </c>
      <c r="P189" s="711">
        <v>0</v>
      </c>
      <c r="Q189" s="711">
        <v>0</v>
      </c>
      <c r="R189" s="732">
        <v>0</v>
      </c>
    </row>
    <row r="190" spans="1:18" ht="15">
      <c r="A190" s="714" t="s">
        <v>1347</v>
      </c>
      <c r="B190" s="714" t="s">
        <v>1312</v>
      </c>
      <c r="C190" s="714" t="s">
        <v>1310</v>
      </c>
      <c r="D190" s="714">
        <v>9805808</v>
      </c>
      <c r="E190" s="714" t="s">
        <v>1776</v>
      </c>
      <c r="F190" s="711">
        <v>265459.09000000003</v>
      </c>
      <c r="G190" s="711">
        <v>44561.119999999988</v>
      </c>
      <c r="H190" s="711">
        <v>220897.97000000003</v>
      </c>
      <c r="I190" s="711"/>
      <c r="J190" s="711">
        <v>0</v>
      </c>
      <c r="K190" s="711">
        <v>0</v>
      </c>
      <c r="L190" s="711">
        <v>0</v>
      </c>
      <c r="M190" s="711">
        <v>0</v>
      </c>
      <c r="O190" s="711">
        <v>0</v>
      </c>
      <c r="P190" s="711">
        <v>0</v>
      </c>
      <c r="Q190" s="711">
        <v>0</v>
      </c>
      <c r="R190" s="732">
        <v>0</v>
      </c>
    </row>
    <row r="191" spans="1:18" ht="15">
      <c r="A191" s="714" t="s">
        <v>1347</v>
      </c>
      <c r="B191" s="714" t="s">
        <v>1312</v>
      </c>
      <c r="C191" s="714" t="s">
        <v>1310</v>
      </c>
      <c r="D191" s="714">
        <v>9805860</v>
      </c>
      <c r="E191" s="714" t="s">
        <v>1416</v>
      </c>
      <c r="F191" s="711">
        <v>47464.23</v>
      </c>
      <c r="G191" s="711">
        <v>37471.269999999997</v>
      </c>
      <c r="H191" s="711">
        <v>9992.9599999999991</v>
      </c>
      <c r="I191" s="711"/>
      <c r="J191" s="711">
        <v>0</v>
      </c>
      <c r="K191" s="711">
        <v>0</v>
      </c>
      <c r="L191" s="711">
        <v>0</v>
      </c>
      <c r="M191" s="711">
        <v>0</v>
      </c>
      <c r="O191" s="711">
        <v>0</v>
      </c>
      <c r="P191" s="711">
        <v>0</v>
      </c>
      <c r="Q191" s="711">
        <v>0</v>
      </c>
      <c r="R191" s="732">
        <v>0</v>
      </c>
    </row>
    <row r="192" spans="1:18" ht="15">
      <c r="A192" s="714" t="s">
        <v>1347</v>
      </c>
      <c r="B192" s="714" t="s">
        <v>1312</v>
      </c>
      <c r="C192" s="714" t="s">
        <v>1310</v>
      </c>
      <c r="D192" s="714">
        <v>9805861</v>
      </c>
      <c r="E192" s="714" t="s">
        <v>1417</v>
      </c>
      <c r="F192" s="711">
        <v>9313.11</v>
      </c>
      <c r="G192" s="711">
        <v>9256.5300000000007</v>
      </c>
      <c r="H192" s="711">
        <v>56.58</v>
      </c>
      <c r="I192" s="711"/>
      <c r="J192" s="711">
        <v>0</v>
      </c>
      <c r="K192" s="711">
        <v>0</v>
      </c>
      <c r="L192" s="711">
        <v>0</v>
      </c>
      <c r="M192" s="711">
        <v>0</v>
      </c>
      <c r="O192" s="711">
        <v>0</v>
      </c>
      <c r="P192" s="711">
        <v>0</v>
      </c>
      <c r="Q192" s="711">
        <v>0</v>
      </c>
      <c r="R192" s="732">
        <v>0</v>
      </c>
    </row>
    <row r="193" spans="1:18" ht="15">
      <c r="A193" s="714" t="s">
        <v>1347</v>
      </c>
      <c r="B193" s="714" t="s">
        <v>1312</v>
      </c>
      <c r="C193" s="714" t="s">
        <v>1310</v>
      </c>
      <c r="D193" s="714">
        <v>9805945</v>
      </c>
      <c r="E193" s="714" t="s">
        <v>1418</v>
      </c>
      <c r="F193" s="711">
        <v>1355935.34</v>
      </c>
      <c r="G193" s="711">
        <v>1347697.32</v>
      </c>
      <c r="H193" s="711">
        <v>8238.02</v>
      </c>
      <c r="I193" s="711"/>
      <c r="J193" s="711">
        <v>0</v>
      </c>
      <c r="K193" s="711">
        <v>0</v>
      </c>
      <c r="L193" s="711">
        <v>0</v>
      </c>
      <c r="M193" s="711">
        <v>0</v>
      </c>
      <c r="O193" s="711">
        <v>0</v>
      </c>
      <c r="P193" s="711">
        <v>0</v>
      </c>
      <c r="Q193" s="711">
        <v>0</v>
      </c>
      <c r="R193" s="732">
        <v>0</v>
      </c>
    </row>
    <row r="194" spans="1:18" ht="15">
      <c r="A194" s="714" t="s">
        <v>1347</v>
      </c>
      <c r="B194" s="714" t="s">
        <v>1312</v>
      </c>
      <c r="C194" s="714" t="s">
        <v>1310</v>
      </c>
      <c r="D194" s="714">
        <v>9805968</v>
      </c>
      <c r="E194" s="714" t="s">
        <v>1419</v>
      </c>
      <c r="F194" s="711">
        <v>673594.74</v>
      </c>
      <c r="G194" s="711">
        <v>531336.11</v>
      </c>
      <c r="H194" s="711">
        <v>142258.63</v>
      </c>
      <c r="I194" s="711"/>
      <c r="J194" s="711">
        <v>0</v>
      </c>
      <c r="K194" s="711">
        <v>0</v>
      </c>
      <c r="L194" s="711">
        <v>0</v>
      </c>
      <c r="M194" s="711">
        <v>0</v>
      </c>
      <c r="O194" s="711">
        <v>0</v>
      </c>
      <c r="P194" s="711">
        <v>0</v>
      </c>
      <c r="Q194" s="711">
        <v>0</v>
      </c>
      <c r="R194" s="732">
        <v>0</v>
      </c>
    </row>
    <row r="195" spans="1:18" ht="15">
      <c r="A195" s="714" t="s">
        <v>1347</v>
      </c>
      <c r="B195" s="714" t="s">
        <v>1312</v>
      </c>
      <c r="C195" s="714" t="s">
        <v>1310</v>
      </c>
      <c r="D195" s="714">
        <v>9805970</v>
      </c>
      <c r="E195" s="714" t="s">
        <v>1420</v>
      </c>
      <c r="F195" s="711">
        <v>804225.48</v>
      </c>
      <c r="G195" s="711">
        <v>634238.5</v>
      </c>
      <c r="H195" s="711">
        <v>169986.97999999998</v>
      </c>
      <c r="I195" s="711"/>
      <c r="J195" s="711">
        <v>0</v>
      </c>
      <c r="K195" s="711">
        <v>0</v>
      </c>
      <c r="L195" s="711">
        <v>0</v>
      </c>
      <c r="M195" s="711">
        <v>0</v>
      </c>
      <c r="O195" s="711">
        <v>0</v>
      </c>
      <c r="P195" s="711">
        <v>0</v>
      </c>
      <c r="Q195" s="711">
        <v>0</v>
      </c>
      <c r="R195" s="732">
        <v>0</v>
      </c>
    </row>
    <row r="196" spans="1:18" ht="15">
      <c r="A196" s="714" t="s">
        <v>1347</v>
      </c>
      <c r="B196" s="714" t="s">
        <v>1312</v>
      </c>
      <c r="C196" s="714" t="s">
        <v>1310</v>
      </c>
      <c r="D196" s="714">
        <v>9805971</v>
      </c>
      <c r="E196" s="714" t="s">
        <v>1421</v>
      </c>
      <c r="F196" s="711">
        <v>628076.00999999989</v>
      </c>
      <c r="G196" s="711">
        <v>495405.25</v>
      </c>
      <c r="H196" s="711">
        <v>132670.76</v>
      </c>
      <c r="I196" s="711"/>
      <c r="J196" s="711">
        <v>0</v>
      </c>
      <c r="K196" s="711">
        <v>0</v>
      </c>
      <c r="L196" s="711">
        <v>0</v>
      </c>
      <c r="M196" s="711">
        <v>0</v>
      </c>
      <c r="O196" s="711">
        <v>0</v>
      </c>
      <c r="P196" s="711">
        <v>0</v>
      </c>
      <c r="Q196" s="711">
        <v>0</v>
      </c>
      <c r="R196" s="732">
        <v>0</v>
      </c>
    </row>
    <row r="197" spans="1:18" ht="15">
      <c r="A197" s="714" t="s">
        <v>1347</v>
      </c>
      <c r="B197" s="714" t="s">
        <v>1312</v>
      </c>
      <c r="C197" s="714" t="s">
        <v>1310</v>
      </c>
      <c r="D197" s="714">
        <v>9805984</v>
      </c>
      <c r="E197" s="714" t="s">
        <v>1422</v>
      </c>
      <c r="F197" s="711">
        <v>14745.92</v>
      </c>
      <c r="G197" s="711">
        <v>11632.52</v>
      </c>
      <c r="H197" s="711">
        <v>3113.3999999999996</v>
      </c>
      <c r="I197" s="711"/>
      <c r="J197" s="711">
        <v>0</v>
      </c>
      <c r="K197" s="711">
        <v>0</v>
      </c>
      <c r="L197" s="711">
        <v>0</v>
      </c>
      <c r="M197" s="711">
        <v>0</v>
      </c>
      <c r="O197" s="711">
        <v>0</v>
      </c>
      <c r="P197" s="711">
        <v>0</v>
      </c>
      <c r="Q197" s="711">
        <v>0</v>
      </c>
      <c r="R197" s="732">
        <v>0</v>
      </c>
    </row>
    <row r="198" spans="1:18" ht="15">
      <c r="A198" s="714" t="s">
        <v>1347</v>
      </c>
      <c r="B198" s="714" t="s">
        <v>1312</v>
      </c>
      <c r="C198" s="714" t="s">
        <v>1310</v>
      </c>
      <c r="D198" s="714">
        <v>9805988</v>
      </c>
      <c r="E198" s="714" t="s">
        <v>1423</v>
      </c>
      <c r="F198" s="711">
        <v>11869.53</v>
      </c>
      <c r="G198" s="711">
        <v>11797.41</v>
      </c>
      <c r="H198" s="711">
        <v>72.12</v>
      </c>
      <c r="I198" s="711"/>
      <c r="J198" s="711">
        <v>0</v>
      </c>
      <c r="K198" s="711">
        <v>0</v>
      </c>
      <c r="L198" s="711">
        <v>0</v>
      </c>
      <c r="M198" s="711">
        <v>0</v>
      </c>
      <c r="O198" s="711">
        <v>0</v>
      </c>
      <c r="P198" s="711">
        <v>0</v>
      </c>
      <c r="Q198" s="711">
        <v>0</v>
      </c>
      <c r="R198" s="732">
        <v>0</v>
      </c>
    </row>
    <row r="199" spans="1:18" ht="15">
      <c r="A199" s="714" t="s">
        <v>1347</v>
      </c>
      <c r="B199" s="714" t="s">
        <v>1312</v>
      </c>
      <c r="C199" s="714" t="s">
        <v>1310</v>
      </c>
      <c r="D199" s="714">
        <v>9806009</v>
      </c>
      <c r="E199" s="714" t="s">
        <v>1424</v>
      </c>
      <c r="F199" s="711">
        <v>641977.68000000005</v>
      </c>
      <c r="G199" s="711">
        <v>506367.91</v>
      </c>
      <c r="H199" s="711">
        <v>135609.76999999999</v>
      </c>
      <c r="I199" s="711"/>
      <c r="J199" s="711">
        <v>0</v>
      </c>
      <c r="K199" s="711">
        <v>0</v>
      </c>
      <c r="L199" s="711">
        <v>0</v>
      </c>
      <c r="M199" s="711">
        <v>0</v>
      </c>
      <c r="O199" s="711">
        <v>0</v>
      </c>
      <c r="P199" s="711">
        <v>0</v>
      </c>
      <c r="Q199" s="711">
        <v>0</v>
      </c>
      <c r="R199" s="732">
        <v>0</v>
      </c>
    </row>
    <row r="200" spans="1:18" ht="15">
      <c r="A200" s="714" t="s">
        <v>1347</v>
      </c>
      <c r="B200" s="714" t="s">
        <v>1312</v>
      </c>
      <c r="C200" s="714" t="s">
        <v>1310</v>
      </c>
      <c r="D200" s="714">
        <v>9806014</v>
      </c>
      <c r="E200" s="714" t="s">
        <v>1425</v>
      </c>
      <c r="F200" s="711">
        <v>10924.73</v>
      </c>
      <c r="G200" s="711">
        <v>8616.43</v>
      </c>
      <c r="H200" s="711">
        <v>2308.2999999999997</v>
      </c>
      <c r="I200" s="711"/>
      <c r="J200" s="711">
        <v>0</v>
      </c>
      <c r="K200" s="711">
        <v>0</v>
      </c>
      <c r="L200" s="711">
        <v>0</v>
      </c>
      <c r="M200" s="711">
        <v>0</v>
      </c>
      <c r="O200" s="711">
        <v>0</v>
      </c>
      <c r="P200" s="711">
        <v>0</v>
      </c>
      <c r="Q200" s="711">
        <v>0</v>
      </c>
      <c r="R200" s="732">
        <v>0</v>
      </c>
    </row>
    <row r="201" spans="1:18" ht="15">
      <c r="A201" s="714" t="s">
        <v>1347</v>
      </c>
      <c r="B201" s="714" t="s">
        <v>1312</v>
      </c>
      <c r="C201" s="714" t="s">
        <v>1310</v>
      </c>
      <c r="D201" s="714">
        <v>9806015</v>
      </c>
      <c r="E201" s="714" t="s">
        <v>1777</v>
      </c>
      <c r="F201" s="711">
        <v>2524197.85</v>
      </c>
      <c r="G201" s="711">
        <v>424155.62</v>
      </c>
      <c r="H201" s="711">
        <v>2100042.23</v>
      </c>
      <c r="I201" s="711"/>
      <c r="J201" s="711">
        <v>0</v>
      </c>
      <c r="K201" s="711">
        <v>0</v>
      </c>
      <c r="L201" s="711">
        <v>0</v>
      </c>
      <c r="M201" s="711">
        <v>0</v>
      </c>
      <c r="O201" s="711">
        <v>0</v>
      </c>
      <c r="P201" s="711">
        <v>0</v>
      </c>
      <c r="Q201" s="711">
        <v>0</v>
      </c>
      <c r="R201" s="732">
        <v>0</v>
      </c>
    </row>
    <row r="202" spans="1:18" ht="15">
      <c r="A202" s="714" t="s">
        <v>1347</v>
      </c>
      <c r="B202" s="714" t="s">
        <v>1312</v>
      </c>
      <c r="C202" s="714" t="s">
        <v>1310</v>
      </c>
      <c r="D202" s="714">
        <v>9806017</v>
      </c>
      <c r="E202" s="714" t="s">
        <v>1426</v>
      </c>
      <c r="F202" s="711">
        <v>15661.88</v>
      </c>
      <c r="G202" s="711">
        <v>12358.16</v>
      </c>
      <c r="H202" s="711">
        <v>3303.72</v>
      </c>
      <c r="I202" s="711"/>
      <c r="J202" s="711">
        <v>0</v>
      </c>
      <c r="K202" s="711">
        <v>0</v>
      </c>
      <c r="L202" s="711">
        <v>0</v>
      </c>
      <c r="M202" s="711">
        <v>0</v>
      </c>
      <c r="O202" s="711">
        <v>0</v>
      </c>
      <c r="P202" s="711">
        <v>0</v>
      </c>
      <c r="Q202" s="711">
        <v>0</v>
      </c>
      <c r="R202" s="732">
        <v>0</v>
      </c>
    </row>
    <row r="203" spans="1:18" ht="15">
      <c r="A203" s="714" t="s">
        <v>1347</v>
      </c>
      <c r="B203" s="714" t="s">
        <v>1312</v>
      </c>
      <c r="C203" s="714" t="s">
        <v>1310</v>
      </c>
      <c r="D203" s="714">
        <v>9806018</v>
      </c>
      <c r="E203" s="714" t="s">
        <v>1427</v>
      </c>
      <c r="F203" s="711">
        <v>5459.54</v>
      </c>
      <c r="G203" s="711">
        <v>3124.3299999999995</v>
      </c>
      <c r="H203" s="711">
        <v>2335.2099999999996</v>
      </c>
      <c r="I203" s="711"/>
      <c r="J203" s="711">
        <v>0</v>
      </c>
      <c r="K203" s="711">
        <v>0</v>
      </c>
      <c r="L203" s="711">
        <v>0</v>
      </c>
      <c r="M203" s="711">
        <v>0</v>
      </c>
      <c r="O203" s="711">
        <v>0</v>
      </c>
      <c r="P203" s="711">
        <v>0</v>
      </c>
      <c r="Q203" s="711">
        <v>0</v>
      </c>
      <c r="R203" s="732">
        <v>0</v>
      </c>
    </row>
    <row r="204" spans="1:18" ht="15">
      <c r="A204" s="714" t="s">
        <v>1347</v>
      </c>
      <c r="B204" s="714" t="s">
        <v>1312</v>
      </c>
      <c r="C204" s="714" t="s">
        <v>1310</v>
      </c>
      <c r="D204" s="714">
        <v>9806019</v>
      </c>
      <c r="E204" s="714" t="s">
        <v>1428</v>
      </c>
      <c r="F204" s="711">
        <v>839941.43</v>
      </c>
      <c r="G204" s="711">
        <v>480611.4</v>
      </c>
      <c r="H204" s="711">
        <v>359330.03</v>
      </c>
      <c r="I204" s="711"/>
      <c r="J204" s="711">
        <v>0</v>
      </c>
      <c r="K204" s="711">
        <v>0</v>
      </c>
      <c r="L204" s="711">
        <v>0</v>
      </c>
      <c r="M204" s="711">
        <v>0</v>
      </c>
      <c r="O204" s="711">
        <v>0</v>
      </c>
      <c r="P204" s="711">
        <v>0</v>
      </c>
      <c r="Q204" s="711">
        <v>0</v>
      </c>
      <c r="R204" s="732">
        <v>0</v>
      </c>
    </row>
    <row r="205" spans="1:18" ht="15">
      <c r="A205" s="714" t="s">
        <v>1347</v>
      </c>
      <c r="B205" s="714" t="s">
        <v>1312</v>
      </c>
      <c r="C205" s="714" t="s">
        <v>1310</v>
      </c>
      <c r="D205" s="714">
        <v>9806028</v>
      </c>
      <c r="E205" s="714" t="s">
        <v>1429</v>
      </c>
      <c r="F205" s="711">
        <v>26037.19</v>
      </c>
      <c r="G205" s="711">
        <v>14907.259999999998</v>
      </c>
      <c r="H205" s="711">
        <v>11129.93</v>
      </c>
      <c r="I205" s="711"/>
      <c r="J205" s="711">
        <v>0</v>
      </c>
      <c r="K205" s="711">
        <v>0</v>
      </c>
      <c r="L205" s="711">
        <v>0</v>
      </c>
      <c r="M205" s="711">
        <v>0</v>
      </c>
      <c r="O205" s="711">
        <v>0</v>
      </c>
      <c r="P205" s="711">
        <v>0</v>
      </c>
      <c r="Q205" s="711">
        <v>0</v>
      </c>
      <c r="R205" s="732">
        <v>0</v>
      </c>
    </row>
    <row r="206" spans="1:18" ht="15">
      <c r="A206" s="714" t="s">
        <v>1347</v>
      </c>
      <c r="B206" s="714" t="s">
        <v>1312</v>
      </c>
      <c r="C206" s="714" t="s">
        <v>1310</v>
      </c>
      <c r="D206" s="714">
        <v>9806030</v>
      </c>
      <c r="E206" s="714" t="s">
        <v>1430</v>
      </c>
      <c r="F206" s="711">
        <v>563789.51</v>
      </c>
      <c r="G206" s="711">
        <v>444685.33999999997</v>
      </c>
      <c r="H206" s="711">
        <v>119104.17</v>
      </c>
      <c r="I206" s="711"/>
      <c r="J206" s="711">
        <v>0</v>
      </c>
      <c r="K206" s="711">
        <v>0</v>
      </c>
      <c r="L206" s="711">
        <v>0</v>
      </c>
      <c r="M206" s="711">
        <v>0</v>
      </c>
      <c r="O206" s="711">
        <v>0</v>
      </c>
      <c r="P206" s="711">
        <v>0</v>
      </c>
      <c r="Q206" s="711">
        <v>0</v>
      </c>
      <c r="R206" s="732">
        <v>0</v>
      </c>
    </row>
    <row r="207" spans="1:18" ht="15">
      <c r="A207" s="714" t="s">
        <v>1347</v>
      </c>
      <c r="B207" s="714" t="s">
        <v>1312</v>
      </c>
      <c r="C207" s="714" t="s">
        <v>1310</v>
      </c>
      <c r="D207" s="714">
        <v>9806031</v>
      </c>
      <c r="E207" s="714" t="s">
        <v>1431</v>
      </c>
      <c r="F207" s="711">
        <v>649381.30999999994</v>
      </c>
      <c r="G207" s="711">
        <v>371501.43</v>
      </c>
      <c r="H207" s="711">
        <v>277879.87999999995</v>
      </c>
      <c r="I207" s="711"/>
      <c r="J207" s="711">
        <v>0</v>
      </c>
      <c r="K207" s="711">
        <v>0</v>
      </c>
      <c r="L207" s="711">
        <v>0</v>
      </c>
      <c r="M207" s="711">
        <v>0</v>
      </c>
      <c r="O207" s="711">
        <v>0</v>
      </c>
      <c r="P207" s="711">
        <v>0</v>
      </c>
      <c r="Q207" s="711">
        <v>0</v>
      </c>
      <c r="R207" s="732">
        <v>0</v>
      </c>
    </row>
    <row r="208" spans="1:18" ht="15">
      <c r="A208" s="714" t="s">
        <v>1347</v>
      </c>
      <c r="B208" s="714" t="s">
        <v>1312</v>
      </c>
      <c r="C208" s="714" t="s">
        <v>1310</v>
      </c>
      <c r="D208" s="714">
        <v>9806032</v>
      </c>
      <c r="E208" s="714" t="s">
        <v>1432</v>
      </c>
      <c r="F208" s="711">
        <v>666567.19999999995</v>
      </c>
      <c r="G208" s="711">
        <v>381811.82000000007</v>
      </c>
      <c r="H208" s="711">
        <v>284755.38</v>
      </c>
      <c r="I208" s="711"/>
      <c r="J208" s="711">
        <v>0</v>
      </c>
      <c r="K208" s="711">
        <v>0</v>
      </c>
      <c r="L208" s="711">
        <v>0</v>
      </c>
      <c r="M208" s="711">
        <v>0</v>
      </c>
      <c r="O208" s="711">
        <v>0</v>
      </c>
      <c r="P208" s="711">
        <v>0</v>
      </c>
      <c r="Q208" s="711">
        <v>0</v>
      </c>
      <c r="R208" s="732">
        <v>0</v>
      </c>
    </row>
    <row r="209" spans="1:18" ht="15">
      <c r="A209" s="714" t="s">
        <v>1347</v>
      </c>
      <c r="B209" s="714" t="s">
        <v>1312</v>
      </c>
      <c r="C209" s="714" t="s">
        <v>1310</v>
      </c>
      <c r="D209" s="714">
        <v>9806033</v>
      </c>
      <c r="E209" s="714" t="s">
        <v>1433</v>
      </c>
      <c r="F209" s="711">
        <v>415727.48</v>
      </c>
      <c r="G209" s="711">
        <v>238133.08000000002</v>
      </c>
      <c r="H209" s="711">
        <v>177594.4</v>
      </c>
      <c r="I209" s="711"/>
      <c r="J209" s="711">
        <v>0</v>
      </c>
      <c r="K209" s="711">
        <v>0</v>
      </c>
      <c r="L209" s="711">
        <v>0</v>
      </c>
      <c r="M209" s="711">
        <v>0</v>
      </c>
      <c r="O209" s="711">
        <v>0</v>
      </c>
      <c r="P209" s="711">
        <v>0</v>
      </c>
      <c r="Q209" s="711">
        <v>0</v>
      </c>
      <c r="R209" s="732">
        <v>0</v>
      </c>
    </row>
    <row r="210" spans="1:18" ht="15">
      <c r="A210" s="714" t="s">
        <v>1347</v>
      </c>
      <c r="B210" s="714" t="s">
        <v>1312</v>
      </c>
      <c r="C210" s="714" t="s">
        <v>1310</v>
      </c>
      <c r="D210" s="714">
        <v>9806034</v>
      </c>
      <c r="E210" s="714" t="s">
        <v>1434</v>
      </c>
      <c r="F210" s="711">
        <v>356941.42</v>
      </c>
      <c r="G210" s="711">
        <v>204453.06</v>
      </c>
      <c r="H210" s="711">
        <v>152488.35999999999</v>
      </c>
      <c r="I210" s="711"/>
      <c r="J210" s="711">
        <v>0</v>
      </c>
      <c r="K210" s="711">
        <v>0</v>
      </c>
      <c r="L210" s="711">
        <v>0</v>
      </c>
      <c r="M210" s="711">
        <v>0</v>
      </c>
      <c r="O210" s="711">
        <v>0</v>
      </c>
      <c r="P210" s="711">
        <v>0</v>
      </c>
      <c r="Q210" s="711">
        <v>0</v>
      </c>
      <c r="R210" s="732">
        <v>0</v>
      </c>
    </row>
    <row r="211" spans="1:18" ht="15">
      <c r="A211" s="714" t="s">
        <v>1347</v>
      </c>
      <c r="B211" s="714" t="s">
        <v>1312</v>
      </c>
      <c r="C211" s="714" t="s">
        <v>1310</v>
      </c>
      <c r="D211" s="714">
        <v>9806035</v>
      </c>
      <c r="E211" s="714" t="s">
        <v>1435</v>
      </c>
      <c r="F211" s="711">
        <v>221465.84</v>
      </c>
      <c r="G211" s="711">
        <v>126855.41</v>
      </c>
      <c r="H211" s="711">
        <v>94610.430000000008</v>
      </c>
      <c r="I211" s="711"/>
      <c r="J211" s="711">
        <v>0</v>
      </c>
      <c r="K211" s="711">
        <v>0</v>
      </c>
      <c r="L211" s="711">
        <v>0</v>
      </c>
      <c r="M211" s="711">
        <v>0</v>
      </c>
      <c r="O211" s="711">
        <v>0</v>
      </c>
      <c r="P211" s="711">
        <v>0</v>
      </c>
      <c r="Q211" s="711">
        <v>0</v>
      </c>
      <c r="R211" s="732">
        <v>0</v>
      </c>
    </row>
    <row r="212" spans="1:18" ht="15">
      <c r="A212" s="714" t="s">
        <v>1347</v>
      </c>
      <c r="B212" s="714" t="s">
        <v>1312</v>
      </c>
      <c r="C212" s="714" t="s">
        <v>1310</v>
      </c>
      <c r="D212" s="714">
        <v>9806041</v>
      </c>
      <c r="E212" s="714" t="s">
        <v>1436</v>
      </c>
      <c r="F212" s="711">
        <v>393.6</v>
      </c>
      <c r="G212" s="711">
        <v>212.48</v>
      </c>
      <c r="H212" s="711">
        <v>181.12</v>
      </c>
      <c r="I212" s="711"/>
      <c r="J212" s="711">
        <v>0</v>
      </c>
      <c r="K212" s="711">
        <v>0</v>
      </c>
      <c r="L212" s="711">
        <v>0</v>
      </c>
      <c r="M212" s="711">
        <v>0</v>
      </c>
      <c r="O212" s="711">
        <v>0</v>
      </c>
      <c r="P212" s="711">
        <v>0</v>
      </c>
      <c r="Q212" s="711">
        <v>0</v>
      </c>
      <c r="R212" s="732">
        <v>0</v>
      </c>
    </row>
    <row r="213" spans="1:18" ht="15">
      <c r="A213" s="714" t="s">
        <v>1347</v>
      </c>
      <c r="B213" s="714" t="s">
        <v>1312</v>
      </c>
      <c r="C213" s="714" t="s">
        <v>1310</v>
      </c>
      <c r="D213" s="714">
        <v>9806051</v>
      </c>
      <c r="E213" s="714" t="s">
        <v>1437</v>
      </c>
      <c r="F213" s="711">
        <v>1227796.5799999998</v>
      </c>
      <c r="G213" s="711">
        <v>702068.90999999992</v>
      </c>
      <c r="H213" s="711">
        <v>525727.67000000004</v>
      </c>
      <c r="I213" s="711"/>
      <c r="J213" s="711">
        <v>0</v>
      </c>
      <c r="K213" s="711">
        <v>0</v>
      </c>
      <c r="L213" s="711">
        <v>0</v>
      </c>
      <c r="M213" s="711">
        <v>0</v>
      </c>
      <c r="O213" s="711">
        <v>0</v>
      </c>
      <c r="P213" s="711">
        <v>0</v>
      </c>
      <c r="Q213" s="711">
        <v>0</v>
      </c>
      <c r="R213" s="732">
        <v>0</v>
      </c>
    </row>
    <row r="214" spans="1:18" ht="15">
      <c r="A214" s="714" t="s">
        <v>1347</v>
      </c>
      <c r="B214" s="714" t="s">
        <v>1312</v>
      </c>
      <c r="C214" s="714" t="s">
        <v>1310</v>
      </c>
      <c r="D214" s="714">
        <v>9806082</v>
      </c>
      <c r="E214" s="714" t="s">
        <v>1438</v>
      </c>
      <c r="F214" s="711">
        <v>13308.18</v>
      </c>
      <c r="G214" s="711">
        <v>7622.42</v>
      </c>
      <c r="H214" s="711">
        <v>5685.76</v>
      </c>
      <c r="I214" s="711"/>
      <c r="J214" s="711">
        <v>0</v>
      </c>
      <c r="K214" s="711">
        <v>0</v>
      </c>
      <c r="L214" s="711">
        <v>0</v>
      </c>
      <c r="M214" s="711">
        <v>0</v>
      </c>
      <c r="O214" s="711">
        <v>0</v>
      </c>
      <c r="P214" s="711">
        <v>0</v>
      </c>
      <c r="Q214" s="711">
        <v>0</v>
      </c>
      <c r="R214" s="732">
        <v>0</v>
      </c>
    </row>
    <row r="215" spans="1:18" ht="15">
      <c r="A215" s="714" t="s">
        <v>1347</v>
      </c>
      <c r="B215" s="714" t="s">
        <v>1312</v>
      </c>
      <c r="C215" s="714" t="s">
        <v>1310</v>
      </c>
      <c r="D215" s="714">
        <v>9806086</v>
      </c>
      <c r="E215" s="714" t="s">
        <v>1439</v>
      </c>
      <c r="F215" s="711">
        <v>23342.839999999997</v>
      </c>
      <c r="G215" s="711">
        <v>13372.1</v>
      </c>
      <c r="H215" s="711">
        <v>9970.74</v>
      </c>
      <c r="I215" s="711"/>
      <c r="J215" s="711">
        <v>0</v>
      </c>
      <c r="K215" s="711">
        <v>0</v>
      </c>
      <c r="L215" s="711">
        <v>0</v>
      </c>
      <c r="M215" s="711">
        <v>0</v>
      </c>
      <c r="O215" s="711">
        <v>0</v>
      </c>
      <c r="P215" s="711">
        <v>0</v>
      </c>
      <c r="Q215" s="711">
        <v>0</v>
      </c>
      <c r="R215" s="732">
        <v>0</v>
      </c>
    </row>
    <row r="216" spans="1:18" ht="15">
      <c r="A216" s="714" t="s">
        <v>1347</v>
      </c>
      <c r="B216" s="714" t="s">
        <v>1312</v>
      </c>
      <c r="C216" s="714" t="s">
        <v>1310</v>
      </c>
      <c r="D216" s="714">
        <v>9806089</v>
      </c>
      <c r="E216" s="714" t="s">
        <v>1440</v>
      </c>
      <c r="F216" s="711">
        <v>16816.39</v>
      </c>
      <c r="G216" s="711">
        <v>9627.1</v>
      </c>
      <c r="H216" s="711">
        <v>7189.29</v>
      </c>
      <c r="I216" s="711"/>
      <c r="J216" s="711">
        <v>0</v>
      </c>
      <c r="K216" s="711">
        <v>0</v>
      </c>
      <c r="L216" s="711">
        <v>0</v>
      </c>
      <c r="M216" s="711">
        <v>0</v>
      </c>
      <c r="O216" s="711">
        <v>0</v>
      </c>
      <c r="P216" s="711">
        <v>0</v>
      </c>
      <c r="Q216" s="711">
        <v>0</v>
      </c>
      <c r="R216" s="732">
        <v>0</v>
      </c>
    </row>
    <row r="217" spans="1:18" ht="15">
      <c r="A217" s="714" t="s">
        <v>1347</v>
      </c>
      <c r="B217" s="714" t="s">
        <v>1312</v>
      </c>
      <c r="C217" s="714" t="s">
        <v>1310</v>
      </c>
      <c r="D217" s="714">
        <v>9806091</v>
      </c>
      <c r="E217" s="714" t="s">
        <v>1441</v>
      </c>
      <c r="F217" s="711">
        <v>11029.529999999999</v>
      </c>
      <c r="G217" s="711">
        <v>6316.5</v>
      </c>
      <c r="H217" s="711">
        <v>4713.0300000000007</v>
      </c>
      <c r="I217" s="711"/>
      <c r="J217" s="711">
        <v>0</v>
      </c>
      <c r="K217" s="711">
        <v>0</v>
      </c>
      <c r="L217" s="711">
        <v>0</v>
      </c>
      <c r="M217" s="711">
        <v>0</v>
      </c>
      <c r="O217" s="711">
        <v>0</v>
      </c>
      <c r="P217" s="711">
        <v>0</v>
      </c>
      <c r="Q217" s="711">
        <v>0</v>
      </c>
      <c r="R217" s="732">
        <v>0</v>
      </c>
    </row>
    <row r="218" spans="1:18" ht="15">
      <c r="A218" s="714" t="s">
        <v>1347</v>
      </c>
      <c r="B218" s="714" t="s">
        <v>1312</v>
      </c>
      <c r="C218" s="714" t="s">
        <v>1310</v>
      </c>
      <c r="D218" s="714">
        <v>9806092</v>
      </c>
      <c r="E218" s="714" t="s">
        <v>1442</v>
      </c>
      <c r="F218" s="711">
        <v>145285.56</v>
      </c>
      <c r="G218" s="711">
        <v>83220.76999999999</v>
      </c>
      <c r="H218" s="711">
        <v>62064.79</v>
      </c>
      <c r="I218" s="711"/>
      <c r="J218" s="711">
        <v>0</v>
      </c>
      <c r="K218" s="711">
        <v>0</v>
      </c>
      <c r="L218" s="711">
        <v>0</v>
      </c>
      <c r="M218" s="711">
        <v>0</v>
      </c>
      <c r="O218" s="711">
        <v>0</v>
      </c>
      <c r="P218" s="711">
        <v>0</v>
      </c>
      <c r="Q218" s="711">
        <v>0</v>
      </c>
      <c r="R218" s="732">
        <v>0</v>
      </c>
    </row>
    <row r="219" spans="1:18" ht="15">
      <c r="A219" s="714" t="s">
        <v>1347</v>
      </c>
      <c r="B219" s="714" t="s">
        <v>1312</v>
      </c>
      <c r="C219" s="714" t="s">
        <v>1310</v>
      </c>
      <c r="D219" s="714">
        <v>9806098</v>
      </c>
      <c r="E219" s="714" t="s">
        <v>1443</v>
      </c>
      <c r="F219" s="711">
        <v>50184.17</v>
      </c>
      <c r="G219" s="711">
        <v>28730.75</v>
      </c>
      <c r="H219" s="711">
        <v>21453.42</v>
      </c>
      <c r="I219" s="711"/>
      <c r="J219" s="711">
        <v>0</v>
      </c>
      <c r="K219" s="711">
        <v>0</v>
      </c>
      <c r="L219" s="711">
        <v>0</v>
      </c>
      <c r="M219" s="711">
        <v>0</v>
      </c>
      <c r="O219" s="711">
        <v>0</v>
      </c>
      <c r="P219" s="711">
        <v>0</v>
      </c>
      <c r="Q219" s="711">
        <v>0</v>
      </c>
      <c r="R219" s="732">
        <v>0</v>
      </c>
    </row>
    <row r="220" spans="1:18" ht="15">
      <c r="A220" s="714" t="s">
        <v>1347</v>
      </c>
      <c r="B220" s="714" t="s">
        <v>1312</v>
      </c>
      <c r="C220" s="714" t="s">
        <v>1310</v>
      </c>
      <c r="D220" s="714">
        <v>9806104</v>
      </c>
      <c r="E220" s="714" t="s">
        <v>1444</v>
      </c>
      <c r="F220" s="711">
        <v>440910.57999999996</v>
      </c>
      <c r="G220" s="711">
        <v>347367.95</v>
      </c>
      <c r="H220" s="711">
        <v>93542.63</v>
      </c>
      <c r="I220" s="711"/>
      <c r="J220" s="711">
        <v>0</v>
      </c>
      <c r="K220" s="711">
        <v>0</v>
      </c>
      <c r="L220" s="711">
        <v>0</v>
      </c>
      <c r="M220" s="711">
        <v>0</v>
      </c>
      <c r="O220" s="711">
        <v>0</v>
      </c>
      <c r="P220" s="711">
        <v>0</v>
      </c>
      <c r="Q220" s="711">
        <v>0</v>
      </c>
      <c r="R220" s="732">
        <v>0</v>
      </c>
    </row>
    <row r="221" spans="1:18" ht="15">
      <c r="A221" s="714" t="s">
        <v>1347</v>
      </c>
      <c r="B221" s="714" t="s">
        <v>1312</v>
      </c>
      <c r="C221" s="714" t="s">
        <v>1310</v>
      </c>
      <c r="D221" s="714">
        <v>9806107</v>
      </c>
      <c r="E221" s="714" t="s">
        <v>1445</v>
      </c>
      <c r="F221" s="711">
        <v>2320469.16</v>
      </c>
      <c r="G221" s="711">
        <v>950233.5</v>
      </c>
      <c r="H221" s="711">
        <v>1370235.6600000001</v>
      </c>
      <c r="I221" s="711"/>
      <c r="J221" s="711">
        <v>0</v>
      </c>
      <c r="K221" s="711">
        <v>0</v>
      </c>
      <c r="L221" s="711">
        <v>0</v>
      </c>
      <c r="M221" s="711">
        <v>0</v>
      </c>
      <c r="O221" s="711">
        <v>0</v>
      </c>
      <c r="P221" s="711">
        <v>0</v>
      </c>
      <c r="Q221" s="711">
        <v>0</v>
      </c>
      <c r="R221" s="732">
        <v>0</v>
      </c>
    </row>
    <row r="222" spans="1:18" ht="15">
      <c r="A222" s="714" t="s">
        <v>1347</v>
      </c>
      <c r="B222" s="714" t="s">
        <v>1312</v>
      </c>
      <c r="C222" s="714" t="s">
        <v>1310</v>
      </c>
      <c r="D222" s="714">
        <v>9806118</v>
      </c>
      <c r="E222" s="714" t="s">
        <v>1446</v>
      </c>
      <c r="F222" s="711">
        <v>9419.9000000000015</v>
      </c>
      <c r="G222" s="711">
        <v>5395.28</v>
      </c>
      <c r="H222" s="711">
        <v>4024.62</v>
      </c>
      <c r="I222" s="711"/>
      <c r="J222" s="711">
        <v>0</v>
      </c>
      <c r="K222" s="711">
        <v>0</v>
      </c>
      <c r="L222" s="711">
        <v>0</v>
      </c>
      <c r="M222" s="711">
        <v>0</v>
      </c>
      <c r="O222" s="711">
        <v>0</v>
      </c>
      <c r="P222" s="711">
        <v>0</v>
      </c>
      <c r="Q222" s="711">
        <v>0</v>
      </c>
      <c r="R222" s="732">
        <v>0</v>
      </c>
    </row>
    <row r="223" spans="1:18" ht="15">
      <c r="A223" s="714" t="s">
        <v>1347</v>
      </c>
      <c r="B223" s="714" t="s">
        <v>1312</v>
      </c>
      <c r="C223" s="714" t="s">
        <v>1310</v>
      </c>
      <c r="D223" s="714">
        <v>9806121</v>
      </c>
      <c r="E223" s="714" t="s">
        <v>1447</v>
      </c>
      <c r="F223" s="711">
        <v>86957.03</v>
      </c>
      <c r="G223" s="711">
        <v>35608.240000000005</v>
      </c>
      <c r="H223" s="711">
        <v>51348.79</v>
      </c>
      <c r="I223" s="711"/>
      <c r="J223" s="711">
        <v>0</v>
      </c>
      <c r="K223" s="711">
        <v>0</v>
      </c>
      <c r="L223" s="711">
        <v>0</v>
      </c>
      <c r="M223" s="711">
        <v>0</v>
      </c>
      <c r="O223" s="711">
        <v>0</v>
      </c>
      <c r="P223" s="711">
        <v>0</v>
      </c>
      <c r="Q223" s="711">
        <v>0</v>
      </c>
      <c r="R223" s="732">
        <v>0</v>
      </c>
    </row>
    <row r="224" spans="1:18" ht="15">
      <c r="A224" s="714" t="s">
        <v>1347</v>
      </c>
      <c r="B224" s="714" t="s">
        <v>1312</v>
      </c>
      <c r="C224" s="714" t="s">
        <v>1310</v>
      </c>
      <c r="D224" s="714">
        <v>9806129</v>
      </c>
      <c r="E224" s="714" t="s">
        <v>1778</v>
      </c>
      <c r="F224" s="711">
        <v>2156389.1999999997</v>
      </c>
      <c r="G224" s="711">
        <v>362665.82999999996</v>
      </c>
      <c r="H224" s="711">
        <v>1793723.37</v>
      </c>
      <c r="I224" s="711"/>
      <c r="J224" s="711">
        <v>0</v>
      </c>
      <c r="K224" s="711">
        <v>0</v>
      </c>
      <c r="L224" s="711">
        <v>0</v>
      </c>
      <c r="M224" s="711">
        <v>0</v>
      </c>
      <c r="O224" s="711">
        <v>0</v>
      </c>
      <c r="P224" s="711">
        <v>0</v>
      </c>
      <c r="Q224" s="711">
        <v>0</v>
      </c>
      <c r="R224" s="732">
        <v>0</v>
      </c>
    </row>
    <row r="225" spans="1:18" ht="15">
      <c r="A225" s="714" t="s">
        <v>1347</v>
      </c>
      <c r="B225" s="714" t="s">
        <v>1312</v>
      </c>
      <c r="C225" s="714" t="s">
        <v>1310</v>
      </c>
      <c r="D225" s="714">
        <v>9806137</v>
      </c>
      <c r="E225" s="714" t="s">
        <v>1448</v>
      </c>
      <c r="F225" s="711">
        <v>6876.66</v>
      </c>
      <c r="G225" s="711">
        <v>3938.61</v>
      </c>
      <c r="H225" s="711">
        <v>2938.05</v>
      </c>
      <c r="I225" s="711"/>
      <c r="J225" s="711">
        <v>0</v>
      </c>
      <c r="K225" s="711">
        <v>0</v>
      </c>
      <c r="L225" s="711">
        <v>0</v>
      </c>
      <c r="M225" s="711">
        <v>0</v>
      </c>
      <c r="O225" s="711">
        <v>0</v>
      </c>
      <c r="P225" s="711">
        <v>0</v>
      </c>
      <c r="Q225" s="711">
        <v>0</v>
      </c>
      <c r="R225" s="732">
        <v>0</v>
      </c>
    </row>
    <row r="226" spans="1:18" ht="15">
      <c r="A226" s="714" t="s">
        <v>1347</v>
      </c>
      <c r="B226" s="714" t="s">
        <v>1312</v>
      </c>
      <c r="C226" s="714" t="s">
        <v>1310</v>
      </c>
      <c r="D226" s="714">
        <v>9806141</v>
      </c>
      <c r="E226" s="714" t="s">
        <v>1779</v>
      </c>
      <c r="F226" s="711">
        <v>126661.91</v>
      </c>
      <c r="G226" s="711">
        <v>21308.94</v>
      </c>
      <c r="H226" s="711">
        <v>105352.97</v>
      </c>
      <c r="I226" s="711"/>
      <c r="J226" s="711">
        <v>0</v>
      </c>
      <c r="K226" s="711">
        <v>0</v>
      </c>
      <c r="L226" s="711">
        <v>0</v>
      </c>
      <c r="M226" s="711">
        <v>0</v>
      </c>
      <c r="O226" s="711">
        <v>0</v>
      </c>
      <c r="P226" s="711">
        <v>0</v>
      </c>
      <c r="Q226" s="711">
        <v>0</v>
      </c>
      <c r="R226" s="732">
        <v>0</v>
      </c>
    </row>
    <row r="227" spans="1:18" ht="15">
      <c r="A227" s="714" t="s">
        <v>1347</v>
      </c>
      <c r="B227" s="714" t="s">
        <v>1312</v>
      </c>
      <c r="C227" s="714" t="s">
        <v>1310</v>
      </c>
      <c r="D227" s="714">
        <v>9806146</v>
      </c>
      <c r="E227" s="714" t="s">
        <v>1780</v>
      </c>
      <c r="F227" s="711">
        <v>405172.62</v>
      </c>
      <c r="G227" s="711">
        <v>68176.66</v>
      </c>
      <c r="H227" s="711">
        <v>336995.96000000008</v>
      </c>
      <c r="I227" s="711"/>
      <c r="J227" s="711">
        <v>0</v>
      </c>
      <c r="K227" s="711">
        <v>0</v>
      </c>
      <c r="L227" s="711">
        <v>0</v>
      </c>
      <c r="M227" s="711">
        <v>0</v>
      </c>
      <c r="O227" s="711">
        <v>0</v>
      </c>
      <c r="P227" s="711">
        <v>0</v>
      </c>
      <c r="Q227" s="711">
        <v>0</v>
      </c>
      <c r="R227" s="732">
        <v>0</v>
      </c>
    </row>
    <row r="228" spans="1:18" ht="15">
      <c r="A228" s="714" t="s">
        <v>1347</v>
      </c>
      <c r="B228" s="714" t="s">
        <v>1312</v>
      </c>
      <c r="C228" s="714" t="s">
        <v>1310</v>
      </c>
      <c r="D228" s="714">
        <v>9806147</v>
      </c>
      <c r="E228" s="714" t="s">
        <v>1781</v>
      </c>
      <c r="F228" s="711">
        <v>23987.679999999997</v>
      </c>
      <c r="G228" s="711">
        <v>4036.51</v>
      </c>
      <c r="H228" s="711">
        <v>19951.169999999998</v>
      </c>
      <c r="I228" s="711"/>
      <c r="J228" s="711">
        <v>0</v>
      </c>
      <c r="K228" s="711">
        <v>0</v>
      </c>
      <c r="L228" s="711">
        <v>0</v>
      </c>
      <c r="M228" s="711">
        <v>0</v>
      </c>
      <c r="O228" s="711">
        <v>0</v>
      </c>
      <c r="P228" s="711">
        <v>0</v>
      </c>
      <c r="Q228" s="711">
        <v>0</v>
      </c>
      <c r="R228" s="732">
        <v>0</v>
      </c>
    </row>
    <row r="229" spans="1:18" ht="15">
      <c r="A229" s="714" t="s">
        <v>1347</v>
      </c>
      <c r="B229" s="714" t="s">
        <v>1312</v>
      </c>
      <c r="C229" s="714" t="s">
        <v>1310</v>
      </c>
      <c r="D229" s="714">
        <v>9806148</v>
      </c>
      <c r="E229" s="714" t="s">
        <v>1782</v>
      </c>
      <c r="F229" s="711">
        <v>7116.23</v>
      </c>
      <c r="G229" s="711">
        <v>2914.37</v>
      </c>
      <c r="H229" s="711">
        <v>4201.8599999999997</v>
      </c>
      <c r="I229" s="711"/>
      <c r="J229" s="711">
        <v>0</v>
      </c>
      <c r="K229" s="711">
        <v>0</v>
      </c>
      <c r="L229" s="711">
        <v>0</v>
      </c>
      <c r="M229" s="711">
        <v>0</v>
      </c>
      <c r="O229" s="711">
        <v>0</v>
      </c>
      <c r="P229" s="711">
        <v>0</v>
      </c>
      <c r="Q229" s="711">
        <v>0</v>
      </c>
      <c r="R229" s="732">
        <v>0</v>
      </c>
    </row>
    <row r="230" spans="1:18" ht="15">
      <c r="A230" s="714" t="s">
        <v>1347</v>
      </c>
      <c r="B230" s="714" t="s">
        <v>1312</v>
      </c>
      <c r="C230" s="714" t="s">
        <v>1310</v>
      </c>
      <c r="D230" s="714">
        <v>9806150</v>
      </c>
      <c r="E230" s="714" t="s">
        <v>1783</v>
      </c>
      <c r="F230" s="711">
        <v>21808.34</v>
      </c>
      <c r="G230" s="711">
        <v>8930.94</v>
      </c>
      <c r="H230" s="711">
        <v>12877.4</v>
      </c>
      <c r="I230" s="711"/>
      <c r="J230" s="711">
        <v>0</v>
      </c>
      <c r="K230" s="711">
        <v>0</v>
      </c>
      <c r="L230" s="711">
        <v>0</v>
      </c>
      <c r="M230" s="711">
        <v>0</v>
      </c>
      <c r="O230" s="711">
        <v>0</v>
      </c>
      <c r="P230" s="711">
        <v>0</v>
      </c>
      <c r="Q230" s="711">
        <v>0</v>
      </c>
      <c r="R230" s="732">
        <v>0</v>
      </c>
    </row>
    <row r="231" spans="1:18" ht="15">
      <c r="A231" s="714" t="s">
        <v>1347</v>
      </c>
      <c r="B231" s="714" t="s">
        <v>1312</v>
      </c>
      <c r="C231" s="714" t="s">
        <v>1310</v>
      </c>
      <c r="D231" s="714">
        <v>9806152</v>
      </c>
      <c r="E231" s="714" t="s">
        <v>1449</v>
      </c>
      <c r="F231" s="711">
        <v>297857.61</v>
      </c>
      <c r="G231" s="711">
        <v>121986.23000000001</v>
      </c>
      <c r="H231" s="711">
        <v>175871.38</v>
      </c>
      <c r="I231" s="711"/>
      <c r="J231" s="711">
        <v>0</v>
      </c>
      <c r="K231" s="711">
        <v>0</v>
      </c>
      <c r="L231" s="711">
        <v>0</v>
      </c>
      <c r="M231" s="711">
        <v>0</v>
      </c>
      <c r="O231" s="711">
        <v>0</v>
      </c>
      <c r="P231" s="711">
        <v>0</v>
      </c>
      <c r="Q231" s="711">
        <v>0</v>
      </c>
      <c r="R231" s="732">
        <v>0</v>
      </c>
    </row>
    <row r="232" spans="1:18" ht="15">
      <c r="A232" s="714" t="s">
        <v>1347</v>
      </c>
      <c r="B232" s="714" t="s">
        <v>1312</v>
      </c>
      <c r="C232" s="714" t="s">
        <v>1310</v>
      </c>
      <c r="D232" s="714">
        <v>9806163</v>
      </c>
      <c r="E232" s="714" t="s">
        <v>1784</v>
      </c>
      <c r="F232" s="711">
        <v>493030.08</v>
      </c>
      <c r="G232" s="711">
        <v>82944.55</v>
      </c>
      <c r="H232" s="711">
        <v>410085.53</v>
      </c>
      <c r="I232" s="711"/>
      <c r="J232" s="711">
        <v>0</v>
      </c>
      <c r="K232" s="711">
        <v>0</v>
      </c>
      <c r="L232" s="711">
        <v>0</v>
      </c>
      <c r="M232" s="711">
        <v>0</v>
      </c>
      <c r="O232" s="711">
        <v>0</v>
      </c>
      <c r="P232" s="711">
        <v>0</v>
      </c>
      <c r="Q232" s="711">
        <v>0</v>
      </c>
      <c r="R232" s="732">
        <v>0</v>
      </c>
    </row>
    <row r="233" spans="1:18" ht="15">
      <c r="A233" s="714" t="s">
        <v>1347</v>
      </c>
      <c r="B233" s="714" t="s">
        <v>1312</v>
      </c>
      <c r="C233" s="714" t="s">
        <v>1310</v>
      </c>
      <c r="D233" s="714">
        <v>9806165</v>
      </c>
      <c r="E233" s="714" t="s">
        <v>1450</v>
      </c>
      <c r="F233" s="711">
        <v>152560.91</v>
      </c>
      <c r="G233" s="711">
        <v>62480.38</v>
      </c>
      <c r="H233" s="711">
        <v>90080.53</v>
      </c>
      <c r="I233" s="711"/>
      <c r="J233" s="711">
        <v>0</v>
      </c>
      <c r="K233" s="711">
        <v>0</v>
      </c>
      <c r="L233" s="711">
        <v>0</v>
      </c>
      <c r="M233" s="711">
        <v>0</v>
      </c>
      <c r="O233" s="711">
        <v>0</v>
      </c>
      <c r="P233" s="711">
        <v>0</v>
      </c>
      <c r="Q233" s="711">
        <v>0</v>
      </c>
      <c r="R233" s="732">
        <v>0</v>
      </c>
    </row>
    <row r="234" spans="1:18" ht="15">
      <c r="A234" s="714" t="s">
        <v>1347</v>
      </c>
      <c r="B234" s="714" t="s">
        <v>1312</v>
      </c>
      <c r="C234" s="714" t="s">
        <v>1310</v>
      </c>
      <c r="D234" s="714">
        <v>9806169</v>
      </c>
      <c r="E234" s="714" t="s">
        <v>1785</v>
      </c>
      <c r="F234" s="711">
        <v>11094.71</v>
      </c>
      <c r="G234" s="711">
        <v>4543.46</v>
      </c>
      <c r="H234" s="711">
        <v>6551.25</v>
      </c>
      <c r="I234" s="711"/>
      <c r="J234" s="711">
        <v>0</v>
      </c>
      <c r="K234" s="711">
        <v>0</v>
      </c>
      <c r="L234" s="711">
        <v>0</v>
      </c>
      <c r="M234" s="711">
        <v>0</v>
      </c>
      <c r="O234" s="711">
        <v>0</v>
      </c>
      <c r="P234" s="711">
        <v>0</v>
      </c>
      <c r="Q234" s="711">
        <v>0</v>
      </c>
      <c r="R234" s="732">
        <v>0</v>
      </c>
    </row>
    <row r="235" spans="1:18" ht="15">
      <c r="A235" s="714" t="s">
        <v>1347</v>
      </c>
      <c r="B235" s="714" t="s">
        <v>1312</v>
      </c>
      <c r="C235" s="714" t="s">
        <v>1310</v>
      </c>
      <c r="D235" s="714">
        <v>9806181</v>
      </c>
      <c r="E235" s="714" t="s">
        <v>1786</v>
      </c>
      <c r="F235" s="711">
        <v>23142.71</v>
      </c>
      <c r="G235" s="711">
        <v>9477.4699999999993</v>
      </c>
      <c r="H235" s="711">
        <v>13665.24</v>
      </c>
      <c r="I235" s="711"/>
      <c r="J235" s="711">
        <v>0</v>
      </c>
      <c r="K235" s="711">
        <v>0</v>
      </c>
      <c r="L235" s="711">
        <v>0</v>
      </c>
      <c r="M235" s="711">
        <v>0</v>
      </c>
      <c r="O235" s="711">
        <v>0</v>
      </c>
      <c r="P235" s="711">
        <v>0</v>
      </c>
      <c r="Q235" s="711">
        <v>0</v>
      </c>
      <c r="R235" s="732">
        <v>0</v>
      </c>
    </row>
    <row r="236" spans="1:18" ht="15">
      <c r="A236" s="714" t="s">
        <v>1347</v>
      </c>
      <c r="B236" s="714" t="s">
        <v>1312</v>
      </c>
      <c r="C236" s="714" t="s">
        <v>1310</v>
      </c>
      <c r="D236" s="714">
        <v>9806186</v>
      </c>
      <c r="E236" s="714" t="s">
        <v>1787</v>
      </c>
      <c r="F236" s="711">
        <v>60647.27</v>
      </c>
      <c r="G236" s="711">
        <v>24836.460000000003</v>
      </c>
      <c r="H236" s="711">
        <v>35810.81</v>
      </c>
      <c r="I236" s="711"/>
      <c r="J236" s="711">
        <v>0</v>
      </c>
      <c r="K236" s="711">
        <v>0</v>
      </c>
      <c r="L236" s="711">
        <v>0</v>
      </c>
      <c r="M236" s="711">
        <v>0</v>
      </c>
      <c r="O236" s="711">
        <v>0</v>
      </c>
      <c r="P236" s="711">
        <v>0</v>
      </c>
      <c r="Q236" s="711">
        <v>0</v>
      </c>
      <c r="R236" s="732">
        <v>0</v>
      </c>
    </row>
    <row r="237" spans="1:18" ht="15">
      <c r="A237" s="714" t="s">
        <v>1347</v>
      </c>
      <c r="B237" s="714" t="s">
        <v>1312</v>
      </c>
      <c r="C237" s="714" t="s">
        <v>1310</v>
      </c>
      <c r="D237" s="714">
        <v>9806194</v>
      </c>
      <c r="E237" s="714" t="s">
        <v>1788</v>
      </c>
      <c r="F237" s="711">
        <v>-557.16000000000008</v>
      </c>
      <c r="G237" s="711">
        <v>-96.539999999999978</v>
      </c>
      <c r="H237" s="711">
        <v>-460.62000000000012</v>
      </c>
      <c r="I237" s="711"/>
      <c r="J237" s="711">
        <v>0</v>
      </c>
      <c r="K237" s="711">
        <v>0</v>
      </c>
      <c r="L237" s="711">
        <v>0</v>
      </c>
      <c r="M237" s="711">
        <v>0</v>
      </c>
      <c r="O237" s="711">
        <v>0</v>
      </c>
      <c r="P237" s="711">
        <v>0</v>
      </c>
      <c r="Q237" s="711">
        <v>0</v>
      </c>
      <c r="R237" s="732">
        <v>0</v>
      </c>
    </row>
    <row r="238" spans="1:18" ht="15">
      <c r="A238" s="714" t="s">
        <v>1347</v>
      </c>
      <c r="B238" s="714" t="s">
        <v>1312</v>
      </c>
      <c r="C238" s="714" t="s">
        <v>1310</v>
      </c>
      <c r="D238" s="714">
        <v>9806195</v>
      </c>
      <c r="E238" s="714" t="s">
        <v>1789</v>
      </c>
      <c r="F238" s="711">
        <v>10764.16</v>
      </c>
      <c r="G238" s="711">
        <v>1811.56</v>
      </c>
      <c r="H238" s="711">
        <v>8952.6</v>
      </c>
      <c r="I238" s="711"/>
      <c r="J238" s="711">
        <v>0</v>
      </c>
      <c r="K238" s="711">
        <v>0</v>
      </c>
      <c r="L238" s="711">
        <v>0</v>
      </c>
      <c r="M238" s="711">
        <v>0</v>
      </c>
      <c r="O238" s="711">
        <v>0</v>
      </c>
      <c r="P238" s="711">
        <v>0</v>
      </c>
      <c r="Q238" s="711">
        <v>0</v>
      </c>
      <c r="R238" s="732">
        <v>0</v>
      </c>
    </row>
    <row r="239" spans="1:18" ht="15">
      <c r="A239" s="714" t="s">
        <v>1347</v>
      </c>
      <c r="B239" s="714" t="s">
        <v>1312</v>
      </c>
      <c r="C239" s="714" t="s">
        <v>1310</v>
      </c>
      <c r="D239" s="714">
        <v>9806207</v>
      </c>
      <c r="E239" s="714" t="s">
        <v>1790</v>
      </c>
      <c r="F239" s="711">
        <v>7721.2699999999995</v>
      </c>
      <c r="G239" s="711">
        <v>1299.67</v>
      </c>
      <c r="H239" s="711">
        <v>6421.6</v>
      </c>
      <c r="I239" s="711"/>
      <c r="J239" s="711">
        <v>0</v>
      </c>
      <c r="K239" s="711">
        <v>0</v>
      </c>
      <c r="L239" s="711">
        <v>0</v>
      </c>
      <c r="M239" s="711">
        <v>0</v>
      </c>
      <c r="O239" s="711">
        <v>0</v>
      </c>
      <c r="P239" s="711">
        <v>0</v>
      </c>
      <c r="Q239" s="711">
        <v>0</v>
      </c>
      <c r="R239" s="732">
        <v>0</v>
      </c>
    </row>
    <row r="240" spans="1:18" ht="15">
      <c r="A240" s="714" t="s">
        <v>1347</v>
      </c>
      <c r="B240" s="714" t="s">
        <v>1312</v>
      </c>
      <c r="C240" s="714" t="s">
        <v>1310</v>
      </c>
      <c r="D240" s="714">
        <v>9806213</v>
      </c>
      <c r="E240" s="714" t="s">
        <v>1791</v>
      </c>
      <c r="F240" s="711">
        <v>21725.23</v>
      </c>
      <c r="G240" s="711">
        <v>3655.3900000000003</v>
      </c>
      <c r="H240" s="711">
        <v>18069.839999999997</v>
      </c>
      <c r="I240" s="711"/>
      <c r="J240" s="711">
        <v>0</v>
      </c>
      <c r="K240" s="711">
        <v>0</v>
      </c>
      <c r="L240" s="711">
        <v>0</v>
      </c>
      <c r="M240" s="711">
        <v>0</v>
      </c>
      <c r="O240" s="711">
        <v>0</v>
      </c>
      <c r="P240" s="711">
        <v>0</v>
      </c>
      <c r="Q240" s="711">
        <v>0</v>
      </c>
      <c r="R240" s="732">
        <v>0</v>
      </c>
    </row>
    <row r="241" spans="1:18" ht="15">
      <c r="A241" s="714" t="s">
        <v>1347</v>
      </c>
      <c r="B241" s="714" t="s">
        <v>1312</v>
      </c>
      <c r="C241" s="714" t="s">
        <v>1310</v>
      </c>
      <c r="D241" s="714">
        <v>9806214</v>
      </c>
      <c r="E241" s="714" t="s">
        <v>1792</v>
      </c>
      <c r="F241" s="711">
        <v>25439.019999999997</v>
      </c>
      <c r="G241" s="711">
        <v>4281.3599999999997</v>
      </c>
      <c r="H241" s="711">
        <v>21157.66</v>
      </c>
      <c r="I241" s="711"/>
      <c r="J241" s="711">
        <v>0</v>
      </c>
      <c r="K241" s="711">
        <v>0</v>
      </c>
      <c r="L241" s="711">
        <v>0</v>
      </c>
      <c r="M241" s="711">
        <v>0</v>
      </c>
      <c r="O241" s="711">
        <v>0</v>
      </c>
      <c r="P241" s="711">
        <v>0</v>
      </c>
      <c r="Q241" s="711">
        <v>0</v>
      </c>
      <c r="R241" s="732">
        <v>0</v>
      </c>
    </row>
    <row r="242" spans="1:18" ht="15">
      <c r="A242" s="714" t="s">
        <v>1347</v>
      </c>
      <c r="B242" s="714" t="s">
        <v>1312</v>
      </c>
      <c r="C242" s="714" t="s">
        <v>1310</v>
      </c>
      <c r="D242" s="714">
        <v>9806223</v>
      </c>
      <c r="E242" s="714" t="s">
        <v>1793</v>
      </c>
      <c r="F242" s="711">
        <v>959875.66999999993</v>
      </c>
      <c r="G242" s="711">
        <v>38922.109999999993</v>
      </c>
      <c r="H242" s="711">
        <v>920953.55999999994</v>
      </c>
      <c r="I242" s="711"/>
      <c r="J242" s="711">
        <v>0</v>
      </c>
      <c r="K242" s="711">
        <v>0</v>
      </c>
      <c r="L242" s="711">
        <v>0</v>
      </c>
      <c r="M242" s="711">
        <v>0</v>
      </c>
      <c r="O242" s="711">
        <v>0</v>
      </c>
      <c r="P242" s="711">
        <v>0</v>
      </c>
      <c r="Q242" s="711">
        <v>0</v>
      </c>
      <c r="R242" s="732">
        <v>0</v>
      </c>
    </row>
    <row r="243" spans="1:18" ht="15">
      <c r="A243" s="714" t="s">
        <v>1347</v>
      </c>
      <c r="B243" s="714" t="s">
        <v>1312</v>
      </c>
      <c r="C243" s="714" t="s">
        <v>1310</v>
      </c>
      <c r="D243" s="714">
        <v>9806225</v>
      </c>
      <c r="E243" s="714" t="s">
        <v>1794</v>
      </c>
      <c r="F243" s="711">
        <v>89029.549999999988</v>
      </c>
      <c r="G243" s="711">
        <v>3619.6099999999997</v>
      </c>
      <c r="H243" s="711">
        <v>85409.94</v>
      </c>
      <c r="I243" s="711"/>
      <c r="J243" s="711">
        <v>0</v>
      </c>
      <c r="K243" s="711">
        <v>0</v>
      </c>
      <c r="L243" s="711">
        <v>0</v>
      </c>
      <c r="M243" s="711">
        <v>0</v>
      </c>
      <c r="O243" s="711">
        <v>0</v>
      </c>
      <c r="P243" s="711">
        <v>0</v>
      </c>
      <c r="Q243" s="711">
        <v>0</v>
      </c>
      <c r="R243" s="732">
        <v>0</v>
      </c>
    </row>
    <row r="244" spans="1:18" ht="15">
      <c r="A244" s="714" t="s">
        <v>1347</v>
      </c>
      <c r="B244" s="714" t="s">
        <v>1312</v>
      </c>
      <c r="C244" s="714" t="s">
        <v>1310</v>
      </c>
      <c r="D244" s="714">
        <v>9806227</v>
      </c>
      <c r="E244" s="714" t="s">
        <v>1795</v>
      </c>
      <c r="F244" s="711">
        <v>1170318.6499999997</v>
      </c>
      <c r="G244" s="711">
        <v>196936.87999999995</v>
      </c>
      <c r="H244" s="711">
        <v>973381.77</v>
      </c>
      <c r="I244" s="711"/>
      <c r="J244" s="711">
        <v>0</v>
      </c>
      <c r="K244" s="711">
        <v>0</v>
      </c>
      <c r="L244" s="711">
        <v>0</v>
      </c>
      <c r="M244" s="711">
        <v>0</v>
      </c>
      <c r="O244" s="711">
        <v>0</v>
      </c>
      <c r="P244" s="711">
        <v>0</v>
      </c>
      <c r="Q244" s="711">
        <v>0</v>
      </c>
      <c r="R244" s="732">
        <v>0</v>
      </c>
    </row>
    <row r="245" spans="1:18" ht="15">
      <c r="A245" s="714" t="s">
        <v>1347</v>
      </c>
      <c r="B245" s="714" t="s">
        <v>1312</v>
      </c>
      <c r="C245" s="714" t="s">
        <v>1310</v>
      </c>
      <c r="D245" s="714">
        <v>9806232</v>
      </c>
      <c r="E245" s="714" t="s">
        <v>1796</v>
      </c>
      <c r="F245" s="711">
        <v>384159.63</v>
      </c>
      <c r="G245" s="711">
        <v>64651.009999999995</v>
      </c>
      <c r="H245" s="711">
        <v>319508.62</v>
      </c>
      <c r="I245" s="711"/>
      <c r="J245" s="711">
        <v>0</v>
      </c>
      <c r="K245" s="711">
        <v>0</v>
      </c>
      <c r="L245" s="711">
        <v>0</v>
      </c>
      <c r="M245" s="711">
        <v>0</v>
      </c>
      <c r="O245" s="711">
        <v>0</v>
      </c>
      <c r="P245" s="711">
        <v>0</v>
      </c>
      <c r="Q245" s="711">
        <v>0</v>
      </c>
      <c r="R245" s="732">
        <v>0</v>
      </c>
    </row>
    <row r="246" spans="1:18" ht="15">
      <c r="A246" s="714" t="s">
        <v>1347</v>
      </c>
      <c r="B246" s="714" t="s">
        <v>1312</v>
      </c>
      <c r="C246" s="714" t="s">
        <v>1310</v>
      </c>
      <c r="D246" s="714">
        <v>9806233</v>
      </c>
      <c r="E246" s="714" t="s">
        <v>1797</v>
      </c>
      <c r="F246" s="711">
        <v>50009.36</v>
      </c>
      <c r="G246" s="711">
        <v>2029.73</v>
      </c>
      <c r="H246" s="711">
        <v>47979.63</v>
      </c>
      <c r="I246" s="711"/>
      <c r="J246" s="711">
        <v>0</v>
      </c>
      <c r="K246" s="711">
        <v>0</v>
      </c>
      <c r="L246" s="711">
        <v>0</v>
      </c>
      <c r="M246" s="711">
        <v>0</v>
      </c>
      <c r="O246" s="711">
        <v>0</v>
      </c>
      <c r="P246" s="711">
        <v>0</v>
      </c>
      <c r="Q246" s="711">
        <v>0</v>
      </c>
      <c r="R246" s="732">
        <v>0</v>
      </c>
    </row>
    <row r="247" spans="1:18" ht="15">
      <c r="A247" s="714" t="s">
        <v>1347</v>
      </c>
      <c r="B247" s="714" t="s">
        <v>1312</v>
      </c>
      <c r="C247" s="714" t="s">
        <v>1310</v>
      </c>
      <c r="D247" s="714">
        <v>9806234</v>
      </c>
      <c r="E247" s="714" t="s">
        <v>1798</v>
      </c>
      <c r="F247" s="711">
        <v>100674.56</v>
      </c>
      <c r="G247" s="711">
        <v>16945.28</v>
      </c>
      <c r="H247" s="711">
        <v>83729.279999999999</v>
      </c>
      <c r="I247" s="711"/>
      <c r="J247" s="711">
        <v>0</v>
      </c>
      <c r="K247" s="711">
        <v>0</v>
      </c>
      <c r="L247" s="711">
        <v>0</v>
      </c>
      <c r="M247" s="711">
        <v>0</v>
      </c>
      <c r="O247" s="711">
        <v>0</v>
      </c>
      <c r="P247" s="711">
        <v>0</v>
      </c>
      <c r="Q247" s="711">
        <v>0</v>
      </c>
      <c r="R247" s="732">
        <v>0</v>
      </c>
    </row>
    <row r="248" spans="1:18" ht="15">
      <c r="A248" s="714" t="s">
        <v>1347</v>
      </c>
      <c r="B248" s="714" t="s">
        <v>1312</v>
      </c>
      <c r="C248" s="714" t="s">
        <v>1310</v>
      </c>
      <c r="D248" s="714">
        <v>9806237</v>
      </c>
      <c r="E248" s="714" t="s">
        <v>1799</v>
      </c>
      <c r="F248" s="711">
        <v>18987.670000000002</v>
      </c>
      <c r="G248" s="711">
        <v>3195.85</v>
      </c>
      <c r="H248" s="711">
        <v>15791.82</v>
      </c>
      <c r="I248" s="711"/>
      <c r="J248" s="711">
        <v>0</v>
      </c>
      <c r="K248" s="711">
        <v>0</v>
      </c>
      <c r="L248" s="711">
        <v>0</v>
      </c>
      <c r="M248" s="711">
        <v>0</v>
      </c>
      <c r="O248" s="711">
        <v>0</v>
      </c>
      <c r="P248" s="711">
        <v>0</v>
      </c>
      <c r="Q248" s="711">
        <v>0</v>
      </c>
      <c r="R248" s="732">
        <v>0</v>
      </c>
    </row>
    <row r="249" spans="1:18" ht="15">
      <c r="A249" s="714" t="s">
        <v>1347</v>
      </c>
      <c r="B249" s="714" t="s">
        <v>1312</v>
      </c>
      <c r="C249" s="714" t="s">
        <v>1310</v>
      </c>
      <c r="D249" s="714">
        <v>9806238</v>
      </c>
      <c r="E249" s="714" t="s">
        <v>1800</v>
      </c>
      <c r="F249" s="711">
        <v>47003.76</v>
      </c>
      <c r="G249" s="711">
        <v>7911.96</v>
      </c>
      <c r="H249" s="711">
        <v>39091.799999999996</v>
      </c>
      <c r="I249" s="711"/>
      <c r="J249" s="711">
        <v>0</v>
      </c>
      <c r="K249" s="711">
        <v>0</v>
      </c>
      <c r="L249" s="711">
        <v>0</v>
      </c>
      <c r="M249" s="711">
        <v>0</v>
      </c>
      <c r="O249" s="711">
        <v>0</v>
      </c>
      <c r="P249" s="711">
        <v>0</v>
      </c>
      <c r="Q249" s="711">
        <v>0</v>
      </c>
      <c r="R249" s="732">
        <v>0</v>
      </c>
    </row>
    <row r="250" spans="1:18" ht="15">
      <c r="A250" s="714" t="s">
        <v>1347</v>
      </c>
      <c r="B250" s="714" t="s">
        <v>1312</v>
      </c>
      <c r="C250" s="714" t="s">
        <v>1310</v>
      </c>
      <c r="D250" s="714">
        <v>9806251</v>
      </c>
      <c r="E250" s="714" t="s">
        <v>1801</v>
      </c>
      <c r="F250" s="711">
        <v>65075.27</v>
      </c>
      <c r="G250" s="711">
        <v>2635.4</v>
      </c>
      <c r="H250" s="711">
        <v>62439.87</v>
      </c>
      <c r="I250" s="711"/>
      <c r="J250" s="711">
        <v>0</v>
      </c>
      <c r="K250" s="711">
        <v>0</v>
      </c>
      <c r="L250" s="711">
        <v>0</v>
      </c>
      <c r="M250" s="711">
        <v>0</v>
      </c>
      <c r="O250" s="711">
        <v>0</v>
      </c>
      <c r="P250" s="711">
        <v>0</v>
      </c>
      <c r="Q250" s="711">
        <v>0</v>
      </c>
      <c r="R250" s="732">
        <v>0</v>
      </c>
    </row>
    <row r="251" spans="1:18" ht="15">
      <c r="A251" s="714" t="s">
        <v>1347</v>
      </c>
      <c r="B251" s="714" t="s">
        <v>1312</v>
      </c>
      <c r="C251" s="714" t="s">
        <v>1310</v>
      </c>
      <c r="D251" s="714">
        <v>9906591</v>
      </c>
      <c r="E251" s="714" t="s">
        <v>1451</v>
      </c>
      <c r="F251" s="711">
        <v>253943.39</v>
      </c>
      <c r="G251" s="711">
        <v>145437.19999999998</v>
      </c>
      <c r="H251" s="711">
        <v>108506.18999999999</v>
      </c>
      <c r="I251" s="711"/>
      <c r="J251" s="711">
        <v>0</v>
      </c>
      <c r="K251" s="711">
        <v>0</v>
      </c>
      <c r="L251" s="711">
        <v>0</v>
      </c>
      <c r="M251" s="711">
        <v>0</v>
      </c>
      <c r="O251" s="711">
        <v>0</v>
      </c>
      <c r="P251" s="711">
        <v>0</v>
      </c>
      <c r="Q251" s="711">
        <v>0</v>
      </c>
      <c r="R251" s="732">
        <v>0</v>
      </c>
    </row>
    <row r="252" spans="1:18" ht="15">
      <c r="A252" s="714" t="s">
        <v>1347</v>
      </c>
      <c r="B252" s="714" t="s">
        <v>1312</v>
      </c>
      <c r="C252" s="714" t="s">
        <v>1310</v>
      </c>
      <c r="D252" s="714">
        <v>21105005</v>
      </c>
      <c r="E252" s="714" t="s">
        <v>1452</v>
      </c>
      <c r="F252" s="711">
        <v>34278.910000000003</v>
      </c>
      <c r="G252" s="711">
        <v>34070.65</v>
      </c>
      <c r="H252" s="711">
        <v>208.26000000000002</v>
      </c>
      <c r="I252" s="711"/>
      <c r="J252" s="711">
        <v>0</v>
      </c>
      <c r="K252" s="711">
        <v>0</v>
      </c>
      <c r="L252" s="711">
        <v>0</v>
      </c>
      <c r="M252" s="711">
        <v>0</v>
      </c>
      <c r="O252" s="711">
        <v>0</v>
      </c>
      <c r="P252" s="711">
        <v>0</v>
      </c>
      <c r="Q252" s="711">
        <v>0</v>
      </c>
      <c r="R252" s="732">
        <v>0</v>
      </c>
    </row>
    <row r="253" spans="1:18" ht="15">
      <c r="A253" s="714" t="s">
        <v>1347</v>
      </c>
      <c r="B253" s="714" t="s">
        <v>1312</v>
      </c>
      <c r="C253" s="714" t="s">
        <v>1310</v>
      </c>
      <c r="D253" s="714">
        <v>21205062</v>
      </c>
      <c r="E253" s="714" t="s">
        <v>1453</v>
      </c>
      <c r="F253" s="711">
        <v>71758.33</v>
      </c>
      <c r="G253" s="711">
        <v>58004.62</v>
      </c>
      <c r="H253" s="711">
        <v>13753.71</v>
      </c>
      <c r="I253" s="711"/>
      <c r="J253" s="711">
        <v>0</v>
      </c>
      <c r="K253" s="711">
        <v>0</v>
      </c>
      <c r="L253" s="711">
        <v>0</v>
      </c>
      <c r="M253" s="711">
        <v>0</v>
      </c>
      <c r="O253" s="711">
        <v>0</v>
      </c>
      <c r="P253" s="711">
        <v>0</v>
      </c>
      <c r="Q253" s="711">
        <v>0</v>
      </c>
      <c r="R253" s="732">
        <v>0</v>
      </c>
    </row>
    <row r="254" spans="1:18" ht="15">
      <c r="A254" s="714" t="s">
        <v>1347</v>
      </c>
      <c r="B254" s="714" t="s">
        <v>1312</v>
      </c>
      <c r="C254" s="714" t="s">
        <v>1310</v>
      </c>
      <c r="D254" s="714">
        <v>30405081</v>
      </c>
      <c r="E254" s="714" t="s">
        <v>1454</v>
      </c>
      <c r="F254" s="711">
        <v>24304.68</v>
      </c>
      <c r="G254" s="711">
        <v>24157.02</v>
      </c>
      <c r="H254" s="711">
        <v>147.66000000000003</v>
      </c>
      <c r="I254" s="711"/>
      <c r="J254" s="711">
        <v>0</v>
      </c>
      <c r="K254" s="711">
        <v>0</v>
      </c>
      <c r="L254" s="711">
        <v>0</v>
      </c>
      <c r="M254" s="711">
        <v>0</v>
      </c>
      <c r="O254" s="711">
        <v>0</v>
      </c>
      <c r="P254" s="711">
        <v>0</v>
      </c>
      <c r="Q254" s="711">
        <v>0</v>
      </c>
      <c r="R254" s="732">
        <v>0</v>
      </c>
    </row>
    <row r="255" spans="1:18" ht="15">
      <c r="A255" s="714" t="s">
        <v>1347</v>
      </c>
      <c r="B255" s="714" t="s">
        <v>1312</v>
      </c>
      <c r="C255" s="714" t="s">
        <v>1310</v>
      </c>
      <c r="D255" s="714">
        <v>40205146</v>
      </c>
      <c r="E255" s="714" t="s">
        <v>1455</v>
      </c>
      <c r="F255" s="711">
        <v>1717.46</v>
      </c>
      <c r="G255" s="711">
        <v>1354.3</v>
      </c>
      <c r="H255" s="711">
        <v>363.16</v>
      </c>
      <c r="I255" s="711"/>
      <c r="J255" s="711">
        <v>0</v>
      </c>
      <c r="K255" s="711">
        <v>0</v>
      </c>
      <c r="L255" s="711">
        <v>0</v>
      </c>
      <c r="M255" s="711">
        <v>0</v>
      </c>
      <c r="O255" s="711">
        <v>0</v>
      </c>
      <c r="P255" s="711">
        <v>0</v>
      </c>
      <c r="Q255" s="711">
        <v>0</v>
      </c>
      <c r="R255" s="732">
        <v>0</v>
      </c>
    </row>
    <row r="256" spans="1:18" ht="15">
      <c r="A256" s="714" t="s">
        <v>1347</v>
      </c>
      <c r="B256" s="714" t="s">
        <v>1312</v>
      </c>
      <c r="C256" s="714" t="s">
        <v>1310</v>
      </c>
      <c r="D256" s="714">
        <v>42405000</v>
      </c>
      <c r="E256" s="714" t="s">
        <v>1456</v>
      </c>
      <c r="F256" s="711">
        <v>1191.76</v>
      </c>
      <c r="G256" s="711">
        <v>629.75</v>
      </c>
      <c r="H256" s="711">
        <v>562.01</v>
      </c>
      <c r="I256" s="711"/>
      <c r="J256" s="711">
        <v>0</v>
      </c>
      <c r="K256" s="711">
        <v>0</v>
      </c>
      <c r="L256" s="711">
        <v>0</v>
      </c>
      <c r="M256" s="711">
        <v>0</v>
      </c>
      <c r="O256" s="711">
        <v>0</v>
      </c>
      <c r="P256" s="711">
        <v>0</v>
      </c>
      <c r="Q256" s="711">
        <v>0</v>
      </c>
      <c r="R256" s="732">
        <v>0</v>
      </c>
    </row>
    <row r="257" spans="1:18" ht="15">
      <c r="A257" s="714" t="s">
        <v>1347</v>
      </c>
      <c r="B257" s="714" t="s">
        <v>1312</v>
      </c>
      <c r="C257" s="714" t="s">
        <v>1310</v>
      </c>
      <c r="D257" s="714">
        <v>61005124</v>
      </c>
      <c r="E257" s="714" t="s">
        <v>1802</v>
      </c>
      <c r="F257" s="711">
        <v>45850.400000000001</v>
      </c>
      <c r="G257" s="711">
        <v>1856.82</v>
      </c>
      <c r="H257" s="711">
        <v>43993.58</v>
      </c>
      <c r="I257" s="711"/>
      <c r="J257" s="711">
        <v>0</v>
      </c>
      <c r="K257" s="711">
        <v>0</v>
      </c>
      <c r="L257" s="711">
        <v>0</v>
      </c>
      <c r="M257" s="711">
        <v>0</v>
      </c>
      <c r="O257" s="711">
        <v>0</v>
      </c>
      <c r="P257" s="711">
        <v>0</v>
      </c>
      <c r="Q257" s="711">
        <v>0</v>
      </c>
      <c r="R257" s="732">
        <v>0</v>
      </c>
    </row>
    <row r="258" spans="1:18" ht="15">
      <c r="A258" s="714" t="s">
        <v>1347</v>
      </c>
      <c r="B258" s="714" t="s">
        <v>1312</v>
      </c>
      <c r="C258" s="714" t="s">
        <v>1313</v>
      </c>
      <c r="D258" s="714">
        <v>2806669</v>
      </c>
      <c r="E258" s="714" t="s">
        <v>1410</v>
      </c>
      <c r="F258" s="711">
        <v>321995.58</v>
      </c>
      <c r="G258" s="711">
        <v>260484.47</v>
      </c>
      <c r="H258" s="711">
        <v>61511.11</v>
      </c>
      <c r="I258" s="711"/>
      <c r="J258" s="711">
        <v>0</v>
      </c>
      <c r="K258" s="711">
        <v>0</v>
      </c>
      <c r="L258" s="711">
        <v>0</v>
      </c>
      <c r="M258" s="711">
        <v>0</v>
      </c>
      <c r="O258" s="711">
        <v>0</v>
      </c>
      <c r="P258" s="711">
        <v>0</v>
      </c>
      <c r="Q258" s="711">
        <v>0</v>
      </c>
      <c r="R258" s="732">
        <v>0</v>
      </c>
    </row>
    <row r="259" spans="1:18" ht="15">
      <c r="A259" s="714" t="s">
        <v>1347</v>
      </c>
      <c r="B259" s="714" t="s">
        <v>1312</v>
      </c>
      <c r="C259" s="714" t="s">
        <v>1313</v>
      </c>
      <c r="D259" s="714">
        <v>2806698</v>
      </c>
      <c r="E259" s="714" t="s">
        <v>1411</v>
      </c>
      <c r="F259" s="711">
        <v>1007988.2100000001</v>
      </c>
      <c r="G259" s="711">
        <v>563672.80999999994</v>
      </c>
      <c r="H259" s="711">
        <v>444315.39999999997</v>
      </c>
      <c r="I259" s="711"/>
      <c r="J259" s="711">
        <v>0</v>
      </c>
      <c r="K259" s="711">
        <v>0</v>
      </c>
      <c r="L259" s="711">
        <v>0</v>
      </c>
      <c r="M259" s="711">
        <v>0</v>
      </c>
      <c r="O259" s="711">
        <v>0</v>
      </c>
      <c r="P259" s="711">
        <v>0</v>
      </c>
      <c r="Q259" s="711">
        <v>0</v>
      </c>
      <c r="R259" s="732">
        <v>0</v>
      </c>
    </row>
    <row r="260" spans="1:18" ht="15">
      <c r="A260" s="714" t="s">
        <v>1347</v>
      </c>
      <c r="B260" s="714" t="s">
        <v>1312</v>
      </c>
      <c r="C260" s="714" t="s">
        <v>1313</v>
      </c>
      <c r="D260" s="714">
        <v>2806731</v>
      </c>
      <c r="E260" s="714" t="s">
        <v>1412</v>
      </c>
      <c r="F260" s="711">
        <v>799146.73</v>
      </c>
      <c r="G260" s="711">
        <v>446882.31</v>
      </c>
      <c r="H260" s="711">
        <v>352264.42000000004</v>
      </c>
      <c r="I260" s="711"/>
      <c r="J260" s="711">
        <v>0</v>
      </c>
      <c r="K260" s="711">
        <v>0</v>
      </c>
      <c r="L260" s="711">
        <v>0</v>
      </c>
      <c r="M260" s="711">
        <v>0</v>
      </c>
      <c r="O260" s="711">
        <v>0</v>
      </c>
      <c r="P260" s="711">
        <v>0</v>
      </c>
      <c r="Q260" s="711">
        <v>0</v>
      </c>
      <c r="R260" s="732">
        <v>0</v>
      </c>
    </row>
    <row r="261" spans="1:18" ht="15">
      <c r="A261" s="714" t="s">
        <v>1347</v>
      </c>
      <c r="B261" s="714" t="s">
        <v>1312</v>
      </c>
      <c r="C261" s="714" t="s">
        <v>1313</v>
      </c>
      <c r="D261" s="714">
        <v>2806845</v>
      </c>
      <c r="E261" s="714" t="s">
        <v>1413</v>
      </c>
      <c r="F261" s="711">
        <v>16561.699999999997</v>
      </c>
      <c r="G261" s="711">
        <v>6774.11</v>
      </c>
      <c r="H261" s="711">
        <v>9787.5899999999983</v>
      </c>
      <c r="I261" s="711"/>
      <c r="J261" s="711">
        <v>0</v>
      </c>
      <c r="K261" s="711">
        <v>0</v>
      </c>
      <c r="L261" s="711">
        <v>0</v>
      </c>
      <c r="M261" s="711">
        <v>0</v>
      </c>
      <c r="O261" s="711">
        <v>0</v>
      </c>
      <c r="P261" s="711">
        <v>0</v>
      </c>
      <c r="Q261" s="711">
        <v>0</v>
      </c>
      <c r="R261" s="732">
        <v>0</v>
      </c>
    </row>
    <row r="262" spans="1:18" ht="15">
      <c r="A262" s="714" t="s">
        <v>1347</v>
      </c>
      <c r="B262" s="714" t="s">
        <v>1312</v>
      </c>
      <c r="C262" s="714" t="s">
        <v>1313</v>
      </c>
      <c r="D262" s="714">
        <v>2806893</v>
      </c>
      <c r="E262" s="714" t="s">
        <v>1414</v>
      </c>
      <c r="F262" s="711">
        <v>357611.92</v>
      </c>
      <c r="G262" s="711">
        <v>146270.74</v>
      </c>
      <c r="H262" s="711">
        <v>211341.18</v>
      </c>
      <c r="I262" s="711"/>
      <c r="J262" s="711">
        <v>0</v>
      </c>
      <c r="K262" s="711">
        <v>0</v>
      </c>
      <c r="L262" s="711">
        <v>0</v>
      </c>
      <c r="M262" s="711">
        <v>0</v>
      </c>
      <c r="O262" s="711">
        <v>0</v>
      </c>
      <c r="P262" s="711">
        <v>0</v>
      </c>
      <c r="Q262" s="711">
        <v>0</v>
      </c>
      <c r="R262" s="732">
        <v>0</v>
      </c>
    </row>
    <row r="263" spans="1:18" ht="15">
      <c r="A263" s="714" t="s">
        <v>1347</v>
      </c>
      <c r="B263" s="714" t="s">
        <v>1312</v>
      </c>
      <c r="C263" s="714" t="s">
        <v>1313</v>
      </c>
      <c r="D263" s="714">
        <v>2806936</v>
      </c>
      <c r="E263" s="714" t="s">
        <v>1803</v>
      </c>
      <c r="F263" s="711">
        <v>178449.02</v>
      </c>
      <c r="G263" s="711">
        <v>33025.79</v>
      </c>
      <c r="H263" s="711">
        <v>145423.23000000001</v>
      </c>
      <c r="I263" s="711"/>
      <c r="J263" s="711">
        <v>0</v>
      </c>
      <c r="K263" s="711">
        <v>0</v>
      </c>
      <c r="L263" s="711">
        <v>0</v>
      </c>
      <c r="M263" s="711">
        <v>0</v>
      </c>
      <c r="O263" s="711">
        <v>0</v>
      </c>
      <c r="P263" s="711">
        <v>0</v>
      </c>
      <c r="Q263" s="711">
        <v>0</v>
      </c>
      <c r="R263" s="732">
        <v>0</v>
      </c>
    </row>
    <row r="264" spans="1:18" ht="15">
      <c r="A264" s="714" t="s">
        <v>1347</v>
      </c>
      <c r="B264" s="714" t="s">
        <v>1312</v>
      </c>
      <c r="C264" s="714" t="s">
        <v>1313</v>
      </c>
      <c r="D264" s="714">
        <v>2806983</v>
      </c>
      <c r="E264" s="714" t="s">
        <v>1804</v>
      </c>
      <c r="F264" s="711">
        <v>1025622.0000000001</v>
      </c>
      <c r="G264" s="711">
        <v>189815.97</v>
      </c>
      <c r="H264" s="711">
        <v>835806.03000000014</v>
      </c>
      <c r="I264" s="711"/>
      <c r="J264" s="711">
        <v>0</v>
      </c>
      <c r="K264" s="711">
        <v>0</v>
      </c>
      <c r="L264" s="711">
        <v>0</v>
      </c>
      <c r="M264" s="711">
        <v>0</v>
      </c>
      <c r="O264" s="711">
        <v>0</v>
      </c>
      <c r="P264" s="711">
        <v>0</v>
      </c>
      <c r="Q264" s="711">
        <v>0</v>
      </c>
      <c r="R264" s="732">
        <v>0</v>
      </c>
    </row>
    <row r="265" spans="1:18" ht="15">
      <c r="A265" s="714" t="s">
        <v>1347</v>
      </c>
      <c r="B265" s="714" t="s">
        <v>1312</v>
      </c>
      <c r="C265" s="714" t="s">
        <v>1313</v>
      </c>
      <c r="D265" s="714">
        <v>2806996</v>
      </c>
      <c r="E265" s="714" t="s">
        <v>1805</v>
      </c>
      <c r="F265" s="711">
        <v>273453.18999999994</v>
      </c>
      <c r="G265" s="711">
        <v>50615</v>
      </c>
      <c r="H265" s="711">
        <v>222838.19000000003</v>
      </c>
      <c r="I265" s="711"/>
      <c r="J265" s="711">
        <v>0</v>
      </c>
      <c r="K265" s="711">
        <v>0</v>
      </c>
      <c r="L265" s="711">
        <v>0</v>
      </c>
      <c r="M265" s="711">
        <v>0</v>
      </c>
      <c r="O265" s="711">
        <v>0</v>
      </c>
      <c r="P265" s="711">
        <v>0</v>
      </c>
      <c r="Q265" s="711">
        <v>0</v>
      </c>
      <c r="R265" s="732">
        <v>0</v>
      </c>
    </row>
    <row r="266" spans="1:18" ht="15">
      <c r="A266" s="714" t="s">
        <v>1347</v>
      </c>
      <c r="B266" s="714" t="s">
        <v>1312</v>
      </c>
      <c r="C266" s="714" t="s">
        <v>1313</v>
      </c>
      <c r="D266" s="714">
        <v>2806997</v>
      </c>
      <c r="E266" s="714" t="s">
        <v>1806</v>
      </c>
      <c r="F266" s="711">
        <v>264476.79999999999</v>
      </c>
      <c r="G266" s="711">
        <v>48948.07</v>
      </c>
      <c r="H266" s="711">
        <v>215528.73</v>
      </c>
      <c r="I266" s="711"/>
      <c r="J266" s="711">
        <v>0</v>
      </c>
      <c r="K266" s="711">
        <v>0</v>
      </c>
      <c r="L266" s="711">
        <v>0</v>
      </c>
      <c r="M266" s="711">
        <v>0</v>
      </c>
      <c r="O266" s="711">
        <v>0</v>
      </c>
      <c r="P266" s="711">
        <v>0</v>
      </c>
      <c r="Q266" s="711">
        <v>0</v>
      </c>
      <c r="R266" s="732">
        <v>0</v>
      </c>
    </row>
    <row r="267" spans="1:18" ht="15">
      <c r="A267" s="714" t="s">
        <v>1347</v>
      </c>
      <c r="B267" s="714" t="s">
        <v>1332</v>
      </c>
      <c r="C267" s="714" t="s">
        <v>1307</v>
      </c>
      <c r="D267" s="714">
        <v>9906329</v>
      </c>
      <c r="E267" s="714" t="s">
        <v>1457</v>
      </c>
      <c r="F267" s="711">
        <v>53861.57</v>
      </c>
      <c r="G267" s="711">
        <v>49749.15</v>
      </c>
      <c r="H267" s="711">
        <v>4112.42</v>
      </c>
      <c r="I267" s="711"/>
      <c r="J267" s="711">
        <f>F267</f>
        <v>53861.57</v>
      </c>
      <c r="K267" s="711">
        <f>F267*($J$3*$K$7)</f>
        <v>26677.55542112227</v>
      </c>
      <c r="L267" s="711">
        <f t="shared" ref="L267:L270" si="52">F267*($J$3*$L$7)</f>
        <v>10505.779428377731</v>
      </c>
      <c r="M267" s="756">
        <f>F267*($M$3)</f>
        <v>16678.235150500001</v>
      </c>
      <c r="O267" s="711">
        <f>G267</f>
        <v>49749.15</v>
      </c>
      <c r="P267" s="711">
        <f>G267*($J$3*$K$7)</f>
        <v>24640.679918515649</v>
      </c>
      <c r="Q267" s="711">
        <f>G267*($J$3*$L$7)</f>
        <v>9703.6457839843515</v>
      </c>
      <c r="R267" s="756">
        <f>G267*($M$3)</f>
        <v>15404.824297499999</v>
      </c>
    </row>
    <row r="268" spans="1:18" ht="15">
      <c r="A268" s="714" t="s">
        <v>1347</v>
      </c>
      <c r="B268" s="714" t="s">
        <v>1332</v>
      </c>
      <c r="C268" s="714" t="s">
        <v>1307</v>
      </c>
      <c r="D268" s="714">
        <v>9906515</v>
      </c>
      <c r="E268" s="714" t="s">
        <v>1458</v>
      </c>
      <c r="F268" s="711">
        <v>316727.01</v>
      </c>
      <c r="G268" s="711">
        <v>208036.71</v>
      </c>
      <c r="H268" s="711">
        <v>108690.3</v>
      </c>
      <c r="I268" s="711"/>
      <c r="J268" s="711">
        <f t="shared" ref="J268:J272" si="53">F268</f>
        <v>316727.01</v>
      </c>
      <c r="K268" s="711">
        <f t="shared" ref="K268:K270" si="54">F268*($J$3*$K$7)</f>
        <v>156874.41644648212</v>
      </c>
      <c r="L268" s="711">
        <f t="shared" si="52"/>
        <v>61778.074907017901</v>
      </c>
      <c r="M268" s="756">
        <f t="shared" ref="M268:M270" si="55">F268*($M$3)</f>
        <v>98074.518646500001</v>
      </c>
      <c r="O268" s="711">
        <f t="shared" ref="O268:O272" si="56">G268</f>
        <v>208036.71</v>
      </c>
      <c r="P268" s="711">
        <f t="shared" ref="P268:P270" si="57">G268*($J$3*$K$7)</f>
        <v>103040.27269633881</v>
      </c>
      <c r="Q268" s="711">
        <f t="shared" ref="Q268:Q270" si="58">G268*($J$3*$L$7)</f>
        <v>40577.87005216119</v>
      </c>
      <c r="R268" s="756">
        <f t="shared" ref="R268:R270" si="59">G268*($M$3)</f>
        <v>64418.567251499997</v>
      </c>
    </row>
    <row r="269" spans="1:18" ht="15">
      <c r="A269" s="714" t="s">
        <v>1347</v>
      </c>
      <c r="B269" s="714" t="s">
        <v>1332</v>
      </c>
      <c r="C269" s="714" t="s">
        <v>1307</v>
      </c>
      <c r="D269" s="714">
        <v>9906517</v>
      </c>
      <c r="E269" s="714" t="s">
        <v>1459</v>
      </c>
      <c r="F269" s="711">
        <v>14265.98</v>
      </c>
      <c r="G269" s="711">
        <v>10280.9</v>
      </c>
      <c r="H269" s="711">
        <v>3985.08</v>
      </c>
      <c r="I269" s="711"/>
      <c r="J269" s="711">
        <f t="shared" si="53"/>
        <v>14265.98</v>
      </c>
      <c r="K269" s="711">
        <f t="shared" si="54"/>
        <v>7065.9186519557798</v>
      </c>
      <c r="L269" s="711">
        <f t="shared" si="52"/>
        <v>2782.6006410442201</v>
      </c>
      <c r="M269" s="756">
        <f t="shared" si="55"/>
        <v>4417.4607069999993</v>
      </c>
      <c r="O269" s="711">
        <f t="shared" si="56"/>
        <v>10280.9</v>
      </c>
      <c r="P269" s="711">
        <f t="shared" si="57"/>
        <v>5092.1144617398995</v>
      </c>
      <c r="Q269" s="711">
        <f t="shared" si="58"/>
        <v>2005.3048532601001</v>
      </c>
      <c r="R269" s="756">
        <f t="shared" si="59"/>
        <v>3183.4806849999995</v>
      </c>
    </row>
    <row r="270" spans="1:18" ht="15">
      <c r="A270" s="714" t="s">
        <v>1347</v>
      </c>
      <c r="B270" s="714" t="s">
        <v>1332</v>
      </c>
      <c r="C270" s="714" t="s">
        <v>1307</v>
      </c>
      <c r="D270" s="714">
        <v>9906835</v>
      </c>
      <c r="E270" s="714" t="s">
        <v>1460</v>
      </c>
      <c r="F270" s="711">
        <v>40203.86</v>
      </c>
      <c r="G270" s="711">
        <v>16321.23</v>
      </c>
      <c r="H270" s="711">
        <v>23882.63</v>
      </c>
      <c r="I270" s="711"/>
      <c r="J270" s="711">
        <f t="shared" si="53"/>
        <v>40203.86</v>
      </c>
      <c r="K270" s="711">
        <f t="shared" si="54"/>
        <v>19912.911994452461</v>
      </c>
      <c r="L270" s="711">
        <f t="shared" si="52"/>
        <v>7841.8227565475408</v>
      </c>
      <c r="M270" s="756">
        <f t="shared" si="55"/>
        <v>12449.125248999999</v>
      </c>
      <c r="O270" s="711">
        <f t="shared" si="56"/>
        <v>16321.23</v>
      </c>
      <c r="P270" s="711">
        <f t="shared" si="57"/>
        <v>8083.8809166885294</v>
      </c>
      <c r="Q270" s="711">
        <f t="shared" si="58"/>
        <v>3183.4802138114701</v>
      </c>
      <c r="R270" s="756">
        <f t="shared" si="59"/>
        <v>5053.8688694999992</v>
      </c>
    </row>
    <row r="271" spans="1:18" ht="15">
      <c r="A271" s="714" t="s">
        <v>1347</v>
      </c>
      <c r="B271" s="714" t="s">
        <v>1332</v>
      </c>
      <c r="C271" s="714" t="s">
        <v>1340</v>
      </c>
      <c r="D271" s="714">
        <v>6805232</v>
      </c>
      <c r="E271" s="714" t="s">
        <v>1807</v>
      </c>
      <c r="F271" s="711">
        <v>288261.03999999998</v>
      </c>
      <c r="G271" s="711">
        <v>44515.37</v>
      </c>
      <c r="H271" s="711">
        <v>243745.67</v>
      </c>
      <c r="I271" s="711"/>
      <c r="J271" s="711">
        <f>F271</f>
        <v>288261.03999999998</v>
      </c>
      <c r="K271" s="711">
        <v>0</v>
      </c>
      <c r="L271" s="711">
        <v>0</v>
      </c>
      <c r="M271" s="711">
        <f>F271</f>
        <v>288261.03999999998</v>
      </c>
      <c r="O271" s="711">
        <f t="shared" si="56"/>
        <v>44515.37</v>
      </c>
      <c r="P271" s="711"/>
      <c r="Q271" s="711"/>
      <c r="R271" s="732">
        <f>G271</f>
        <v>44515.37</v>
      </c>
    </row>
    <row r="272" spans="1:18" ht="15">
      <c r="A272" s="714" t="s">
        <v>1347</v>
      </c>
      <c r="B272" s="714" t="s">
        <v>1332</v>
      </c>
      <c r="C272" s="714" t="s">
        <v>1340</v>
      </c>
      <c r="D272" s="714">
        <v>6805237</v>
      </c>
      <c r="E272" s="714" t="s">
        <v>1808</v>
      </c>
      <c r="F272" s="711">
        <v>78005.179999999993</v>
      </c>
      <c r="G272" s="711">
        <v>2966.6400000000003</v>
      </c>
      <c r="H272" s="711">
        <v>75038.539999999994</v>
      </c>
      <c r="I272" s="711"/>
      <c r="J272" s="711">
        <f t="shared" si="53"/>
        <v>78005.179999999993</v>
      </c>
      <c r="K272" s="711">
        <v>0</v>
      </c>
      <c r="L272" s="711">
        <v>0</v>
      </c>
      <c r="M272" s="711">
        <f>F272</f>
        <v>78005.179999999993</v>
      </c>
      <c r="O272" s="711">
        <f t="shared" si="56"/>
        <v>2966.6400000000003</v>
      </c>
      <c r="P272" s="711"/>
      <c r="Q272" s="711"/>
      <c r="R272" s="732">
        <f>G272</f>
        <v>2966.6400000000003</v>
      </c>
    </row>
    <row r="273" spans="1:19" ht="15">
      <c r="A273" s="724" t="s">
        <v>1461</v>
      </c>
      <c r="B273" s="724"/>
      <c r="C273" s="724"/>
      <c r="D273" s="724"/>
      <c r="E273" s="724"/>
      <c r="F273" s="725">
        <f>SUM(F47:F272)</f>
        <v>152588027.08000016</v>
      </c>
      <c r="G273" s="725">
        <f t="shared" ref="G273:H273" si="60">SUM(G47:G272)</f>
        <v>86421753.570000008</v>
      </c>
      <c r="H273" s="725">
        <f t="shared" si="60"/>
        <v>66166273.51000002</v>
      </c>
      <c r="I273" s="711"/>
      <c r="J273" s="725">
        <f>SUM(J47:J272)</f>
        <v>38030648.04620079</v>
      </c>
      <c r="K273" s="725">
        <f>SUM(K47:K272)</f>
        <v>18794408.952679176</v>
      </c>
      <c r="L273" s="725">
        <f>SUM(L47:L272)</f>
        <v>7368384.9101206297</v>
      </c>
      <c r="M273" s="725">
        <f t="shared" ref="M273" si="61">SUM(M47:M272)</f>
        <v>11867854.183400996</v>
      </c>
      <c r="O273" s="725">
        <f>SUM(O47:O272)</f>
        <v>22458903.750711195</v>
      </c>
      <c r="P273" s="725">
        <f t="shared" ref="P273:R273" si="62">SUM(P47:P272)</f>
        <v>11171239.727153793</v>
      </c>
      <c r="Q273" s="725">
        <f t="shared" si="62"/>
        <v>4392831.8968579108</v>
      </c>
      <c r="R273" s="725">
        <f t="shared" si="62"/>
        <v>6894832.1266995026</v>
      </c>
    </row>
    <row r="274" spans="1:19" ht="15">
      <c r="A274" s="726" t="s">
        <v>1346</v>
      </c>
      <c r="B274" s="726"/>
      <c r="C274" s="726"/>
      <c r="D274" s="726"/>
      <c r="E274" s="726"/>
      <c r="F274" s="727"/>
      <c r="G274" s="727"/>
      <c r="H274" s="727"/>
      <c r="I274" s="727"/>
      <c r="J274" s="727"/>
      <c r="K274" s="728"/>
      <c r="L274" s="727"/>
      <c r="M274" s="727"/>
      <c r="N274" s="739"/>
      <c r="O274" s="727"/>
      <c r="P274" s="727"/>
      <c r="Q274" s="727"/>
    </row>
    <row r="275" spans="1:19" ht="15">
      <c r="A275" s="726"/>
      <c r="B275" s="726"/>
      <c r="C275" s="726"/>
      <c r="D275" s="726"/>
      <c r="E275" s="726"/>
      <c r="F275" s="727"/>
      <c r="G275" s="727"/>
      <c r="H275" s="727"/>
      <c r="I275" s="711"/>
      <c r="J275" s="727"/>
      <c r="K275" s="729"/>
      <c r="L275" s="727"/>
      <c r="M275" s="727"/>
      <c r="O275" s="727"/>
      <c r="P275" s="727"/>
      <c r="Q275" s="727"/>
    </row>
    <row r="276" spans="1:19" ht="15">
      <c r="A276" s="726"/>
      <c r="B276" s="726"/>
      <c r="C276" s="726"/>
      <c r="D276" s="726"/>
      <c r="E276" s="726"/>
      <c r="F276" s="711"/>
      <c r="G276" s="727"/>
      <c r="H276" s="727"/>
      <c r="I276" s="711"/>
      <c r="J276" s="727"/>
      <c r="K276" s="727"/>
      <c r="L276" s="727"/>
      <c r="M276" s="727"/>
      <c r="O276" s="727"/>
      <c r="P276" s="727"/>
      <c r="Q276" s="727"/>
    </row>
    <row r="277" spans="1:19" ht="15">
      <c r="A277" s="714" t="s">
        <v>1809</v>
      </c>
      <c r="B277" s="714" t="s">
        <v>1306</v>
      </c>
      <c r="C277" s="714" t="s">
        <v>1307</v>
      </c>
      <c r="D277" s="714">
        <v>9906823</v>
      </c>
      <c r="E277" s="714" t="s">
        <v>1810</v>
      </c>
      <c r="F277" s="730">
        <v>1769277.93</v>
      </c>
      <c r="G277" s="730">
        <v>664425.47000000009</v>
      </c>
      <c r="H277" s="730">
        <v>1104852.4600000002</v>
      </c>
      <c r="I277" s="711"/>
      <c r="J277" s="711">
        <f>F277*($J$2+$M$2)</f>
        <v>528801.78771839989</v>
      </c>
      <c r="K277" s="711">
        <f>F277*$J$2*$K$7</f>
        <v>262864.48262865719</v>
      </c>
      <c r="L277" s="711">
        <f>F277*$J$2*$L$7</f>
        <v>103517.59111574276</v>
      </c>
      <c r="M277" s="711">
        <f>F277*$M$2</f>
        <v>162419.71397400001</v>
      </c>
      <c r="O277" s="711">
        <f>G277*($J$2+$M$2)</f>
        <v>198583.48447360002</v>
      </c>
      <c r="P277" s="711">
        <f>G277*$J$2*$K$7</f>
        <v>98714.766320999901</v>
      </c>
      <c r="Q277" s="711">
        <f>G277*$J$2*$L$7</f>
        <v>38874.460006600108</v>
      </c>
      <c r="R277" s="711">
        <f>G277*$M$2</f>
        <v>60994.258146000015</v>
      </c>
      <c r="S277" s="723"/>
    </row>
    <row r="278" spans="1:19" ht="15">
      <c r="A278" s="714" t="s">
        <v>1462</v>
      </c>
      <c r="B278" s="714" t="s">
        <v>1306</v>
      </c>
      <c r="C278" s="714" t="s">
        <v>1307</v>
      </c>
      <c r="D278" s="714">
        <v>9906890</v>
      </c>
      <c r="E278" s="714" t="s">
        <v>1811</v>
      </c>
      <c r="F278" s="730">
        <v>192184.16999999998</v>
      </c>
      <c r="G278" s="730">
        <v>94721.029999999984</v>
      </c>
      <c r="H278" s="730">
        <v>97463.14</v>
      </c>
      <c r="I278" s="711"/>
      <c r="J278" s="711">
        <f t="shared" ref="J278:J286" si="63">F278*($J$2+$M$2)</f>
        <v>57440.00472959999</v>
      </c>
      <c r="K278" s="711">
        <f t="shared" ref="K278:K286" si="64">F278*$J$2*$K$7</f>
        <v>28553.11286026605</v>
      </c>
      <c r="L278" s="711">
        <f t="shared" ref="L278:L286" si="65">F278*$J$2*$L$7</f>
        <v>11244.385063333943</v>
      </c>
      <c r="M278" s="711">
        <f t="shared" ref="M278:M286" si="66">F278*$M$2</f>
        <v>17642.506806000001</v>
      </c>
      <c r="O278" s="711">
        <f t="shared" ref="O278:O286" si="67">G278*($J$2+$M$2)</f>
        <v>28310.221446399992</v>
      </c>
      <c r="P278" s="711">
        <f t="shared" ref="P278:P286" si="68">G278*$J$2*$K$7</f>
        <v>14072.856572061299</v>
      </c>
      <c r="Q278" s="711">
        <f t="shared" ref="Q278:Q286" si="69">G278*$J$2*$L$7</f>
        <v>5541.9743203386943</v>
      </c>
      <c r="R278" s="711">
        <f t="shared" ref="R278:R286" si="70">G278*$M$2</f>
        <v>8695.3905539999996</v>
      </c>
      <c r="S278" s="723"/>
    </row>
    <row r="279" spans="1:19" ht="15">
      <c r="A279" s="714" t="s">
        <v>1462</v>
      </c>
      <c r="B279" s="714" t="s">
        <v>1306</v>
      </c>
      <c r="C279" s="714" t="s">
        <v>1307</v>
      </c>
      <c r="D279" s="714">
        <v>9906921</v>
      </c>
      <c r="E279" s="714" t="s">
        <v>1812</v>
      </c>
      <c r="F279" s="730">
        <v>521160.15</v>
      </c>
      <c r="G279" s="730">
        <v>38352.57</v>
      </c>
      <c r="H279" s="730">
        <v>482807.58</v>
      </c>
      <c r="I279" s="711"/>
      <c r="J279" s="711">
        <f t="shared" si="63"/>
        <v>155764.34563199998</v>
      </c>
      <c r="K279" s="711">
        <f t="shared" si="64"/>
        <v>77429.606097230513</v>
      </c>
      <c r="L279" s="711">
        <f t="shared" si="65"/>
        <v>30492.237764769481</v>
      </c>
      <c r="M279" s="711">
        <f t="shared" si="66"/>
        <v>47842.501770000003</v>
      </c>
      <c r="O279" s="711">
        <f t="shared" si="67"/>
        <v>11462.816121599999</v>
      </c>
      <c r="P279" s="711">
        <f t="shared" si="68"/>
        <v>5698.1033333351761</v>
      </c>
      <c r="Q279" s="711">
        <f t="shared" si="69"/>
        <v>2243.9468622648242</v>
      </c>
      <c r="R279" s="711">
        <f t="shared" si="70"/>
        <v>3520.765926</v>
      </c>
      <c r="S279" s="723"/>
    </row>
    <row r="280" spans="1:19" ht="15">
      <c r="A280" s="714" t="s">
        <v>1462</v>
      </c>
      <c r="B280" s="714" t="s">
        <v>1306</v>
      </c>
      <c r="C280" s="714" t="s">
        <v>1307</v>
      </c>
      <c r="D280" s="714">
        <v>9906952</v>
      </c>
      <c r="E280" s="714" t="s">
        <v>1813</v>
      </c>
      <c r="F280" s="730">
        <v>78761.25</v>
      </c>
      <c r="G280" s="730">
        <v>5846.49</v>
      </c>
      <c r="H280" s="730">
        <v>72914.760000000009</v>
      </c>
      <c r="I280" s="711"/>
      <c r="J280" s="711">
        <f t="shared" si="63"/>
        <v>23540.162399999997</v>
      </c>
      <c r="K280" s="711">
        <f t="shared" si="64"/>
        <v>11701.686253688998</v>
      </c>
      <c r="L280" s="711">
        <f t="shared" si="65"/>
        <v>4608.1933963109996</v>
      </c>
      <c r="M280" s="711">
        <f t="shared" si="66"/>
        <v>7230.2827500000003</v>
      </c>
      <c r="O280" s="711">
        <f t="shared" si="67"/>
        <v>1747.3989311999999</v>
      </c>
      <c r="P280" s="711">
        <f t="shared" si="68"/>
        <v>868.62247190503194</v>
      </c>
      <c r="Q280" s="711">
        <f t="shared" si="69"/>
        <v>342.06867729496798</v>
      </c>
      <c r="R280" s="711">
        <f t="shared" si="70"/>
        <v>536.70778200000007</v>
      </c>
      <c r="S280" s="723"/>
    </row>
    <row r="281" spans="1:19" ht="15">
      <c r="A281" s="714" t="s">
        <v>1462</v>
      </c>
      <c r="B281" s="714" t="s">
        <v>1306</v>
      </c>
      <c r="C281" s="714" t="s">
        <v>1307</v>
      </c>
      <c r="D281" s="714">
        <v>9906986</v>
      </c>
      <c r="E281" s="714" t="s">
        <v>1814</v>
      </c>
      <c r="F281" s="730">
        <v>2141471.62</v>
      </c>
      <c r="G281" s="730">
        <v>1055723.44</v>
      </c>
      <c r="H281" s="730">
        <v>1085748.1800000002</v>
      </c>
      <c r="I281" s="711"/>
      <c r="J281" s="711">
        <f t="shared" si="63"/>
        <v>640043.03778559994</v>
      </c>
      <c r="K281" s="711">
        <f t="shared" si="64"/>
        <v>318161.9009147152</v>
      </c>
      <c r="L281" s="711">
        <f t="shared" si="65"/>
        <v>125294.04215488478</v>
      </c>
      <c r="M281" s="711">
        <f t="shared" si="66"/>
        <v>196587.09471600002</v>
      </c>
      <c r="O281" s="711">
        <f t="shared" si="67"/>
        <v>315534.62174719997</v>
      </c>
      <c r="P281" s="711">
        <f t="shared" si="68"/>
        <v>156850.53837445777</v>
      </c>
      <c r="Q281" s="711">
        <f t="shared" si="69"/>
        <v>61768.671580742201</v>
      </c>
      <c r="R281" s="711">
        <f t="shared" si="70"/>
        <v>96915.411791999999</v>
      </c>
      <c r="S281" s="723"/>
    </row>
    <row r="282" spans="1:19" ht="15">
      <c r="A282" s="714" t="s">
        <v>1462</v>
      </c>
      <c r="B282" s="714" t="s">
        <v>1306</v>
      </c>
      <c r="C282" s="714" t="s">
        <v>1307</v>
      </c>
      <c r="D282" s="714">
        <v>9907002</v>
      </c>
      <c r="E282" s="714" t="s">
        <v>1815</v>
      </c>
      <c r="F282" s="730">
        <v>170648.63</v>
      </c>
      <c r="G282" s="730">
        <v>84130.849999999991</v>
      </c>
      <c r="H282" s="730">
        <v>86517.78</v>
      </c>
      <c r="I282" s="711"/>
      <c r="J282" s="711">
        <f t="shared" si="63"/>
        <v>51003.462534399994</v>
      </c>
      <c r="K282" s="711">
        <f t="shared" si="64"/>
        <v>25353.542863804985</v>
      </c>
      <c r="L282" s="711">
        <f t="shared" si="65"/>
        <v>9984.3754365950172</v>
      </c>
      <c r="M282" s="711">
        <f t="shared" si="66"/>
        <v>15665.544234000001</v>
      </c>
      <c r="O282" s="711">
        <f t="shared" si="67"/>
        <v>25145.028447999997</v>
      </c>
      <c r="P282" s="711">
        <f t="shared" si="68"/>
        <v>12499.456407258278</v>
      </c>
      <c r="Q282" s="711">
        <f t="shared" si="69"/>
        <v>4922.3600107417196</v>
      </c>
      <c r="R282" s="711">
        <f t="shared" si="70"/>
        <v>7723.2120299999997</v>
      </c>
      <c r="S282" s="723"/>
    </row>
    <row r="283" spans="1:19" ht="15">
      <c r="A283" s="714" t="s">
        <v>1462</v>
      </c>
      <c r="B283" s="714" t="s">
        <v>1306</v>
      </c>
      <c r="C283" s="714" t="s">
        <v>1307</v>
      </c>
      <c r="D283" s="714">
        <v>9907107</v>
      </c>
      <c r="E283" s="714" t="s">
        <v>1816</v>
      </c>
      <c r="F283" s="730">
        <v>67003.08</v>
      </c>
      <c r="G283" s="730">
        <v>33037.730000000003</v>
      </c>
      <c r="H283" s="730">
        <v>33965.35</v>
      </c>
      <c r="I283" s="711"/>
      <c r="J283" s="711">
        <f t="shared" si="63"/>
        <v>20025.880550399997</v>
      </c>
      <c r="K283" s="711">
        <f t="shared" si="64"/>
        <v>9954.7559261797433</v>
      </c>
      <c r="L283" s="711">
        <f t="shared" si="65"/>
        <v>3920.241880220256</v>
      </c>
      <c r="M283" s="711">
        <f t="shared" si="66"/>
        <v>6150.8827440000005</v>
      </c>
      <c r="O283" s="711">
        <f t="shared" si="67"/>
        <v>9874.3167424000003</v>
      </c>
      <c r="P283" s="711">
        <f t="shared" si="68"/>
        <v>4908.4689615018642</v>
      </c>
      <c r="Q283" s="711">
        <f t="shared" si="69"/>
        <v>1932.9841668981362</v>
      </c>
      <c r="R283" s="711">
        <f t="shared" si="70"/>
        <v>3032.8636140000003</v>
      </c>
      <c r="S283" s="723"/>
    </row>
    <row r="284" spans="1:19" ht="15">
      <c r="A284" s="714" t="s">
        <v>1462</v>
      </c>
      <c r="B284" s="714" t="s">
        <v>1306</v>
      </c>
      <c r="C284" s="714" t="s">
        <v>1307</v>
      </c>
      <c r="D284" s="714">
        <v>9907125</v>
      </c>
      <c r="E284" s="714" t="s">
        <v>1817</v>
      </c>
      <c r="F284" s="730">
        <v>122725.8</v>
      </c>
      <c r="G284" s="730">
        <v>8782.18</v>
      </c>
      <c r="H284" s="730">
        <v>113943.62</v>
      </c>
      <c r="I284" s="711"/>
      <c r="J284" s="711">
        <f t="shared" si="63"/>
        <v>36680.287103999995</v>
      </c>
      <c r="K284" s="711">
        <f t="shared" si="64"/>
        <v>18233.57052907344</v>
      </c>
      <c r="L284" s="711">
        <f t="shared" si="65"/>
        <v>7180.4881349265606</v>
      </c>
      <c r="M284" s="711">
        <f t="shared" si="66"/>
        <v>11266.228440000001</v>
      </c>
      <c r="O284" s="711">
        <f t="shared" si="67"/>
        <v>2624.8179584</v>
      </c>
      <c r="P284" s="711">
        <f t="shared" si="68"/>
        <v>1304.7826816286238</v>
      </c>
      <c r="Q284" s="711">
        <f t="shared" si="69"/>
        <v>513.83115277137597</v>
      </c>
      <c r="R284" s="711">
        <f t="shared" si="70"/>
        <v>806.20412400000009</v>
      </c>
      <c r="S284" s="723"/>
    </row>
    <row r="285" spans="1:19" ht="15">
      <c r="A285" s="714" t="s">
        <v>1462</v>
      </c>
      <c r="B285" s="714" t="s">
        <v>1306</v>
      </c>
      <c r="C285" s="714" t="s">
        <v>1307</v>
      </c>
      <c r="D285" s="714">
        <v>9907158</v>
      </c>
      <c r="E285" s="714" t="s">
        <v>1818</v>
      </c>
      <c r="F285" s="730">
        <v>1583051.03</v>
      </c>
      <c r="G285" s="730">
        <v>113286.71</v>
      </c>
      <c r="H285" s="730">
        <v>1469764.32</v>
      </c>
      <c r="I285" s="711"/>
      <c r="J285" s="711">
        <f t="shared" si="63"/>
        <v>473142.29184639995</v>
      </c>
      <c r="K285" s="711">
        <f t="shared" si="64"/>
        <v>235196.4510040053</v>
      </c>
      <c r="L285" s="711">
        <f t="shared" si="65"/>
        <v>92621.75628839471</v>
      </c>
      <c r="M285" s="711">
        <f t="shared" si="66"/>
        <v>145324.084554</v>
      </c>
      <c r="O285" s="711">
        <f t="shared" si="67"/>
        <v>33859.131884800001</v>
      </c>
      <c r="P285" s="711">
        <f t="shared" si="68"/>
        <v>16831.189666652728</v>
      </c>
      <c r="Q285" s="711">
        <f t="shared" si="69"/>
        <v>6628.2222401472727</v>
      </c>
      <c r="R285" s="711">
        <f t="shared" si="70"/>
        <v>10399.719978000001</v>
      </c>
      <c r="S285" s="723"/>
    </row>
    <row r="286" spans="1:19" ht="15">
      <c r="A286" s="714" t="s">
        <v>1462</v>
      </c>
      <c r="B286" s="714" t="s">
        <v>1306</v>
      </c>
      <c r="C286" s="714" t="s">
        <v>1307</v>
      </c>
      <c r="D286" s="714">
        <v>9907202</v>
      </c>
      <c r="E286" s="714" t="s">
        <v>1819</v>
      </c>
      <c r="F286" s="730">
        <v>137477.24</v>
      </c>
      <c r="G286" s="730">
        <v>9837.7800000000007</v>
      </c>
      <c r="H286" s="730">
        <v>127639.46</v>
      </c>
      <c r="I286" s="711"/>
      <c r="J286" s="711">
        <f t="shared" si="63"/>
        <v>41089.197491199993</v>
      </c>
      <c r="K286" s="711">
        <f t="shared" si="64"/>
        <v>20425.215820001631</v>
      </c>
      <c r="L286" s="711">
        <f t="shared" si="65"/>
        <v>8043.5710391983675</v>
      </c>
      <c r="M286" s="711">
        <f t="shared" si="66"/>
        <v>12620.410631999999</v>
      </c>
      <c r="O286" s="711">
        <f t="shared" si="67"/>
        <v>2940.3156863999998</v>
      </c>
      <c r="P286" s="711">
        <f t="shared" si="68"/>
        <v>1461.6148803227038</v>
      </c>
      <c r="Q286" s="711">
        <f t="shared" si="69"/>
        <v>575.59260207729596</v>
      </c>
      <c r="R286" s="711">
        <f t="shared" si="70"/>
        <v>903.10820400000011</v>
      </c>
      <c r="S286" s="723"/>
    </row>
    <row r="287" spans="1:19" ht="15">
      <c r="A287" s="714" t="s">
        <v>1462</v>
      </c>
      <c r="B287" s="714" t="s">
        <v>1312</v>
      </c>
      <c r="C287" s="714" t="s">
        <v>1310</v>
      </c>
      <c r="D287" s="714">
        <v>9806242</v>
      </c>
      <c r="E287" s="714" t="s">
        <v>1820</v>
      </c>
      <c r="F287" s="730">
        <v>378148.62</v>
      </c>
      <c r="G287" s="730">
        <v>86659.05</v>
      </c>
      <c r="H287" s="730">
        <v>291489.57</v>
      </c>
      <c r="I287" s="711"/>
      <c r="J287" s="711">
        <v>0</v>
      </c>
      <c r="K287" s="711">
        <v>0</v>
      </c>
      <c r="L287" s="711">
        <v>0</v>
      </c>
      <c r="M287" s="711">
        <v>0</v>
      </c>
      <c r="O287" s="711">
        <v>0</v>
      </c>
      <c r="P287" s="711">
        <v>0</v>
      </c>
      <c r="Q287" s="711">
        <v>0</v>
      </c>
      <c r="R287" s="711">
        <v>0</v>
      </c>
      <c r="S287" s="723"/>
    </row>
    <row r="288" spans="1:19" ht="15">
      <c r="A288" s="714" t="s">
        <v>1464</v>
      </c>
      <c r="B288" s="714" t="s">
        <v>1306</v>
      </c>
      <c r="C288" s="714" t="s">
        <v>1307</v>
      </c>
      <c r="D288" s="714">
        <v>9906697</v>
      </c>
      <c r="E288" s="714" t="s">
        <v>1821</v>
      </c>
      <c r="F288" s="730">
        <v>109830.11</v>
      </c>
      <c r="G288" s="730">
        <v>65018.8</v>
      </c>
      <c r="H288" s="730">
        <v>44811.310000000005</v>
      </c>
      <c r="I288" s="711"/>
      <c r="J288" s="711">
        <f t="shared" ref="J288" si="71">F288*($J$2+$M$2)</f>
        <v>32826.023276799999</v>
      </c>
      <c r="K288" s="711">
        <f t="shared" ref="K288" si="72">F288*$J$2*$K$7</f>
        <v>16317.637016021847</v>
      </c>
      <c r="L288" s="711">
        <f t="shared" ref="L288" si="73">F288*$J$2*$L$7</f>
        <v>6425.9821627781521</v>
      </c>
      <c r="M288" s="711">
        <f t="shared" ref="M288" si="74">F288*$M$2</f>
        <v>10082.404098000001</v>
      </c>
      <c r="O288" s="711">
        <f t="shared" ref="O288" si="75">G288*($J$2+$M$2)</f>
        <v>19432.818943999999</v>
      </c>
      <c r="P288" s="711">
        <f t="shared" ref="P288" si="76">G288*$J$2*$K$7</f>
        <v>9659.9482383958402</v>
      </c>
      <c r="Q288" s="711">
        <f t="shared" ref="Q288" si="77">G288*$J$2*$L$7</f>
        <v>3804.1448656041603</v>
      </c>
      <c r="R288" s="711">
        <f t="shared" ref="R288" si="78">G288*$M$2</f>
        <v>5968.725840000001</v>
      </c>
      <c r="S288" s="723"/>
    </row>
    <row r="289" spans="1:19" ht="15">
      <c r="A289" s="714" t="s">
        <v>1464</v>
      </c>
      <c r="B289" s="714" t="s">
        <v>1306</v>
      </c>
      <c r="C289" s="714" t="s">
        <v>1307</v>
      </c>
      <c r="D289" s="714">
        <v>9906778</v>
      </c>
      <c r="E289" s="714" t="s">
        <v>1465</v>
      </c>
      <c r="F289" s="730">
        <v>1391175.3699999999</v>
      </c>
      <c r="G289" s="730">
        <v>824062.03</v>
      </c>
      <c r="H289" s="730">
        <v>567113.34000000008</v>
      </c>
      <c r="I289" s="711"/>
      <c r="J289" s="711">
        <f t="shared" ref="J289:J336" si="79">F289*($J$2+$M$2)</f>
        <v>415794.49458559992</v>
      </c>
      <c r="K289" s="711">
        <f t="shared" ref="K289:K336" si="80">F289*$J$2*$K$7</f>
        <v>206689.17397323818</v>
      </c>
      <c r="L289" s="711">
        <f t="shared" ref="L289:L336" si="81">F289*$J$2*$L$7</f>
        <v>81395.421646361778</v>
      </c>
      <c r="M289" s="711">
        <f t="shared" ref="M289:M336" si="82">F289*$M$2</f>
        <v>127709.89896599999</v>
      </c>
      <c r="O289" s="711">
        <f t="shared" ref="O289:O336" si="83">G289*($J$2+$M$2)</f>
        <v>246295.65952639998</v>
      </c>
      <c r="P289" s="711">
        <f t="shared" ref="P289:P336" si="84">G289*$J$2*$K$7</f>
        <v>122432.22814059009</v>
      </c>
      <c r="Q289" s="711">
        <f t="shared" ref="Q289:Q336" si="85">G289*$J$2*$L$7</f>
        <v>48214.537031809894</v>
      </c>
      <c r="R289" s="711">
        <f t="shared" ref="R289:R336" si="86">G289*$M$2</f>
        <v>75648.894354000004</v>
      </c>
      <c r="S289" s="723"/>
    </row>
    <row r="290" spans="1:19" ht="15">
      <c r="A290" s="714" t="s">
        <v>1464</v>
      </c>
      <c r="B290" s="714" t="s">
        <v>1306</v>
      </c>
      <c r="C290" s="714" t="s">
        <v>1307</v>
      </c>
      <c r="D290" s="714">
        <v>9906780</v>
      </c>
      <c r="E290" s="714" t="s">
        <v>1466</v>
      </c>
      <c r="F290" s="730">
        <v>272175.33</v>
      </c>
      <c r="G290" s="730">
        <v>161229.82999999999</v>
      </c>
      <c r="H290" s="730">
        <v>110945.5</v>
      </c>
      <c r="I290" s="711"/>
      <c r="J290" s="711">
        <f t="shared" si="79"/>
        <v>81347.7626304</v>
      </c>
      <c r="K290" s="711">
        <f t="shared" si="80"/>
        <v>40437.528831173542</v>
      </c>
      <c r="L290" s="711">
        <f t="shared" si="81"/>
        <v>15924.538505226457</v>
      </c>
      <c r="M290" s="711">
        <f t="shared" si="82"/>
        <v>24985.695294000005</v>
      </c>
      <c r="O290" s="711">
        <f t="shared" si="83"/>
        <v>48188.371590399991</v>
      </c>
      <c r="P290" s="711">
        <f t="shared" si="84"/>
        <v>23954.176519489141</v>
      </c>
      <c r="Q290" s="711">
        <f t="shared" si="85"/>
        <v>9433.2966769108552</v>
      </c>
      <c r="R290" s="711">
        <f t="shared" si="86"/>
        <v>14800.898394</v>
      </c>
      <c r="S290" s="723"/>
    </row>
    <row r="291" spans="1:19" ht="15">
      <c r="A291" s="714" t="s">
        <v>1464</v>
      </c>
      <c r="B291" s="714" t="s">
        <v>1306</v>
      </c>
      <c r="C291" s="714" t="s">
        <v>1307</v>
      </c>
      <c r="D291" s="714">
        <v>9906781</v>
      </c>
      <c r="E291" s="714" t="s">
        <v>1467</v>
      </c>
      <c r="F291" s="730">
        <v>296695.14999999997</v>
      </c>
      <c r="G291" s="730">
        <v>175755.96</v>
      </c>
      <c r="H291" s="730">
        <v>120939.19</v>
      </c>
      <c r="I291" s="711"/>
      <c r="J291" s="711">
        <f t="shared" si="79"/>
        <v>88676.246431999985</v>
      </c>
      <c r="K291" s="711">
        <f t="shared" si="80"/>
        <v>44080.478132218508</v>
      </c>
      <c r="L291" s="711">
        <f t="shared" si="81"/>
        <v>17359.153529781477</v>
      </c>
      <c r="M291" s="711">
        <f t="shared" si="82"/>
        <v>27236.61477</v>
      </c>
      <c r="O291" s="711">
        <f t="shared" si="83"/>
        <v>52529.941324799991</v>
      </c>
      <c r="P291" s="711">
        <f t="shared" si="84"/>
        <v>26112.347139436122</v>
      </c>
      <c r="Q291" s="711">
        <f t="shared" si="85"/>
        <v>10283.19705736387</v>
      </c>
      <c r="R291" s="711">
        <f t="shared" si="86"/>
        <v>16134.397128000001</v>
      </c>
      <c r="S291" s="723"/>
    </row>
    <row r="292" spans="1:19" ht="15">
      <c r="A292" s="714" t="s">
        <v>1464</v>
      </c>
      <c r="B292" s="714" t="s">
        <v>1306</v>
      </c>
      <c r="C292" s="714" t="s">
        <v>1307</v>
      </c>
      <c r="D292" s="714">
        <v>9906782</v>
      </c>
      <c r="E292" s="714" t="s">
        <v>1822</v>
      </c>
      <c r="F292" s="730">
        <v>308979.76</v>
      </c>
      <c r="G292" s="730">
        <v>183035.42</v>
      </c>
      <c r="H292" s="730">
        <v>125944.34</v>
      </c>
      <c r="I292" s="711"/>
      <c r="J292" s="711">
        <f t="shared" si="79"/>
        <v>92347.870668799995</v>
      </c>
      <c r="K292" s="711">
        <f t="shared" si="80"/>
        <v>45905.622501675964</v>
      </c>
      <c r="L292" s="711">
        <f t="shared" si="81"/>
        <v>18077.906199124031</v>
      </c>
      <c r="M292" s="711">
        <f t="shared" si="82"/>
        <v>28364.341968000004</v>
      </c>
      <c r="O292" s="711">
        <f t="shared" si="83"/>
        <v>54705.626329600003</v>
      </c>
      <c r="P292" s="711">
        <f t="shared" si="84"/>
        <v>27193.868281067054</v>
      </c>
      <c r="Q292" s="711">
        <f t="shared" si="85"/>
        <v>10709.106492532945</v>
      </c>
      <c r="R292" s="711">
        <f t="shared" si="86"/>
        <v>16802.651556000001</v>
      </c>
      <c r="S292" s="723"/>
    </row>
    <row r="293" spans="1:19" ht="15">
      <c r="A293" s="714" t="s">
        <v>1464</v>
      </c>
      <c r="B293" s="714" t="s">
        <v>1306</v>
      </c>
      <c r="C293" s="714" t="s">
        <v>1307</v>
      </c>
      <c r="D293" s="714">
        <v>9906784</v>
      </c>
      <c r="E293" s="714" t="s">
        <v>1823</v>
      </c>
      <c r="F293" s="730">
        <v>26231.81</v>
      </c>
      <c r="G293" s="730">
        <v>15534.37</v>
      </c>
      <c r="H293" s="730">
        <v>10697.44</v>
      </c>
      <c r="I293" s="711"/>
      <c r="J293" s="711">
        <f t="shared" si="79"/>
        <v>7840.1633727999997</v>
      </c>
      <c r="K293" s="711">
        <f t="shared" si="80"/>
        <v>3897.3024232904081</v>
      </c>
      <c r="L293" s="711">
        <f t="shared" si="81"/>
        <v>1534.7807915095921</v>
      </c>
      <c r="M293" s="711">
        <f t="shared" si="82"/>
        <v>2408.0801580000002</v>
      </c>
      <c r="O293" s="711">
        <f t="shared" si="83"/>
        <v>4642.9125056000003</v>
      </c>
      <c r="P293" s="711">
        <f t="shared" si="84"/>
        <v>2307.9664668694159</v>
      </c>
      <c r="Q293" s="711">
        <f t="shared" si="85"/>
        <v>908.89087273058408</v>
      </c>
      <c r="R293" s="711">
        <f t="shared" si="86"/>
        <v>1426.0551660000001</v>
      </c>
      <c r="S293" s="723"/>
    </row>
    <row r="294" spans="1:19" ht="15">
      <c r="A294" s="714" t="s">
        <v>1464</v>
      </c>
      <c r="B294" s="714" t="s">
        <v>1306</v>
      </c>
      <c r="C294" s="714" t="s">
        <v>1307</v>
      </c>
      <c r="D294" s="714">
        <v>9906785</v>
      </c>
      <c r="E294" s="714" t="s">
        <v>1468</v>
      </c>
      <c r="F294" s="730">
        <v>518715.33</v>
      </c>
      <c r="G294" s="730">
        <v>307263.12</v>
      </c>
      <c r="H294" s="730">
        <v>211452.21</v>
      </c>
      <c r="I294" s="711"/>
      <c r="J294" s="711">
        <f t="shared" si="79"/>
        <v>155033.6378304</v>
      </c>
      <c r="K294" s="711">
        <f t="shared" si="80"/>
        <v>77066.375237045548</v>
      </c>
      <c r="L294" s="711">
        <f t="shared" si="81"/>
        <v>30349.195299354458</v>
      </c>
      <c r="M294" s="711">
        <f t="shared" si="82"/>
        <v>47618.067294000008</v>
      </c>
      <c r="O294" s="711">
        <f t="shared" si="83"/>
        <v>91834.801305599991</v>
      </c>
      <c r="P294" s="711">
        <f t="shared" si="84"/>
        <v>45650.578521412412</v>
      </c>
      <c r="Q294" s="711">
        <f t="shared" si="85"/>
        <v>17977.468368187583</v>
      </c>
      <c r="R294" s="711">
        <f t="shared" si="86"/>
        <v>28206.754416000003</v>
      </c>
      <c r="S294" s="723"/>
    </row>
    <row r="295" spans="1:19" ht="15">
      <c r="A295" s="714" t="s">
        <v>1464</v>
      </c>
      <c r="B295" s="714" t="s">
        <v>1306</v>
      </c>
      <c r="C295" s="714" t="s">
        <v>1307</v>
      </c>
      <c r="D295" s="714">
        <v>9906786</v>
      </c>
      <c r="E295" s="714" t="s">
        <v>1469</v>
      </c>
      <c r="F295" s="730">
        <v>356191.43</v>
      </c>
      <c r="G295" s="730">
        <v>210988.53</v>
      </c>
      <c r="H295" s="730">
        <v>145202.9</v>
      </c>
      <c r="I295" s="711"/>
      <c r="J295" s="711">
        <f t="shared" si="79"/>
        <v>106458.49459839999</v>
      </c>
      <c r="K295" s="711">
        <f t="shared" si="80"/>
        <v>52919.936645404021</v>
      </c>
      <c r="L295" s="711">
        <f t="shared" si="81"/>
        <v>20840.184678995975</v>
      </c>
      <c r="M295" s="711">
        <f t="shared" si="82"/>
        <v>32698.373274000001</v>
      </c>
      <c r="O295" s="711">
        <f t="shared" si="83"/>
        <v>63060.251846399995</v>
      </c>
      <c r="P295" s="711">
        <f t="shared" si="84"/>
        <v>31346.907028355301</v>
      </c>
      <c r="Q295" s="711">
        <f t="shared" si="85"/>
        <v>12344.597764044694</v>
      </c>
      <c r="R295" s="711">
        <f t="shared" si="86"/>
        <v>19368.747053999999</v>
      </c>
      <c r="S295" s="723"/>
    </row>
    <row r="296" spans="1:19" ht="15">
      <c r="A296" s="714" t="s">
        <v>1464</v>
      </c>
      <c r="B296" s="714" t="s">
        <v>1306</v>
      </c>
      <c r="C296" s="714" t="s">
        <v>1307</v>
      </c>
      <c r="D296" s="714">
        <v>9906787</v>
      </c>
      <c r="E296" s="714" t="s">
        <v>1824</v>
      </c>
      <c r="F296" s="730">
        <v>196419.46</v>
      </c>
      <c r="G296" s="730">
        <v>116354.51</v>
      </c>
      <c r="H296" s="730">
        <v>80064.95</v>
      </c>
      <c r="I296" s="711"/>
      <c r="J296" s="711">
        <f t="shared" si="79"/>
        <v>58705.848204799993</v>
      </c>
      <c r="K296" s="711">
        <f t="shared" si="80"/>
        <v>29182.356743182925</v>
      </c>
      <c r="L296" s="711">
        <f t="shared" si="81"/>
        <v>11492.185033617072</v>
      </c>
      <c r="M296" s="711">
        <f t="shared" si="82"/>
        <v>18031.306428</v>
      </c>
      <c r="O296" s="711">
        <f t="shared" si="83"/>
        <v>34776.035948799996</v>
      </c>
      <c r="P296" s="711">
        <f t="shared" si="84"/>
        <v>17286.977672671765</v>
      </c>
      <c r="Q296" s="711">
        <f t="shared" si="85"/>
        <v>6807.7142581282314</v>
      </c>
      <c r="R296" s="711">
        <f t="shared" si="86"/>
        <v>10681.344018</v>
      </c>
      <c r="S296" s="723"/>
    </row>
    <row r="297" spans="1:19" ht="15">
      <c r="A297" s="714" t="s">
        <v>1464</v>
      </c>
      <c r="B297" s="714" t="s">
        <v>1306</v>
      </c>
      <c r="C297" s="714" t="s">
        <v>1307</v>
      </c>
      <c r="D297" s="714">
        <v>9906788</v>
      </c>
      <c r="E297" s="714" t="s">
        <v>1825</v>
      </c>
      <c r="F297" s="730">
        <v>1689329.9100000001</v>
      </c>
      <c r="G297" s="730">
        <v>1000670.8</v>
      </c>
      <c r="H297" s="730">
        <v>688659.11</v>
      </c>
      <c r="I297" s="711"/>
      <c r="J297" s="711">
        <f t="shared" si="79"/>
        <v>504906.92350079998</v>
      </c>
      <c r="K297" s="711">
        <f t="shared" si="80"/>
        <v>250986.4760372985</v>
      </c>
      <c r="L297" s="711">
        <f t="shared" si="81"/>
        <v>98839.961725501518</v>
      </c>
      <c r="M297" s="711">
        <f t="shared" si="82"/>
        <v>155080.48573800002</v>
      </c>
      <c r="O297" s="711">
        <f t="shared" si="83"/>
        <v>299080.48870400002</v>
      </c>
      <c r="P297" s="711">
        <f t="shared" si="84"/>
        <v>148671.27864054943</v>
      </c>
      <c r="Q297" s="711">
        <f t="shared" si="85"/>
        <v>58547.630623450561</v>
      </c>
      <c r="R297" s="711">
        <f t="shared" si="86"/>
        <v>91861.579440000016</v>
      </c>
      <c r="S297" s="723"/>
    </row>
    <row r="298" spans="1:19" ht="15">
      <c r="A298" s="714" t="s">
        <v>1464</v>
      </c>
      <c r="B298" s="714" t="s">
        <v>1306</v>
      </c>
      <c r="C298" s="714" t="s">
        <v>1307</v>
      </c>
      <c r="D298" s="714">
        <v>9906793</v>
      </c>
      <c r="E298" s="714" t="s">
        <v>1470</v>
      </c>
      <c r="F298" s="730">
        <v>17030.53</v>
      </c>
      <c r="G298" s="730">
        <v>10089.18</v>
      </c>
      <c r="H298" s="730">
        <v>6941.35</v>
      </c>
      <c r="I298" s="711"/>
      <c r="J298" s="711">
        <f t="shared" si="79"/>
        <v>5090.0848063999993</v>
      </c>
      <c r="K298" s="711">
        <f t="shared" si="80"/>
        <v>2530.2533770609039</v>
      </c>
      <c r="L298" s="711">
        <f t="shared" si="81"/>
        <v>996.42877533909598</v>
      </c>
      <c r="M298" s="711">
        <f t="shared" si="82"/>
        <v>1563.402654</v>
      </c>
      <c r="O298" s="711">
        <f t="shared" si="83"/>
        <v>3015.4541184</v>
      </c>
      <c r="P298" s="711">
        <f t="shared" si="84"/>
        <v>1498.9657847862238</v>
      </c>
      <c r="Q298" s="711">
        <f t="shared" si="85"/>
        <v>590.30160961377601</v>
      </c>
      <c r="R298" s="711">
        <f t="shared" si="86"/>
        <v>926.18672400000014</v>
      </c>
      <c r="S298" s="723"/>
    </row>
    <row r="299" spans="1:19" ht="15">
      <c r="A299" s="714" t="s">
        <v>1464</v>
      </c>
      <c r="B299" s="714" t="s">
        <v>1306</v>
      </c>
      <c r="C299" s="714" t="s">
        <v>1307</v>
      </c>
      <c r="D299" s="714">
        <v>9906822</v>
      </c>
      <c r="E299" s="714" t="s">
        <v>1826</v>
      </c>
      <c r="F299" s="730">
        <v>16811.650000000005</v>
      </c>
      <c r="G299" s="730">
        <v>9955.6299999999992</v>
      </c>
      <c r="H299" s="730">
        <v>6856.0199999999995</v>
      </c>
      <c r="I299" s="711"/>
      <c r="J299" s="711">
        <f t="shared" si="79"/>
        <v>5024.6659520000012</v>
      </c>
      <c r="K299" s="711">
        <f t="shared" si="80"/>
        <v>2497.7340215757208</v>
      </c>
      <c r="L299" s="711">
        <f t="shared" si="81"/>
        <v>983.62246042428035</v>
      </c>
      <c r="M299" s="711">
        <f t="shared" si="82"/>
        <v>1543.3094700000006</v>
      </c>
      <c r="O299" s="711">
        <f t="shared" si="83"/>
        <v>2975.5386943999997</v>
      </c>
      <c r="P299" s="711">
        <f t="shared" si="84"/>
        <v>1479.124045362584</v>
      </c>
      <c r="Q299" s="711">
        <f t="shared" si="85"/>
        <v>582.487815037416</v>
      </c>
      <c r="R299" s="711">
        <f t="shared" si="86"/>
        <v>913.92683399999999</v>
      </c>
      <c r="S299" s="723"/>
    </row>
    <row r="300" spans="1:19" ht="15">
      <c r="A300" s="714" t="s">
        <v>1464</v>
      </c>
      <c r="B300" s="714" t="s">
        <v>1306</v>
      </c>
      <c r="C300" s="714" t="s">
        <v>1307</v>
      </c>
      <c r="D300" s="714">
        <v>9906839</v>
      </c>
      <c r="E300" s="714" t="s">
        <v>1827</v>
      </c>
      <c r="F300" s="730">
        <v>1198135.8999999997</v>
      </c>
      <c r="G300" s="730">
        <v>414342.36000000004</v>
      </c>
      <c r="H300" s="730">
        <v>783793.54</v>
      </c>
      <c r="I300" s="711"/>
      <c r="J300" s="711">
        <f t="shared" si="79"/>
        <v>358098.85779199988</v>
      </c>
      <c r="K300" s="711">
        <f t="shared" si="80"/>
        <v>178008.98780912303</v>
      </c>
      <c r="L300" s="711">
        <f t="shared" si="81"/>
        <v>70100.994362876852</v>
      </c>
      <c r="M300" s="711">
        <f t="shared" si="82"/>
        <v>109988.87561999998</v>
      </c>
      <c r="O300" s="711">
        <f t="shared" si="83"/>
        <v>123838.64455680001</v>
      </c>
      <c r="P300" s="711">
        <f t="shared" si="84"/>
        <v>61559.514333927655</v>
      </c>
      <c r="Q300" s="711">
        <f t="shared" si="85"/>
        <v>24242.501574872356</v>
      </c>
      <c r="R300" s="711">
        <f t="shared" si="86"/>
        <v>38036.628648000005</v>
      </c>
      <c r="S300" s="723"/>
    </row>
    <row r="301" spans="1:19" ht="15">
      <c r="A301" s="714" t="s">
        <v>1464</v>
      </c>
      <c r="B301" s="714" t="s">
        <v>1306</v>
      </c>
      <c r="C301" s="714" t="s">
        <v>1307</v>
      </c>
      <c r="D301" s="714">
        <v>9906856</v>
      </c>
      <c r="E301" s="714" t="s">
        <v>1471</v>
      </c>
      <c r="F301" s="730">
        <v>9782.8799999999992</v>
      </c>
      <c r="G301" s="730">
        <v>5795.05</v>
      </c>
      <c r="H301" s="730">
        <v>3987.83</v>
      </c>
      <c r="I301" s="711"/>
      <c r="J301" s="711">
        <f t="shared" si="79"/>
        <v>2923.9071743999993</v>
      </c>
      <c r="K301" s="711">
        <f t="shared" si="80"/>
        <v>1453.4582985603838</v>
      </c>
      <c r="L301" s="711">
        <f t="shared" si="81"/>
        <v>572.38049183961596</v>
      </c>
      <c r="M301" s="711">
        <f t="shared" si="82"/>
        <v>898.06838400000004</v>
      </c>
      <c r="O301" s="711">
        <f t="shared" si="83"/>
        <v>1732.0245439999999</v>
      </c>
      <c r="P301" s="711">
        <f t="shared" si="84"/>
        <v>860.97994793683995</v>
      </c>
      <c r="Q301" s="711">
        <f t="shared" si="85"/>
        <v>339.05900606315998</v>
      </c>
      <c r="R301" s="711">
        <f t="shared" si="86"/>
        <v>531.98559</v>
      </c>
      <c r="S301" s="723"/>
    </row>
    <row r="302" spans="1:19" ht="15">
      <c r="A302" s="714" t="s">
        <v>1464</v>
      </c>
      <c r="B302" s="714" t="s">
        <v>1306</v>
      </c>
      <c r="C302" s="714" t="s">
        <v>1307</v>
      </c>
      <c r="D302" s="714">
        <v>9906870</v>
      </c>
      <c r="E302" s="714" t="s">
        <v>1472</v>
      </c>
      <c r="F302" s="730">
        <v>25970.400000000001</v>
      </c>
      <c r="G302" s="730">
        <v>15384.25</v>
      </c>
      <c r="H302" s="730">
        <v>10586.15</v>
      </c>
      <c r="I302" s="711"/>
      <c r="J302" s="711">
        <f t="shared" si="79"/>
        <v>7762.033152</v>
      </c>
      <c r="K302" s="711">
        <f t="shared" si="80"/>
        <v>3858.4643169427195</v>
      </c>
      <c r="L302" s="711">
        <f t="shared" si="81"/>
        <v>1519.4861150572799</v>
      </c>
      <c r="M302" s="711">
        <f t="shared" si="82"/>
        <v>2384.0827200000003</v>
      </c>
      <c r="O302" s="711">
        <f t="shared" si="83"/>
        <v>4598.0446400000001</v>
      </c>
      <c r="P302" s="711">
        <f t="shared" si="84"/>
        <v>2285.6628957553999</v>
      </c>
      <c r="Q302" s="711">
        <f t="shared" si="85"/>
        <v>900.10759424460002</v>
      </c>
      <c r="R302" s="711">
        <f t="shared" si="86"/>
        <v>1412.2741500000002</v>
      </c>
      <c r="S302" s="723"/>
    </row>
    <row r="303" spans="1:19" ht="15">
      <c r="A303" s="714" t="s">
        <v>1464</v>
      </c>
      <c r="B303" s="714" t="s">
        <v>1306</v>
      </c>
      <c r="C303" s="714" t="s">
        <v>1307</v>
      </c>
      <c r="D303" s="714">
        <v>9906880</v>
      </c>
      <c r="E303" s="714" t="s">
        <v>1828</v>
      </c>
      <c r="F303" s="730">
        <v>74805.959999999992</v>
      </c>
      <c r="G303" s="730">
        <v>25709.38</v>
      </c>
      <c r="H303" s="730">
        <v>49096.579999999994</v>
      </c>
      <c r="I303" s="711"/>
      <c r="J303" s="711">
        <f t="shared" si="79"/>
        <v>22358.005324799997</v>
      </c>
      <c r="K303" s="711">
        <f t="shared" si="80"/>
        <v>11114.042423476125</v>
      </c>
      <c r="L303" s="711">
        <f t="shared" si="81"/>
        <v>4376.7757733238714</v>
      </c>
      <c r="M303" s="711">
        <f t="shared" si="82"/>
        <v>6867.1871279999996</v>
      </c>
      <c r="O303" s="711">
        <f t="shared" si="83"/>
        <v>7684.0194943999995</v>
      </c>
      <c r="P303" s="711">
        <f t="shared" si="84"/>
        <v>3819.684153525584</v>
      </c>
      <c r="Q303" s="711">
        <f t="shared" si="85"/>
        <v>1504.2142568744162</v>
      </c>
      <c r="R303" s="711">
        <f t="shared" si="86"/>
        <v>2360.1210840000003</v>
      </c>
      <c r="S303" s="723"/>
    </row>
    <row r="304" spans="1:19" ht="15">
      <c r="A304" s="714" t="s">
        <v>1464</v>
      </c>
      <c r="B304" s="714" t="s">
        <v>1306</v>
      </c>
      <c r="C304" s="714" t="s">
        <v>1307</v>
      </c>
      <c r="D304" s="714">
        <v>9906887</v>
      </c>
      <c r="E304" s="714" t="s">
        <v>1473</v>
      </c>
      <c r="F304" s="730">
        <v>214814.07</v>
      </c>
      <c r="G304" s="730">
        <v>127262.14</v>
      </c>
      <c r="H304" s="730">
        <v>87551.93</v>
      </c>
      <c r="I304" s="711"/>
      <c r="J304" s="711">
        <f t="shared" si="79"/>
        <v>64203.6292416</v>
      </c>
      <c r="K304" s="711">
        <f t="shared" si="80"/>
        <v>31915.273691288377</v>
      </c>
      <c r="L304" s="711">
        <f t="shared" si="81"/>
        <v>12568.423924311624</v>
      </c>
      <c r="M304" s="711">
        <f t="shared" si="82"/>
        <v>19719.931626000001</v>
      </c>
      <c r="O304" s="711">
        <f t="shared" si="83"/>
        <v>38036.1084032</v>
      </c>
      <c r="P304" s="711">
        <f t="shared" si="84"/>
        <v>18907.541897227951</v>
      </c>
      <c r="Q304" s="711">
        <f t="shared" si="85"/>
        <v>7445.9020539720477</v>
      </c>
      <c r="R304" s="711">
        <f t="shared" si="86"/>
        <v>11682.664452000001</v>
      </c>
      <c r="S304" s="723"/>
    </row>
    <row r="305" spans="1:19" ht="15">
      <c r="A305" s="714" t="s">
        <v>1464</v>
      </c>
      <c r="B305" s="714" t="s">
        <v>1306</v>
      </c>
      <c r="C305" s="714" t="s">
        <v>1307</v>
      </c>
      <c r="D305" s="714">
        <v>9906897</v>
      </c>
      <c r="E305" s="714" t="s">
        <v>1474</v>
      </c>
      <c r="F305" s="730">
        <v>325081.18</v>
      </c>
      <c r="G305" s="730">
        <v>192590.08000000002</v>
      </c>
      <c r="H305" s="730">
        <v>132491.1</v>
      </c>
      <c r="I305" s="711"/>
      <c r="J305" s="711">
        <f t="shared" si="79"/>
        <v>97160.263078399992</v>
      </c>
      <c r="K305" s="711">
        <f t="shared" si="80"/>
        <v>48297.836503851817</v>
      </c>
      <c r="L305" s="711">
        <f t="shared" si="81"/>
        <v>19019.974250548174</v>
      </c>
      <c r="M305" s="711">
        <f t="shared" si="82"/>
        <v>29842.452324000002</v>
      </c>
      <c r="O305" s="711">
        <f t="shared" si="83"/>
        <v>57561.323110400001</v>
      </c>
      <c r="P305" s="711">
        <f t="shared" si="84"/>
        <v>28613.419565241344</v>
      </c>
      <c r="Q305" s="711">
        <f t="shared" si="85"/>
        <v>11268.134201158657</v>
      </c>
      <c r="R305" s="711">
        <f t="shared" si="86"/>
        <v>17679.769344000004</v>
      </c>
      <c r="S305" s="723"/>
    </row>
    <row r="306" spans="1:19" ht="15">
      <c r="A306" s="714" t="s">
        <v>1464</v>
      </c>
      <c r="B306" s="714" t="s">
        <v>1306</v>
      </c>
      <c r="C306" s="714" t="s">
        <v>1307</v>
      </c>
      <c r="D306" s="714">
        <v>9906904</v>
      </c>
      <c r="E306" s="714" t="s">
        <v>1829</v>
      </c>
      <c r="F306" s="730">
        <v>363271.03</v>
      </c>
      <c r="G306" s="730">
        <v>215167.71</v>
      </c>
      <c r="H306" s="730">
        <v>148103.32</v>
      </c>
      <c r="I306" s="711"/>
      <c r="J306" s="711">
        <f t="shared" si="79"/>
        <v>108574.4454464</v>
      </c>
      <c r="K306" s="711">
        <f t="shared" si="80"/>
        <v>53971.764263701305</v>
      </c>
      <c r="L306" s="711">
        <f t="shared" si="81"/>
        <v>21254.400628698699</v>
      </c>
      <c r="M306" s="711">
        <f t="shared" si="82"/>
        <v>33348.280554000004</v>
      </c>
      <c r="O306" s="711">
        <f t="shared" si="83"/>
        <v>64309.325164799993</v>
      </c>
      <c r="P306" s="711">
        <f t="shared" si="84"/>
        <v>31967.814557853522</v>
      </c>
      <c r="Q306" s="711">
        <f t="shared" si="85"/>
        <v>12589.114828946471</v>
      </c>
      <c r="R306" s="711">
        <f t="shared" si="86"/>
        <v>19752.395778000002</v>
      </c>
      <c r="S306" s="723"/>
    </row>
    <row r="307" spans="1:19" ht="15">
      <c r="A307" s="714" t="s">
        <v>1464</v>
      </c>
      <c r="B307" s="714" t="s">
        <v>1306</v>
      </c>
      <c r="C307" s="714" t="s">
        <v>1307</v>
      </c>
      <c r="D307" s="714">
        <v>9906933</v>
      </c>
      <c r="E307" s="714" t="s">
        <v>1830</v>
      </c>
      <c r="F307" s="730">
        <v>1800609.57</v>
      </c>
      <c r="G307" s="730">
        <v>623323.61</v>
      </c>
      <c r="H307" s="730">
        <v>1177285.96</v>
      </c>
      <c r="I307" s="711"/>
      <c r="J307" s="711">
        <f t="shared" si="79"/>
        <v>538166.18828160001</v>
      </c>
      <c r="K307" s="711">
        <f t="shared" si="80"/>
        <v>267519.47504045279</v>
      </c>
      <c r="L307" s="711">
        <f t="shared" si="81"/>
        <v>105350.75471514722</v>
      </c>
      <c r="M307" s="711">
        <f t="shared" si="82"/>
        <v>165295.95852600003</v>
      </c>
      <c r="O307" s="711">
        <f t="shared" si="83"/>
        <v>186298.96055679998</v>
      </c>
      <c r="P307" s="711">
        <f t="shared" si="84"/>
        <v>92608.196527312641</v>
      </c>
      <c r="Q307" s="711">
        <f t="shared" si="85"/>
        <v>36469.656631487349</v>
      </c>
      <c r="R307" s="711">
        <f t="shared" si="86"/>
        <v>57221.107398</v>
      </c>
      <c r="S307" s="723"/>
    </row>
    <row r="308" spans="1:19" ht="15">
      <c r="A308" s="714" t="s">
        <v>1464</v>
      </c>
      <c r="B308" s="714" t="s">
        <v>1306</v>
      </c>
      <c r="C308" s="714" t="s">
        <v>1307</v>
      </c>
      <c r="D308" s="714">
        <v>9906936</v>
      </c>
      <c r="E308" s="714" t="s">
        <v>1831</v>
      </c>
      <c r="F308" s="730">
        <v>11702.77</v>
      </c>
      <c r="G308" s="730">
        <v>6933.19</v>
      </c>
      <c r="H308" s="730">
        <v>4769.58</v>
      </c>
      <c r="I308" s="711"/>
      <c r="J308" s="711">
        <f t="shared" si="79"/>
        <v>3497.7238975999999</v>
      </c>
      <c r="K308" s="711">
        <f t="shared" si="80"/>
        <v>1738.6994599385359</v>
      </c>
      <c r="L308" s="711">
        <f t="shared" si="81"/>
        <v>684.71015166146401</v>
      </c>
      <c r="M308" s="711">
        <f t="shared" si="82"/>
        <v>1074.314286</v>
      </c>
      <c r="O308" s="711">
        <f t="shared" si="83"/>
        <v>2072.1918271999998</v>
      </c>
      <c r="P308" s="711">
        <f t="shared" si="84"/>
        <v>1030.0752478815918</v>
      </c>
      <c r="Q308" s="711">
        <f t="shared" si="85"/>
        <v>405.64973731840797</v>
      </c>
      <c r="R308" s="711">
        <f t="shared" si="86"/>
        <v>636.46684200000004</v>
      </c>
      <c r="S308" s="723"/>
    </row>
    <row r="309" spans="1:19" ht="15">
      <c r="A309" s="714" t="s">
        <v>1464</v>
      </c>
      <c r="B309" s="714" t="s">
        <v>1306</v>
      </c>
      <c r="C309" s="714" t="s">
        <v>1307</v>
      </c>
      <c r="D309" s="714">
        <v>9906960</v>
      </c>
      <c r="E309" s="714" t="s">
        <v>1832</v>
      </c>
      <c r="F309" s="730">
        <v>1845222.13</v>
      </c>
      <c r="G309" s="730">
        <v>638767.30000000005</v>
      </c>
      <c r="H309" s="730">
        <v>1206454.83</v>
      </c>
      <c r="I309" s="711"/>
      <c r="J309" s="711">
        <f t="shared" si="79"/>
        <v>551499.99021439988</v>
      </c>
      <c r="K309" s="711">
        <f t="shared" si="80"/>
        <v>274147.63520923973</v>
      </c>
      <c r="L309" s="711">
        <f t="shared" si="81"/>
        <v>107960.9634711602</v>
      </c>
      <c r="M309" s="711">
        <f t="shared" si="82"/>
        <v>169391.39153399999</v>
      </c>
      <c r="O309" s="711">
        <f t="shared" si="83"/>
        <v>190914.770624</v>
      </c>
      <c r="P309" s="711">
        <f t="shared" si="84"/>
        <v>94902.690519970638</v>
      </c>
      <c r="Q309" s="711">
        <f t="shared" si="85"/>
        <v>37373.241964029359</v>
      </c>
      <c r="R309" s="711">
        <f t="shared" si="86"/>
        <v>58638.838140000007</v>
      </c>
      <c r="S309" s="723"/>
    </row>
    <row r="310" spans="1:19" ht="15">
      <c r="A310" s="714" t="s">
        <v>1464</v>
      </c>
      <c r="B310" s="714" t="s">
        <v>1306</v>
      </c>
      <c r="C310" s="714" t="s">
        <v>1307</v>
      </c>
      <c r="D310" s="714">
        <v>9906966</v>
      </c>
      <c r="E310" s="714" t="s">
        <v>1833</v>
      </c>
      <c r="F310" s="730">
        <v>103414.31</v>
      </c>
      <c r="G310" s="730">
        <v>35672.54</v>
      </c>
      <c r="H310" s="730">
        <v>67741.76999999999</v>
      </c>
      <c r="I310" s="711"/>
      <c r="J310" s="711">
        <f t="shared" si="79"/>
        <v>30908.468972799998</v>
      </c>
      <c r="K310" s="711">
        <f t="shared" si="80"/>
        <v>15364.431236956407</v>
      </c>
      <c r="L310" s="711">
        <f t="shared" si="81"/>
        <v>6050.6040778435918</v>
      </c>
      <c r="M310" s="711">
        <f t="shared" si="82"/>
        <v>9493.4336579999999</v>
      </c>
      <c r="O310" s="711">
        <f t="shared" si="83"/>
        <v>10661.8087552</v>
      </c>
      <c r="P310" s="711">
        <f t="shared" si="84"/>
        <v>5299.9269431626717</v>
      </c>
      <c r="Q310" s="711">
        <f t="shared" si="85"/>
        <v>2087.142640037328</v>
      </c>
      <c r="R310" s="711">
        <f t="shared" si="86"/>
        <v>3274.7391720000005</v>
      </c>
      <c r="S310" s="723"/>
    </row>
    <row r="311" spans="1:19" ht="15">
      <c r="A311" s="714" t="s">
        <v>1464</v>
      </c>
      <c r="B311" s="714" t="s">
        <v>1306</v>
      </c>
      <c r="C311" s="714" t="s">
        <v>1307</v>
      </c>
      <c r="D311" s="714">
        <v>9906973</v>
      </c>
      <c r="E311" s="714" t="s">
        <v>1834</v>
      </c>
      <c r="F311" s="730">
        <v>540341.79</v>
      </c>
      <c r="G311" s="730">
        <v>186329.51</v>
      </c>
      <c r="H311" s="730">
        <v>354012.27999999997</v>
      </c>
      <c r="I311" s="711"/>
      <c r="J311" s="711">
        <f t="shared" si="79"/>
        <v>161497.35419519999</v>
      </c>
      <c r="K311" s="711">
        <f t="shared" si="80"/>
        <v>80279.453364906076</v>
      </c>
      <c r="L311" s="711">
        <f t="shared" si="81"/>
        <v>31614.524508293929</v>
      </c>
      <c r="M311" s="711">
        <f t="shared" si="82"/>
        <v>49603.376322000004</v>
      </c>
      <c r="O311" s="711">
        <f t="shared" si="83"/>
        <v>55690.1639488</v>
      </c>
      <c r="P311" s="711">
        <f t="shared" si="84"/>
        <v>27683.276558251768</v>
      </c>
      <c r="Q311" s="711">
        <f t="shared" si="85"/>
        <v>10901.838372548233</v>
      </c>
      <c r="R311" s="711">
        <f t="shared" si="86"/>
        <v>17105.049018000002</v>
      </c>
      <c r="S311" s="723"/>
    </row>
    <row r="312" spans="1:19" ht="15">
      <c r="A312" s="714" t="s">
        <v>1464</v>
      </c>
      <c r="B312" s="714" t="s">
        <v>1306</v>
      </c>
      <c r="C312" s="714" t="s">
        <v>1307</v>
      </c>
      <c r="D312" s="714">
        <v>9906975</v>
      </c>
      <c r="E312" s="714" t="s">
        <v>1835</v>
      </c>
      <c r="F312" s="730">
        <v>424652.07</v>
      </c>
      <c r="G312" s="730">
        <v>146693.14000000001</v>
      </c>
      <c r="H312" s="730">
        <v>277958.93</v>
      </c>
      <c r="I312" s="711"/>
      <c r="J312" s="711">
        <f t="shared" si="79"/>
        <v>126920.01068159999</v>
      </c>
      <c r="K312" s="711">
        <f t="shared" si="80"/>
        <v>63091.24461736677</v>
      </c>
      <c r="L312" s="711">
        <f t="shared" si="81"/>
        <v>24845.706038233224</v>
      </c>
      <c r="M312" s="711">
        <f t="shared" si="82"/>
        <v>38983.060026000006</v>
      </c>
      <c r="O312" s="711">
        <f t="shared" si="83"/>
        <v>43843.645683200004</v>
      </c>
      <c r="P312" s="711">
        <f t="shared" si="84"/>
        <v>21794.436983268752</v>
      </c>
      <c r="Q312" s="711">
        <f t="shared" si="85"/>
        <v>8582.7784479312486</v>
      </c>
      <c r="R312" s="711">
        <f t="shared" si="86"/>
        <v>13466.430252000002</v>
      </c>
      <c r="S312" s="723"/>
    </row>
    <row r="313" spans="1:19" ht="15">
      <c r="A313" s="714" t="s">
        <v>1464</v>
      </c>
      <c r="B313" s="714" t="s">
        <v>1306</v>
      </c>
      <c r="C313" s="714" t="s">
        <v>1307</v>
      </c>
      <c r="D313" s="714">
        <v>9906976</v>
      </c>
      <c r="E313" s="714" t="s">
        <v>1836</v>
      </c>
      <c r="F313" s="730">
        <v>332994.14</v>
      </c>
      <c r="G313" s="730">
        <v>115145.26000000001</v>
      </c>
      <c r="H313" s="730">
        <v>217848.88</v>
      </c>
      <c r="I313" s="711"/>
      <c r="J313" s="711">
        <f t="shared" si="79"/>
        <v>99525.288563199996</v>
      </c>
      <c r="K313" s="711">
        <f t="shared" si="80"/>
        <v>49473.477764725554</v>
      </c>
      <c r="L313" s="711">
        <f t="shared" si="81"/>
        <v>19482.948746474449</v>
      </c>
      <c r="M313" s="711">
        <f t="shared" si="82"/>
        <v>30568.862052000004</v>
      </c>
      <c r="O313" s="711">
        <f t="shared" si="83"/>
        <v>34414.615308799999</v>
      </c>
      <c r="P313" s="711">
        <f t="shared" si="84"/>
        <v>17107.317445056367</v>
      </c>
      <c r="Q313" s="711">
        <f t="shared" si="85"/>
        <v>6736.9629957436327</v>
      </c>
      <c r="R313" s="711">
        <f t="shared" si="86"/>
        <v>10570.334868000002</v>
      </c>
      <c r="S313" s="723"/>
    </row>
    <row r="314" spans="1:19" ht="15">
      <c r="A314" s="714" t="s">
        <v>1464</v>
      </c>
      <c r="B314" s="714" t="s">
        <v>1306</v>
      </c>
      <c r="C314" s="714" t="s">
        <v>1307</v>
      </c>
      <c r="D314" s="714">
        <v>9906983</v>
      </c>
      <c r="E314" s="714" t="s">
        <v>1837</v>
      </c>
      <c r="F314" s="730">
        <v>499211.17000000004</v>
      </c>
      <c r="G314" s="730">
        <v>172459.75</v>
      </c>
      <c r="H314" s="730">
        <v>326751.42000000004</v>
      </c>
      <c r="I314" s="711"/>
      <c r="J314" s="711">
        <f t="shared" si="79"/>
        <v>149204.2344896</v>
      </c>
      <c r="K314" s="711">
        <f t="shared" si="80"/>
        <v>74168.610651519659</v>
      </c>
      <c r="L314" s="711">
        <f t="shared" si="81"/>
        <v>29208.038432080346</v>
      </c>
      <c r="M314" s="711">
        <f t="shared" si="82"/>
        <v>45827.585406000006</v>
      </c>
      <c r="O314" s="711">
        <f t="shared" si="83"/>
        <v>51544.770079999995</v>
      </c>
      <c r="P314" s="711">
        <f t="shared" si="84"/>
        <v>25622.623890423798</v>
      </c>
      <c r="Q314" s="711">
        <f t="shared" si="85"/>
        <v>10090.3411395762</v>
      </c>
      <c r="R314" s="711">
        <f t="shared" si="86"/>
        <v>15831.805050000001</v>
      </c>
      <c r="S314" s="723"/>
    </row>
    <row r="315" spans="1:19" ht="15">
      <c r="A315" s="714" t="s">
        <v>1464</v>
      </c>
      <c r="B315" s="714" t="s">
        <v>1306</v>
      </c>
      <c r="C315" s="714" t="s">
        <v>1307</v>
      </c>
      <c r="D315" s="714">
        <v>9906984</v>
      </c>
      <c r="E315" s="714" t="s">
        <v>1838</v>
      </c>
      <c r="F315" s="730">
        <v>409329.82</v>
      </c>
      <c r="G315" s="730">
        <v>141584.24</v>
      </c>
      <c r="H315" s="730">
        <v>267745.58000000007</v>
      </c>
      <c r="I315" s="711"/>
      <c r="J315" s="711">
        <f t="shared" si="79"/>
        <v>122340.4966016</v>
      </c>
      <c r="K315" s="711">
        <f t="shared" si="80"/>
        <v>60814.793161852969</v>
      </c>
      <c r="L315" s="711">
        <f t="shared" si="81"/>
        <v>23949.225963747023</v>
      </c>
      <c r="M315" s="711">
        <f t="shared" si="82"/>
        <v>37576.477476</v>
      </c>
      <c r="O315" s="711">
        <f t="shared" si="83"/>
        <v>42316.697651199996</v>
      </c>
      <c r="P315" s="711">
        <f t="shared" si="84"/>
        <v>21035.399450199231</v>
      </c>
      <c r="Q315" s="711">
        <f t="shared" si="85"/>
        <v>8283.8649690007678</v>
      </c>
      <c r="R315" s="711">
        <f t="shared" si="86"/>
        <v>12997.433231999999</v>
      </c>
      <c r="S315" s="723"/>
    </row>
    <row r="316" spans="1:19" ht="15">
      <c r="A316" s="714" t="s">
        <v>1464</v>
      </c>
      <c r="B316" s="714" t="s">
        <v>1306</v>
      </c>
      <c r="C316" s="714" t="s">
        <v>1307</v>
      </c>
      <c r="D316" s="714">
        <v>9906988</v>
      </c>
      <c r="E316" s="714" t="s">
        <v>1839</v>
      </c>
      <c r="F316" s="730">
        <v>462977.23000000004</v>
      </c>
      <c r="G316" s="730">
        <v>160079.4</v>
      </c>
      <c r="H316" s="730">
        <v>302897.83</v>
      </c>
      <c r="I316" s="711"/>
      <c r="J316" s="711">
        <f t="shared" si="79"/>
        <v>138374.6345024</v>
      </c>
      <c r="K316" s="711">
        <f t="shared" si="80"/>
        <v>68785.275602685462</v>
      </c>
      <c r="L316" s="711">
        <f t="shared" si="81"/>
        <v>27088.049185714539</v>
      </c>
      <c r="M316" s="711">
        <f t="shared" si="82"/>
        <v>42501.30971400001</v>
      </c>
      <c r="O316" s="711">
        <f t="shared" si="83"/>
        <v>47844.531071999998</v>
      </c>
      <c r="P316" s="711">
        <f t="shared" si="84"/>
        <v>23783.255274373918</v>
      </c>
      <c r="Q316" s="711">
        <f t="shared" si="85"/>
        <v>9365.986877626081</v>
      </c>
      <c r="R316" s="711">
        <f t="shared" si="86"/>
        <v>14695.288920000001</v>
      </c>
      <c r="S316" s="723"/>
    </row>
    <row r="317" spans="1:19" ht="15">
      <c r="A317" s="714" t="s">
        <v>1464</v>
      </c>
      <c r="B317" s="714" t="s">
        <v>1306</v>
      </c>
      <c r="C317" s="714" t="s">
        <v>1307</v>
      </c>
      <c r="D317" s="714">
        <v>9907017</v>
      </c>
      <c r="E317" s="714" t="s">
        <v>1840</v>
      </c>
      <c r="F317" s="730">
        <v>16605</v>
      </c>
      <c r="G317" s="730">
        <v>5748.21</v>
      </c>
      <c r="H317" s="730">
        <v>10856.79</v>
      </c>
      <c r="I317" s="711"/>
      <c r="J317" s="711">
        <f t="shared" si="79"/>
        <v>4962.9023999999999</v>
      </c>
      <c r="K317" s="711">
        <f t="shared" si="80"/>
        <v>2467.0316969639998</v>
      </c>
      <c r="L317" s="711">
        <f t="shared" si="81"/>
        <v>971.53170303599995</v>
      </c>
      <c r="M317" s="711">
        <f t="shared" si="82"/>
        <v>1524.3390000000002</v>
      </c>
      <c r="O317" s="711">
        <f t="shared" si="83"/>
        <v>1718.0250047999998</v>
      </c>
      <c r="P317" s="711">
        <f t="shared" si="84"/>
        <v>854.02085340592794</v>
      </c>
      <c r="Q317" s="711">
        <f t="shared" si="85"/>
        <v>336.31847339407199</v>
      </c>
      <c r="R317" s="711">
        <f t="shared" si="86"/>
        <v>527.68567800000005</v>
      </c>
      <c r="S317" s="723"/>
    </row>
    <row r="318" spans="1:19" ht="15">
      <c r="A318" s="714" t="s">
        <v>1464</v>
      </c>
      <c r="B318" s="714" t="s">
        <v>1306</v>
      </c>
      <c r="C318" s="714" t="s">
        <v>1307</v>
      </c>
      <c r="D318" s="714">
        <v>9907034</v>
      </c>
      <c r="E318" s="714" t="s">
        <v>1841</v>
      </c>
      <c r="F318" s="730">
        <v>187854.50999999998</v>
      </c>
      <c r="G318" s="730">
        <v>17781.63</v>
      </c>
      <c r="H318" s="730">
        <v>170072.88</v>
      </c>
      <c r="I318" s="711"/>
      <c r="J318" s="711">
        <f t="shared" si="79"/>
        <v>56145.955948799987</v>
      </c>
      <c r="K318" s="711">
        <f t="shared" si="80"/>
        <v>27909.848273871761</v>
      </c>
      <c r="L318" s="711">
        <f t="shared" si="81"/>
        <v>10991.063656928231</v>
      </c>
      <c r="M318" s="711">
        <f t="shared" si="82"/>
        <v>17245.044018000001</v>
      </c>
      <c r="O318" s="711">
        <f t="shared" si="83"/>
        <v>5314.5735744000003</v>
      </c>
      <c r="P318" s="711">
        <f t="shared" si="84"/>
        <v>2641.8455184393838</v>
      </c>
      <c r="Q318" s="711">
        <f t="shared" si="85"/>
        <v>1040.374421960616</v>
      </c>
      <c r="R318" s="711">
        <f t="shared" si="86"/>
        <v>1632.3536340000003</v>
      </c>
      <c r="S318" s="723"/>
    </row>
    <row r="319" spans="1:19" ht="15">
      <c r="A319" s="714" t="s">
        <v>1464</v>
      </c>
      <c r="B319" s="714" t="s">
        <v>1306</v>
      </c>
      <c r="C319" s="714" t="s">
        <v>1307</v>
      </c>
      <c r="D319" s="714">
        <v>9907041</v>
      </c>
      <c r="E319" s="714" t="s">
        <v>1842</v>
      </c>
      <c r="F319" s="730">
        <v>6858.85</v>
      </c>
      <c r="G319" s="730">
        <v>2371.17</v>
      </c>
      <c r="H319" s="730">
        <v>4487.68</v>
      </c>
      <c r="I319" s="711"/>
      <c r="J319" s="711">
        <f t="shared" si="79"/>
        <v>2049.9730880000002</v>
      </c>
      <c r="K319" s="711">
        <f t="shared" si="80"/>
        <v>1019.03043388868</v>
      </c>
      <c r="L319" s="711">
        <f t="shared" si="81"/>
        <v>401.30022411132006</v>
      </c>
      <c r="M319" s="711">
        <f t="shared" si="82"/>
        <v>629.6424300000001</v>
      </c>
      <c r="O319" s="711">
        <f t="shared" si="83"/>
        <v>708.69528960000002</v>
      </c>
      <c r="P319" s="711">
        <f t="shared" si="84"/>
        <v>352.288560607656</v>
      </c>
      <c r="Q319" s="711">
        <f t="shared" si="85"/>
        <v>138.733322992344</v>
      </c>
      <c r="R319" s="711">
        <f t="shared" si="86"/>
        <v>217.67340600000003</v>
      </c>
      <c r="S319" s="723"/>
    </row>
    <row r="320" spans="1:19" ht="15">
      <c r="A320" s="714" t="s">
        <v>1464</v>
      </c>
      <c r="B320" s="714" t="s">
        <v>1306</v>
      </c>
      <c r="C320" s="714" t="s">
        <v>1307</v>
      </c>
      <c r="D320" s="714">
        <v>9907044</v>
      </c>
      <c r="E320" s="714" t="s">
        <v>1843</v>
      </c>
      <c r="F320" s="730">
        <v>156635.76</v>
      </c>
      <c r="G320" s="730">
        <v>54223.17</v>
      </c>
      <c r="H320" s="730">
        <v>102412.59</v>
      </c>
      <c r="I320" s="711"/>
      <c r="J320" s="711">
        <f t="shared" si="79"/>
        <v>46815.295948799998</v>
      </c>
      <c r="K320" s="711">
        <f t="shared" si="80"/>
        <v>23271.628111896767</v>
      </c>
      <c r="L320" s="711">
        <f t="shared" si="81"/>
        <v>9164.5050689032323</v>
      </c>
      <c r="M320" s="711">
        <f t="shared" si="82"/>
        <v>14379.162768000002</v>
      </c>
      <c r="O320" s="711">
        <f t="shared" si="83"/>
        <v>16206.221049599999</v>
      </c>
      <c r="P320" s="711">
        <f t="shared" si="84"/>
        <v>8056.0240349212554</v>
      </c>
      <c r="Q320" s="711">
        <f t="shared" si="85"/>
        <v>3172.5100086787438</v>
      </c>
      <c r="R320" s="711">
        <f t="shared" si="86"/>
        <v>4977.6870060000001</v>
      </c>
      <c r="S320" s="723"/>
    </row>
    <row r="321" spans="1:19" ht="15">
      <c r="A321" s="714" t="s">
        <v>1464</v>
      </c>
      <c r="B321" s="714" t="s">
        <v>1306</v>
      </c>
      <c r="C321" s="714" t="s">
        <v>1307</v>
      </c>
      <c r="D321" s="714">
        <v>9907068</v>
      </c>
      <c r="E321" s="714" t="s">
        <v>1844</v>
      </c>
      <c r="F321" s="730">
        <v>32098.620000000003</v>
      </c>
      <c r="G321" s="730">
        <v>11101.090000000002</v>
      </c>
      <c r="H321" s="730">
        <v>20997.530000000002</v>
      </c>
      <c r="I321" s="711"/>
      <c r="J321" s="711">
        <f t="shared" si="79"/>
        <v>9593.6355456000001</v>
      </c>
      <c r="K321" s="711">
        <f t="shared" si="80"/>
        <v>4768.9438704488157</v>
      </c>
      <c r="L321" s="711">
        <f t="shared" si="81"/>
        <v>1878.0383591511841</v>
      </c>
      <c r="M321" s="711">
        <f t="shared" si="82"/>
        <v>2946.6533160000004</v>
      </c>
      <c r="O321" s="711">
        <f t="shared" si="83"/>
        <v>3317.8937792000002</v>
      </c>
      <c r="P321" s="711">
        <f t="shared" si="84"/>
        <v>1649.3068895423121</v>
      </c>
      <c r="Q321" s="711">
        <f t="shared" si="85"/>
        <v>649.50682765768806</v>
      </c>
      <c r="R321" s="711">
        <f t="shared" si="86"/>
        <v>1019.0800620000002</v>
      </c>
      <c r="S321" s="723"/>
    </row>
    <row r="322" spans="1:19" ht="15">
      <c r="A322" s="714" t="s">
        <v>1464</v>
      </c>
      <c r="B322" s="714" t="s">
        <v>1306</v>
      </c>
      <c r="C322" s="714" t="s">
        <v>1307</v>
      </c>
      <c r="D322" s="714">
        <v>9907076</v>
      </c>
      <c r="E322" s="714" t="s">
        <v>1845</v>
      </c>
      <c r="F322" s="730">
        <v>893880.05</v>
      </c>
      <c r="G322" s="730">
        <v>309437.73</v>
      </c>
      <c r="H322" s="730">
        <v>584442.31999999995</v>
      </c>
      <c r="I322" s="711"/>
      <c r="J322" s="711">
        <f t="shared" si="79"/>
        <v>267162.86934400001</v>
      </c>
      <c r="K322" s="711">
        <f t="shared" si="80"/>
        <v>132805.20425376485</v>
      </c>
      <c r="L322" s="711">
        <f t="shared" si="81"/>
        <v>52299.476500235163</v>
      </c>
      <c r="M322" s="711">
        <f t="shared" si="82"/>
        <v>82058.188590000005</v>
      </c>
      <c r="O322" s="711">
        <f t="shared" si="83"/>
        <v>92484.748742399985</v>
      </c>
      <c r="P322" s="711">
        <f t="shared" si="84"/>
        <v>45973.66384502186</v>
      </c>
      <c r="Q322" s="711">
        <f t="shared" si="85"/>
        <v>18104.701283378134</v>
      </c>
      <c r="R322" s="711">
        <f t="shared" si="86"/>
        <v>28406.383614000002</v>
      </c>
      <c r="S322" s="723"/>
    </row>
    <row r="323" spans="1:19" ht="15">
      <c r="A323" s="714" t="s">
        <v>1464</v>
      </c>
      <c r="B323" s="714" t="s">
        <v>1306</v>
      </c>
      <c r="C323" s="714" t="s">
        <v>1307</v>
      </c>
      <c r="D323" s="714">
        <v>9907081</v>
      </c>
      <c r="E323" s="714" t="s">
        <v>1846</v>
      </c>
      <c r="F323" s="730">
        <v>31989.22</v>
      </c>
      <c r="G323" s="730">
        <v>3036.96</v>
      </c>
      <c r="H323" s="730">
        <v>28952.26</v>
      </c>
      <c r="I323" s="711"/>
      <c r="J323" s="711">
        <f t="shared" si="79"/>
        <v>9560.9380736000003</v>
      </c>
      <c r="K323" s="711">
        <f t="shared" si="80"/>
        <v>4752.690135570896</v>
      </c>
      <c r="L323" s="711">
        <f t="shared" si="81"/>
        <v>1871.6375420291042</v>
      </c>
      <c r="M323" s="711">
        <f t="shared" si="82"/>
        <v>2936.6103960000005</v>
      </c>
      <c r="O323" s="711">
        <f t="shared" si="83"/>
        <v>907.68660479999994</v>
      </c>
      <c r="P323" s="711">
        <f t="shared" si="84"/>
        <v>451.206057356928</v>
      </c>
      <c r="Q323" s="711">
        <f t="shared" si="85"/>
        <v>177.68761944307201</v>
      </c>
      <c r="R323" s="711">
        <f t="shared" si="86"/>
        <v>278.79292800000002</v>
      </c>
      <c r="S323" s="723"/>
    </row>
    <row r="324" spans="1:19" ht="15">
      <c r="A324" s="714" t="s">
        <v>1464</v>
      </c>
      <c r="B324" s="714" t="s">
        <v>1306</v>
      </c>
      <c r="C324" s="714" t="s">
        <v>1307</v>
      </c>
      <c r="D324" s="714">
        <v>9907105</v>
      </c>
      <c r="E324" s="714" t="s">
        <v>1847</v>
      </c>
      <c r="F324" s="730">
        <v>456191.79999999993</v>
      </c>
      <c r="G324" s="730">
        <v>43280.93</v>
      </c>
      <c r="H324" s="730">
        <v>412910.87000000005</v>
      </c>
      <c r="I324" s="711"/>
      <c r="J324" s="711">
        <f t="shared" si="79"/>
        <v>136346.60518399996</v>
      </c>
      <c r="K324" s="711">
        <f t="shared" si="80"/>
        <v>67777.153296902223</v>
      </c>
      <c r="L324" s="711">
        <f t="shared" si="81"/>
        <v>26691.044647097759</v>
      </c>
      <c r="M324" s="711">
        <f t="shared" si="82"/>
        <v>41878.407239999993</v>
      </c>
      <c r="O324" s="711">
        <f t="shared" si="83"/>
        <v>12935.804358399999</v>
      </c>
      <c r="P324" s="711">
        <f t="shared" si="84"/>
        <v>6430.317746707623</v>
      </c>
      <c r="Q324" s="711">
        <f t="shared" si="85"/>
        <v>2532.2972376923758</v>
      </c>
      <c r="R324" s="711">
        <f t="shared" si="86"/>
        <v>3973.1893740000005</v>
      </c>
      <c r="S324" s="723"/>
    </row>
    <row r="325" spans="1:19" ht="15">
      <c r="A325" s="714" t="s">
        <v>1464</v>
      </c>
      <c r="B325" s="714" t="s">
        <v>1306</v>
      </c>
      <c r="C325" s="714" t="s">
        <v>1307</v>
      </c>
      <c r="D325" s="714">
        <v>9907108</v>
      </c>
      <c r="E325" s="714" t="s">
        <v>1848</v>
      </c>
      <c r="F325" s="730">
        <v>14932.25</v>
      </c>
      <c r="G325" s="730">
        <v>5169.1499999999996</v>
      </c>
      <c r="H325" s="730">
        <v>9763.1</v>
      </c>
      <c r="I325" s="711"/>
      <c r="J325" s="711">
        <f t="shared" si="79"/>
        <v>4462.9508799999994</v>
      </c>
      <c r="K325" s="711">
        <f t="shared" si="80"/>
        <v>2218.5085249618</v>
      </c>
      <c r="L325" s="711">
        <f t="shared" si="81"/>
        <v>873.66180503819999</v>
      </c>
      <c r="M325" s="711">
        <f t="shared" si="82"/>
        <v>1370.7805500000002</v>
      </c>
      <c r="O325" s="711">
        <f t="shared" si="83"/>
        <v>1544.9555519999997</v>
      </c>
      <c r="P325" s="711">
        <f t="shared" si="84"/>
        <v>767.98897298171983</v>
      </c>
      <c r="Q325" s="711">
        <f t="shared" si="85"/>
        <v>302.43860901827998</v>
      </c>
      <c r="R325" s="711">
        <f t="shared" si="86"/>
        <v>474.52796999999998</v>
      </c>
      <c r="S325" s="723"/>
    </row>
    <row r="326" spans="1:19" ht="15">
      <c r="A326" s="714" t="s">
        <v>1464</v>
      </c>
      <c r="B326" s="714" t="s">
        <v>1306</v>
      </c>
      <c r="C326" s="714" t="s">
        <v>1307</v>
      </c>
      <c r="D326" s="714">
        <v>9907126</v>
      </c>
      <c r="E326" s="714" t="s">
        <v>1849</v>
      </c>
      <c r="F326" s="730">
        <v>218710.15</v>
      </c>
      <c r="G326" s="730">
        <v>75711.69</v>
      </c>
      <c r="H326" s="730">
        <v>142998.46</v>
      </c>
      <c r="I326" s="711"/>
      <c r="J326" s="711">
        <f t="shared" si="79"/>
        <v>65368.089631999996</v>
      </c>
      <c r="K326" s="711">
        <f t="shared" si="80"/>
        <v>32494.120596070516</v>
      </c>
      <c r="L326" s="711">
        <f t="shared" si="81"/>
        <v>12796.377265929479</v>
      </c>
      <c r="M326" s="711">
        <f t="shared" si="82"/>
        <v>20077.591770000003</v>
      </c>
      <c r="O326" s="711">
        <f t="shared" si="83"/>
        <v>22628.709907199998</v>
      </c>
      <c r="P326" s="711">
        <f t="shared" si="84"/>
        <v>11248.60819396039</v>
      </c>
      <c r="Q326" s="711">
        <f t="shared" si="85"/>
        <v>4429.7685712396078</v>
      </c>
      <c r="R326" s="711">
        <f t="shared" si="86"/>
        <v>6950.3331420000004</v>
      </c>
      <c r="S326" s="723"/>
    </row>
    <row r="327" spans="1:19" ht="15">
      <c r="A327" s="714" t="s">
        <v>1464</v>
      </c>
      <c r="B327" s="714" t="s">
        <v>1306</v>
      </c>
      <c r="C327" s="714" t="s">
        <v>1307</v>
      </c>
      <c r="D327" s="714">
        <v>9907130</v>
      </c>
      <c r="E327" s="714" t="s">
        <v>1850</v>
      </c>
      <c r="F327" s="730">
        <v>391439.07999999996</v>
      </c>
      <c r="G327" s="730">
        <v>135408.56</v>
      </c>
      <c r="H327" s="730">
        <v>256030.52</v>
      </c>
      <c r="I327" s="711"/>
      <c r="J327" s="711">
        <f t="shared" si="79"/>
        <v>116993.31223039998</v>
      </c>
      <c r="K327" s="711">
        <f t="shared" si="80"/>
        <v>58156.736994304534</v>
      </c>
      <c r="L327" s="711">
        <f t="shared" si="81"/>
        <v>22902.467692095452</v>
      </c>
      <c r="M327" s="711">
        <f t="shared" si="82"/>
        <v>35934.107543999999</v>
      </c>
      <c r="O327" s="711">
        <f t="shared" si="83"/>
        <v>40470.910412799996</v>
      </c>
      <c r="P327" s="711">
        <f t="shared" si="84"/>
        <v>20117.868687759805</v>
      </c>
      <c r="Q327" s="711">
        <f t="shared" si="85"/>
        <v>7922.5359170401916</v>
      </c>
      <c r="R327" s="711">
        <f t="shared" si="86"/>
        <v>12430.505808</v>
      </c>
      <c r="S327" s="723"/>
    </row>
    <row r="328" spans="1:19" ht="15">
      <c r="A328" s="714" t="s">
        <v>1464</v>
      </c>
      <c r="B328" s="714" t="s">
        <v>1306</v>
      </c>
      <c r="C328" s="714" t="s">
        <v>1307</v>
      </c>
      <c r="D328" s="714">
        <v>9907151</v>
      </c>
      <c r="E328" s="714" t="s">
        <v>1851</v>
      </c>
      <c r="F328" s="730">
        <v>59164.66</v>
      </c>
      <c r="G328" s="730">
        <v>5616.92</v>
      </c>
      <c r="H328" s="730">
        <v>53547.74</v>
      </c>
      <c r="I328" s="711"/>
      <c r="J328" s="711">
        <f t="shared" si="79"/>
        <v>17683.1335808</v>
      </c>
      <c r="K328" s="711">
        <f t="shared" si="80"/>
        <v>8790.1891936222873</v>
      </c>
      <c r="L328" s="711">
        <f t="shared" si="81"/>
        <v>3461.6285991777122</v>
      </c>
      <c r="M328" s="711">
        <f t="shared" si="82"/>
        <v>5431.3157880000008</v>
      </c>
      <c r="O328" s="711">
        <f t="shared" si="83"/>
        <v>1678.7850495999999</v>
      </c>
      <c r="P328" s="711">
        <f t="shared" si="84"/>
        <v>834.51488583625598</v>
      </c>
      <c r="Q328" s="711">
        <f t="shared" si="85"/>
        <v>328.63690776374403</v>
      </c>
      <c r="R328" s="711">
        <f t="shared" si="86"/>
        <v>515.63325600000007</v>
      </c>
      <c r="S328" s="723"/>
    </row>
    <row r="329" spans="1:19" ht="15">
      <c r="A329" s="714" t="s">
        <v>1464</v>
      </c>
      <c r="B329" s="714" t="s">
        <v>1306</v>
      </c>
      <c r="C329" s="714" t="s">
        <v>1307</v>
      </c>
      <c r="D329" s="714">
        <v>9907156</v>
      </c>
      <c r="E329" s="714" t="s">
        <v>1852</v>
      </c>
      <c r="F329" s="730">
        <v>797067.46000000008</v>
      </c>
      <c r="G329" s="730">
        <v>75671.100000000006</v>
      </c>
      <c r="H329" s="730">
        <v>721396.36</v>
      </c>
      <c r="I329" s="711"/>
      <c r="J329" s="711">
        <f t="shared" si="79"/>
        <v>238227.52244480001</v>
      </c>
      <c r="K329" s="711">
        <f t="shared" si="80"/>
        <v>118421.60123086933</v>
      </c>
      <c r="L329" s="711">
        <f t="shared" si="81"/>
        <v>46635.128385930679</v>
      </c>
      <c r="M329" s="711">
        <f t="shared" si="82"/>
        <v>73170.79282800002</v>
      </c>
      <c r="O329" s="711">
        <f t="shared" si="83"/>
        <v>22616.578367999999</v>
      </c>
      <c r="P329" s="711">
        <f t="shared" si="84"/>
        <v>11242.57767203448</v>
      </c>
      <c r="Q329" s="711">
        <f t="shared" si="85"/>
        <v>4427.3937159655206</v>
      </c>
      <c r="R329" s="711">
        <f t="shared" si="86"/>
        <v>6946.6069800000014</v>
      </c>
      <c r="S329" s="723"/>
    </row>
    <row r="330" spans="1:19" ht="15">
      <c r="A330" s="714" t="s">
        <v>1464</v>
      </c>
      <c r="B330" s="714" t="s">
        <v>1306</v>
      </c>
      <c r="C330" s="714" t="s">
        <v>1307</v>
      </c>
      <c r="D330" s="714">
        <v>9907167</v>
      </c>
      <c r="E330" s="714" t="s">
        <v>1853</v>
      </c>
      <c r="F330" s="730">
        <v>193657.72000000003</v>
      </c>
      <c r="G330" s="730">
        <v>18385.329999999998</v>
      </c>
      <c r="H330" s="730">
        <v>175272.39</v>
      </c>
      <c r="I330" s="711"/>
      <c r="J330" s="711">
        <f t="shared" si="79"/>
        <v>57880.419353600002</v>
      </c>
      <c r="K330" s="711">
        <f t="shared" si="80"/>
        <v>28772.040566201696</v>
      </c>
      <c r="L330" s="711">
        <f t="shared" si="81"/>
        <v>11330.600091398304</v>
      </c>
      <c r="M330" s="711">
        <f t="shared" si="82"/>
        <v>17777.778696000005</v>
      </c>
      <c r="O330" s="711">
        <f t="shared" si="83"/>
        <v>5495.0074303999991</v>
      </c>
      <c r="P330" s="711">
        <f t="shared" si="84"/>
        <v>2731.5382035015436</v>
      </c>
      <c r="Q330" s="711">
        <f t="shared" si="85"/>
        <v>1075.6959328984558</v>
      </c>
      <c r="R330" s="711">
        <f t="shared" si="86"/>
        <v>1687.7732939999999</v>
      </c>
      <c r="S330" s="723"/>
    </row>
    <row r="331" spans="1:19" ht="15">
      <c r="A331" s="714" t="s">
        <v>1464</v>
      </c>
      <c r="B331" s="714" t="s">
        <v>1306</v>
      </c>
      <c r="C331" s="714" t="s">
        <v>1307</v>
      </c>
      <c r="D331" s="714">
        <v>9907170</v>
      </c>
      <c r="E331" s="714" t="s">
        <v>1854</v>
      </c>
      <c r="F331" s="730">
        <v>162713.99</v>
      </c>
      <c r="G331" s="730">
        <v>15447.6</v>
      </c>
      <c r="H331" s="730">
        <v>147266.39000000001</v>
      </c>
      <c r="I331" s="711"/>
      <c r="J331" s="711">
        <f t="shared" si="79"/>
        <v>48631.957331199992</v>
      </c>
      <c r="K331" s="711">
        <f t="shared" si="80"/>
        <v>24174.68057027903</v>
      </c>
      <c r="L331" s="711">
        <f t="shared" si="81"/>
        <v>9520.1324789209684</v>
      </c>
      <c r="M331" s="711">
        <f t="shared" si="82"/>
        <v>14937.144282000001</v>
      </c>
      <c r="O331" s="711">
        <f t="shared" si="83"/>
        <v>4616.9786880000001</v>
      </c>
      <c r="P331" s="711">
        <f t="shared" si="84"/>
        <v>2295.0749076796797</v>
      </c>
      <c r="Q331" s="711">
        <f t="shared" si="85"/>
        <v>903.81410032031999</v>
      </c>
      <c r="R331" s="711">
        <f t="shared" si="86"/>
        <v>1418.08968</v>
      </c>
      <c r="S331" s="723"/>
    </row>
    <row r="332" spans="1:19" ht="15">
      <c r="A332" s="714" t="s">
        <v>1464</v>
      </c>
      <c r="B332" s="714" t="s">
        <v>1306</v>
      </c>
      <c r="C332" s="714" t="s">
        <v>1307</v>
      </c>
      <c r="D332" s="714">
        <v>9907173</v>
      </c>
      <c r="E332" s="714" t="s">
        <v>1855</v>
      </c>
      <c r="F332" s="730">
        <v>439152.62</v>
      </c>
      <c r="G332" s="730">
        <v>41691.689999999995</v>
      </c>
      <c r="H332" s="730">
        <v>397460.93</v>
      </c>
      <c r="I332" s="711"/>
      <c r="J332" s="711">
        <f t="shared" si="79"/>
        <v>131253.9350656</v>
      </c>
      <c r="K332" s="711">
        <f t="shared" si="80"/>
        <v>65245.614775356014</v>
      </c>
      <c r="L332" s="711">
        <f t="shared" si="81"/>
        <v>25694.109774243985</v>
      </c>
      <c r="M332" s="711">
        <f t="shared" si="82"/>
        <v>40314.210515999999</v>
      </c>
      <c r="O332" s="711">
        <f t="shared" si="83"/>
        <v>12460.812307199998</v>
      </c>
      <c r="P332" s="711">
        <f t="shared" si="84"/>
        <v>6194.2017904243912</v>
      </c>
      <c r="Q332" s="711">
        <f t="shared" si="85"/>
        <v>2439.3133747756078</v>
      </c>
      <c r="R332" s="711">
        <f t="shared" si="86"/>
        <v>3827.2971419999999</v>
      </c>
      <c r="S332" s="723"/>
    </row>
    <row r="333" spans="1:19" ht="15">
      <c r="A333" s="714" t="s">
        <v>1464</v>
      </c>
      <c r="B333" s="714" t="s">
        <v>1306</v>
      </c>
      <c r="C333" s="714" t="s">
        <v>1307</v>
      </c>
      <c r="D333" s="714">
        <v>9907182</v>
      </c>
      <c r="E333" s="714" t="s">
        <v>1856</v>
      </c>
      <c r="F333" s="730">
        <v>1626238.57</v>
      </c>
      <c r="G333" s="730">
        <v>154390.42000000001</v>
      </c>
      <c r="H333" s="730">
        <v>1471848.15</v>
      </c>
      <c r="I333" s="711"/>
      <c r="J333" s="711">
        <f t="shared" si="79"/>
        <v>486050.18380160001</v>
      </c>
      <c r="K333" s="711">
        <f t="shared" si="80"/>
        <v>241612.89364741996</v>
      </c>
      <c r="L333" s="711">
        <f t="shared" si="81"/>
        <v>95148.589428180028</v>
      </c>
      <c r="M333" s="711">
        <f t="shared" si="82"/>
        <v>149288.70072600001</v>
      </c>
      <c r="O333" s="711">
        <f t="shared" si="83"/>
        <v>46144.208729600003</v>
      </c>
      <c r="P333" s="711">
        <f t="shared" si="84"/>
        <v>22938.034317831054</v>
      </c>
      <c r="Q333" s="711">
        <f t="shared" si="85"/>
        <v>9033.1338557689451</v>
      </c>
      <c r="R333" s="711">
        <f t="shared" si="86"/>
        <v>14173.040556000002</v>
      </c>
      <c r="S333" s="723"/>
    </row>
    <row r="334" spans="1:19" ht="15">
      <c r="A334" s="714" t="s">
        <v>1464</v>
      </c>
      <c r="B334" s="714" t="s">
        <v>1306</v>
      </c>
      <c r="C334" s="714" t="s">
        <v>1307</v>
      </c>
      <c r="D334" s="714">
        <v>9907195</v>
      </c>
      <c r="E334" s="714" t="s">
        <v>1857</v>
      </c>
      <c r="F334" s="730">
        <v>135041.54</v>
      </c>
      <c r="G334" s="730">
        <v>12820.349999999999</v>
      </c>
      <c r="H334" s="730">
        <v>122221.19</v>
      </c>
      <c r="I334" s="711"/>
      <c r="J334" s="711">
        <f t="shared" si="79"/>
        <v>40361.215475199999</v>
      </c>
      <c r="K334" s="711">
        <f t="shared" si="80"/>
        <v>20063.33993296187</v>
      </c>
      <c r="L334" s="711">
        <f t="shared" si="81"/>
        <v>7901.0621702381277</v>
      </c>
      <c r="M334" s="711">
        <f t="shared" si="82"/>
        <v>12396.813372000002</v>
      </c>
      <c r="O334" s="711">
        <f t="shared" si="83"/>
        <v>3831.7462079999991</v>
      </c>
      <c r="P334" s="711">
        <f t="shared" si="84"/>
        <v>1904.7401274418794</v>
      </c>
      <c r="Q334" s="711">
        <f t="shared" si="85"/>
        <v>750.09795055811981</v>
      </c>
      <c r="R334" s="711">
        <f t="shared" si="86"/>
        <v>1176.90813</v>
      </c>
      <c r="S334" s="723"/>
    </row>
    <row r="335" spans="1:19" ht="15">
      <c r="A335" s="714" t="s">
        <v>1464</v>
      </c>
      <c r="B335" s="714" t="s">
        <v>1306</v>
      </c>
      <c r="C335" s="714" t="s">
        <v>1307</v>
      </c>
      <c r="D335" s="714">
        <v>9907207</v>
      </c>
      <c r="E335" s="714" t="s">
        <v>1858</v>
      </c>
      <c r="F335" s="730">
        <v>622942.39</v>
      </c>
      <c r="G335" s="730">
        <v>59140.36</v>
      </c>
      <c r="H335" s="730">
        <v>563802.03</v>
      </c>
      <c r="I335" s="711"/>
      <c r="J335" s="711">
        <f t="shared" si="79"/>
        <v>186185.0215232</v>
      </c>
      <c r="K335" s="711">
        <f t="shared" si="80"/>
        <v>92551.558055556146</v>
      </c>
      <c r="L335" s="711">
        <f t="shared" si="81"/>
        <v>36447.352065643849</v>
      </c>
      <c r="M335" s="711">
        <f t="shared" si="82"/>
        <v>57186.111402000002</v>
      </c>
      <c r="O335" s="711">
        <f t="shared" si="83"/>
        <v>17675.870796799998</v>
      </c>
      <c r="P335" s="711">
        <f t="shared" si="84"/>
        <v>8786.5789033340479</v>
      </c>
      <c r="Q335" s="711">
        <f t="shared" si="85"/>
        <v>3460.206845465952</v>
      </c>
      <c r="R335" s="711">
        <f t="shared" si="86"/>
        <v>5429.0850480000008</v>
      </c>
      <c r="S335" s="723"/>
    </row>
    <row r="336" spans="1:19" ht="15">
      <c r="A336" s="714" t="s">
        <v>1464</v>
      </c>
      <c r="B336" s="714" t="s">
        <v>1306</v>
      </c>
      <c r="C336" s="714" t="s">
        <v>1307</v>
      </c>
      <c r="D336" s="714">
        <v>9907218</v>
      </c>
      <c r="E336" s="714" t="s">
        <v>1859</v>
      </c>
      <c r="F336" s="730">
        <v>476679.76</v>
      </c>
      <c r="G336" s="730">
        <v>45254.61</v>
      </c>
      <c r="H336" s="730">
        <v>431425.15</v>
      </c>
      <c r="I336" s="711"/>
      <c r="J336" s="711">
        <f t="shared" si="79"/>
        <v>142470.0466688</v>
      </c>
      <c r="K336" s="711">
        <f t="shared" si="80"/>
        <v>70821.082639035958</v>
      </c>
      <c r="L336" s="711">
        <f t="shared" si="81"/>
        <v>27889.762061764031</v>
      </c>
      <c r="M336" s="711">
        <f t="shared" si="82"/>
        <v>43759.201968000001</v>
      </c>
      <c r="O336" s="711">
        <f t="shared" si="83"/>
        <v>13525.6978368</v>
      </c>
      <c r="P336" s="711">
        <f t="shared" si="84"/>
        <v>6723.5505753534471</v>
      </c>
      <c r="Q336" s="711">
        <f t="shared" si="85"/>
        <v>2647.7740634465517</v>
      </c>
      <c r="R336" s="711">
        <f t="shared" si="86"/>
        <v>4154.3731980000002</v>
      </c>
      <c r="S336" s="723"/>
    </row>
    <row r="337" spans="1:19" ht="15">
      <c r="A337" s="714" t="s">
        <v>1464</v>
      </c>
      <c r="B337" s="714" t="s">
        <v>1312</v>
      </c>
      <c r="C337" s="714" t="s">
        <v>1310</v>
      </c>
      <c r="D337" s="714">
        <v>9805992</v>
      </c>
      <c r="E337" s="714" t="s">
        <v>1860</v>
      </c>
      <c r="F337" s="730">
        <v>189321</v>
      </c>
      <c r="G337" s="730">
        <v>68913.76999999999</v>
      </c>
      <c r="H337" s="730">
        <v>120407.22999999998</v>
      </c>
      <c r="I337" s="711"/>
      <c r="J337" s="711">
        <v>0</v>
      </c>
      <c r="K337" s="711">
        <v>0</v>
      </c>
      <c r="L337" s="711">
        <v>0</v>
      </c>
      <c r="M337" s="711">
        <v>0</v>
      </c>
      <c r="O337" s="711">
        <v>0</v>
      </c>
      <c r="P337" s="711">
        <v>0</v>
      </c>
      <c r="Q337" s="711">
        <v>0</v>
      </c>
      <c r="R337" s="711">
        <v>0</v>
      </c>
      <c r="S337" s="723"/>
    </row>
    <row r="338" spans="1:19" ht="15">
      <c r="A338" s="714" t="s">
        <v>1464</v>
      </c>
      <c r="B338" s="714" t="s">
        <v>1312</v>
      </c>
      <c r="C338" s="714" t="s">
        <v>1310</v>
      </c>
      <c r="D338" s="714">
        <v>9806123</v>
      </c>
      <c r="E338" s="714" t="s">
        <v>1861</v>
      </c>
      <c r="F338" s="730">
        <v>450663.82999999996</v>
      </c>
      <c r="G338" s="730">
        <v>164146.89000000001</v>
      </c>
      <c r="H338" s="730">
        <v>286516.94</v>
      </c>
      <c r="I338" s="711"/>
      <c r="J338" s="711">
        <v>0</v>
      </c>
      <c r="K338" s="711">
        <v>0</v>
      </c>
      <c r="L338" s="711">
        <v>0</v>
      </c>
      <c r="M338" s="711">
        <v>0</v>
      </c>
      <c r="O338" s="711">
        <v>0</v>
      </c>
      <c r="P338" s="711">
        <v>0</v>
      </c>
      <c r="Q338" s="711">
        <v>0</v>
      </c>
      <c r="R338" s="711">
        <v>0</v>
      </c>
      <c r="S338" s="723"/>
    </row>
    <row r="339" spans="1:19" ht="15">
      <c r="A339" s="714" t="s">
        <v>1475</v>
      </c>
      <c r="B339" s="714" t="s">
        <v>1306</v>
      </c>
      <c r="C339" s="714" t="s">
        <v>1307</v>
      </c>
      <c r="D339" s="714">
        <v>9906641</v>
      </c>
      <c r="E339" s="714" t="s">
        <v>1476</v>
      </c>
      <c r="F339" s="730">
        <v>239611.36</v>
      </c>
      <c r="G339" s="730">
        <v>95418.489999999991</v>
      </c>
      <c r="H339" s="730">
        <v>144192.87</v>
      </c>
      <c r="I339" s="711"/>
      <c r="J339" s="711">
        <f>F339*($J$2+$M$2)</f>
        <v>71615.043276799988</v>
      </c>
      <c r="K339" s="711">
        <f t="shared" ref="K339" si="87">F339*$J$2*$K$7</f>
        <v>35599.447158846844</v>
      </c>
      <c r="L339" s="711">
        <f t="shared" ref="L339" si="88">F339*$J$2*$L$7</f>
        <v>14019.27326995315</v>
      </c>
      <c r="M339" s="711">
        <f t="shared" ref="M339" si="89">F339*$M$2</f>
        <v>21996.322848</v>
      </c>
      <c r="O339" s="711">
        <f t="shared" ref="O339" si="90">G339*($J$2+$M$2)</f>
        <v>28518.678291199994</v>
      </c>
      <c r="P339" s="711">
        <f t="shared" ref="P339" si="91">G339*$J$2*$K$7</f>
        <v>14176.47933191463</v>
      </c>
      <c r="Q339" s="711">
        <f t="shared" ref="Q339" si="92">G339*$J$2*$L$7</f>
        <v>5582.7815772853683</v>
      </c>
      <c r="R339" s="711">
        <f t="shared" ref="R339" si="93">G339*$M$2</f>
        <v>8759.4173819999996</v>
      </c>
      <c r="S339" s="723"/>
    </row>
    <row r="340" spans="1:19" ht="15">
      <c r="A340" s="714" t="s">
        <v>1475</v>
      </c>
      <c r="B340" s="714" t="s">
        <v>1306</v>
      </c>
      <c r="C340" s="714" t="s">
        <v>1307</v>
      </c>
      <c r="D340" s="714">
        <v>9906957</v>
      </c>
      <c r="E340" s="714" t="s">
        <v>1862</v>
      </c>
      <c r="F340" s="730">
        <v>9427.65</v>
      </c>
      <c r="G340" s="730">
        <v>2735.55</v>
      </c>
      <c r="H340" s="730">
        <v>6692.1</v>
      </c>
      <c r="I340" s="711"/>
      <c r="J340" s="711">
        <f t="shared" ref="J340:J341" si="94">F340*($J$2+$M$2)</f>
        <v>2817.7360319999998</v>
      </c>
      <c r="K340" s="711">
        <f t="shared" ref="K340:K341" si="95">F340*$J$2*$K$7</f>
        <v>1400.6812031245197</v>
      </c>
      <c r="L340" s="711">
        <f t="shared" ref="L340:L341" si="96">F340*$J$2*$L$7</f>
        <v>551.5965588754799</v>
      </c>
      <c r="M340" s="711">
        <f t="shared" ref="M340:M341" si="97">F340*$M$2</f>
        <v>865.45827000000008</v>
      </c>
      <c r="O340" s="711">
        <f t="shared" ref="O340:O341" si="98">G340*($J$2+$M$2)</f>
        <v>817.60118399999999</v>
      </c>
      <c r="P340" s="711">
        <f t="shared" ref="P340:P341" si="99">G340*$J$2*$K$7</f>
        <v>406.42508633724003</v>
      </c>
      <c r="Q340" s="711">
        <f t="shared" ref="Q340:Q341" si="100">G340*$J$2*$L$7</f>
        <v>160.05260766276001</v>
      </c>
      <c r="R340" s="711">
        <f t="shared" ref="R340:R341" si="101">G340*$M$2</f>
        <v>251.12349000000003</v>
      </c>
      <c r="S340" s="723"/>
    </row>
    <row r="341" spans="1:19" ht="15">
      <c r="A341" s="714" t="s">
        <v>1475</v>
      </c>
      <c r="B341" s="714" t="s">
        <v>1306</v>
      </c>
      <c r="C341" s="714" t="s">
        <v>1307</v>
      </c>
      <c r="D341" s="714">
        <v>9907169</v>
      </c>
      <c r="E341" s="714" t="s">
        <v>1863</v>
      </c>
      <c r="F341" s="730">
        <v>463969</v>
      </c>
      <c r="G341" s="730">
        <v>42530.5</v>
      </c>
      <c r="H341" s="730">
        <v>421438.5</v>
      </c>
      <c r="I341" s="711"/>
      <c r="J341" s="711">
        <f t="shared" si="94"/>
        <v>138671.05471999999</v>
      </c>
      <c r="K341" s="711">
        <f t="shared" si="95"/>
        <v>68932.624475079196</v>
      </c>
      <c r="L341" s="711">
        <f t="shared" si="96"/>
        <v>27146.076044920799</v>
      </c>
      <c r="M341" s="711">
        <f t="shared" si="97"/>
        <v>42592.354200000002</v>
      </c>
      <c r="O341" s="711">
        <f t="shared" si="98"/>
        <v>12711.515839999998</v>
      </c>
      <c r="P341" s="711">
        <f t="shared" si="99"/>
        <v>6318.8251483123995</v>
      </c>
      <c r="Q341" s="711">
        <f t="shared" si="100"/>
        <v>2488.3907916876001</v>
      </c>
      <c r="R341" s="711">
        <f t="shared" si="101"/>
        <v>3904.2999000000004</v>
      </c>
      <c r="S341" s="723"/>
    </row>
    <row r="342" spans="1:19" ht="15">
      <c r="A342" s="714" t="s">
        <v>1475</v>
      </c>
      <c r="B342" s="714" t="s">
        <v>1312</v>
      </c>
      <c r="C342" s="714" t="s">
        <v>1310</v>
      </c>
      <c r="D342" s="714">
        <v>9806179</v>
      </c>
      <c r="E342" s="714" t="s">
        <v>1864</v>
      </c>
      <c r="F342" s="730">
        <v>1566542.44</v>
      </c>
      <c r="G342" s="730">
        <v>388775.99</v>
      </c>
      <c r="H342" s="730">
        <v>1177766.45</v>
      </c>
      <c r="I342" s="711"/>
      <c r="J342" s="711">
        <v>0</v>
      </c>
      <c r="K342" s="711">
        <v>0</v>
      </c>
      <c r="L342" s="711">
        <v>0</v>
      </c>
      <c r="M342" s="711">
        <v>0</v>
      </c>
      <c r="O342" s="711">
        <v>0</v>
      </c>
      <c r="P342" s="711">
        <v>0</v>
      </c>
      <c r="Q342" s="711">
        <v>0</v>
      </c>
      <c r="R342" s="711">
        <v>0</v>
      </c>
      <c r="S342" s="723"/>
    </row>
    <row r="343" spans="1:19" ht="15">
      <c r="A343" s="714" t="s">
        <v>1475</v>
      </c>
      <c r="B343" s="714" t="s">
        <v>1312</v>
      </c>
      <c r="C343" s="714" t="s">
        <v>1310</v>
      </c>
      <c r="D343" s="714">
        <v>9806182</v>
      </c>
      <c r="E343" s="714" t="s">
        <v>1477</v>
      </c>
      <c r="F343" s="730">
        <v>363786.26</v>
      </c>
      <c r="G343" s="730">
        <v>131719.85999999999</v>
      </c>
      <c r="H343" s="730">
        <v>232066.4</v>
      </c>
      <c r="I343" s="711"/>
      <c r="J343" s="711">
        <v>0</v>
      </c>
      <c r="K343" s="711">
        <v>0</v>
      </c>
      <c r="L343" s="711">
        <v>0</v>
      </c>
      <c r="M343" s="711">
        <v>0</v>
      </c>
      <c r="O343" s="711">
        <v>0</v>
      </c>
      <c r="P343" s="711">
        <v>0</v>
      </c>
      <c r="Q343" s="711">
        <v>0</v>
      </c>
      <c r="R343" s="711">
        <v>0</v>
      </c>
      <c r="S343" s="723"/>
    </row>
    <row r="344" spans="1:19" ht="15">
      <c r="A344" s="714" t="s">
        <v>1475</v>
      </c>
      <c r="B344" s="714" t="s">
        <v>1312</v>
      </c>
      <c r="C344" s="714" t="s">
        <v>1310</v>
      </c>
      <c r="D344" s="714">
        <v>9806187</v>
      </c>
      <c r="E344" s="714" t="s">
        <v>1478</v>
      </c>
      <c r="F344" s="730">
        <v>226934.2</v>
      </c>
      <c r="G344" s="730">
        <v>82164.76999999999</v>
      </c>
      <c r="H344" s="730">
        <v>144769.43</v>
      </c>
      <c r="I344" s="711"/>
      <c r="J344" s="711">
        <v>0</v>
      </c>
      <c r="K344" s="711">
        <v>0</v>
      </c>
      <c r="L344" s="711">
        <v>0</v>
      </c>
      <c r="M344" s="711">
        <v>0</v>
      </c>
      <c r="O344" s="711">
        <v>0</v>
      </c>
      <c r="P344" s="711">
        <v>0</v>
      </c>
      <c r="Q344" s="711">
        <v>0</v>
      </c>
      <c r="R344" s="711">
        <v>0</v>
      </c>
      <c r="S344" s="723"/>
    </row>
    <row r="345" spans="1:19" ht="15">
      <c r="A345" s="714" t="s">
        <v>1475</v>
      </c>
      <c r="B345" s="714" t="s">
        <v>1312</v>
      </c>
      <c r="C345" s="714" t="s">
        <v>1310</v>
      </c>
      <c r="D345" s="714">
        <v>9806193</v>
      </c>
      <c r="E345" s="714" t="s">
        <v>1865</v>
      </c>
      <c r="F345" s="730">
        <v>172571.34</v>
      </c>
      <c r="G345" s="730">
        <v>62483.26</v>
      </c>
      <c r="H345" s="730">
        <v>110088.08</v>
      </c>
      <c r="I345" s="711"/>
      <c r="J345" s="711">
        <v>0</v>
      </c>
      <c r="K345" s="711">
        <v>0</v>
      </c>
      <c r="L345" s="711">
        <v>0</v>
      </c>
      <c r="M345" s="711">
        <v>0</v>
      </c>
      <c r="O345" s="711">
        <v>0</v>
      </c>
      <c r="P345" s="711">
        <v>0</v>
      </c>
      <c r="Q345" s="711">
        <v>0</v>
      </c>
      <c r="R345" s="711">
        <v>0</v>
      </c>
      <c r="S345" s="723"/>
    </row>
    <row r="346" spans="1:19" ht="15">
      <c r="A346" s="714" t="s">
        <v>1475</v>
      </c>
      <c r="B346" s="714" t="s">
        <v>1312</v>
      </c>
      <c r="C346" s="714" t="s">
        <v>1310</v>
      </c>
      <c r="D346" s="714">
        <v>9806201</v>
      </c>
      <c r="E346" s="714" t="s">
        <v>1866</v>
      </c>
      <c r="F346" s="730">
        <v>32186.97</v>
      </c>
      <c r="G346" s="730">
        <v>7986.7000000000007</v>
      </c>
      <c r="H346" s="730">
        <v>24200.27</v>
      </c>
      <c r="I346" s="711"/>
      <c r="J346" s="711">
        <v>0</v>
      </c>
      <c r="K346" s="711">
        <v>0</v>
      </c>
      <c r="L346" s="711">
        <v>0</v>
      </c>
      <c r="M346" s="711">
        <v>0</v>
      </c>
      <c r="O346" s="711">
        <v>0</v>
      </c>
      <c r="P346" s="711">
        <v>0</v>
      </c>
      <c r="Q346" s="711">
        <v>0</v>
      </c>
      <c r="R346" s="711">
        <v>0</v>
      </c>
      <c r="S346" s="723"/>
    </row>
    <row r="347" spans="1:19" ht="15">
      <c r="A347" s="714" t="s">
        <v>1475</v>
      </c>
      <c r="B347" s="714" t="s">
        <v>1312</v>
      </c>
      <c r="C347" s="714" t="s">
        <v>1310</v>
      </c>
      <c r="D347" s="714">
        <v>9806203</v>
      </c>
      <c r="E347" s="714" t="s">
        <v>1867</v>
      </c>
      <c r="F347" s="730">
        <v>414249.16000000003</v>
      </c>
      <c r="G347" s="730">
        <v>102774.18</v>
      </c>
      <c r="H347" s="730">
        <v>311474.98000000004</v>
      </c>
      <c r="I347" s="711"/>
      <c r="J347" s="711">
        <v>0</v>
      </c>
      <c r="K347" s="711">
        <v>0</v>
      </c>
      <c r="L347" s="711">
        <v>0</v>
      </c>
      <c r="M347" s="711">
        <v>0</v>
      </c>
      <c r="O347" s="711">
        <v>0</v>
      </c>
      <c r="P347" s="711">
        <v>0</v>
      </c>
      <c r="Q347" s="711">
        <v>0</v>
      </c>
      <c r="R347" s="711">
        <v>0</v>
      </c>
      <c r="S347" s="723"/>
    </row>
    <row r="348" spans="1:19" ht="15">
      <c r="A348" s="724" t="s">
        <v>1479</v>
      </c>
      <c r="B348" s="724"/>
      <c r="C348" s="724"/>
      <c r="D348" s="724"/>
      <c r="E348" s="724"/>
      <c r="F348" s="725">
        <f>SUM(F277:F347)</f>
        <v>32052928.990000006</v>
      </c>
      <c r="G348" s="725">
        <f>SUM(G277:G347)</f>
        <v>10739339.019999998</v>
      </c>
      <c r="H348" s="725">
        <f>SUM(H277:H347)</f>
        <v>21313589.969999999</v>
      </c>
      <c r="I348" s="711"/>
      <c r="J348" s="725">
        <f>SUM(J277:J347)</f>
        <v>8445908.0028095972</v>
      </c>
      <c r="K348" s="725">
        <f>SUM(K277:K347)</f>
        <v>4198414.7728903936</v>
      </c>
      <c r="L348" s="725">
        <f>SUM(L277:L347)</f>
        <v>1653360.6193132056</v>
      </c>
      <c r="M348" s="725">
        <f>SUM(M277:M347)</f>
        <v>2594132.6106060008</v>
      </c>
      <c r="O348" s="725">
        <f>SUM(O277:O347)</f>
        <v>2882313.4047040003</v>
      </c>
      <c r="P348" s="725">
        <f>SUM(P277:P347)</f>
        <v>1432782.2626511839</v>
      </c>
      <c r="Q348" s="725">
        <f>SUM(Q277:Q347)</f>
        <v>564238.14636281552</v>
      </c>
      <c r="R348" s="725">
        <f>SUM(R277:R347)</f>
        <v>885292.99568999989</v>
      </c>
    </row>
    <row r="349" spans="1:19" ht="15">
      <c r="A349" s="726" t="s">
        <v>1346</v>
      </c>
      <c r="B349" s="726"/>
      <c r="C349" s="726"/>
      <c r="D349" s="726"/>
      <c r="E349" s="726"/>
      <c r="F349" s="727"/>
      <c r="G349" s="727"/>
      <c r="H349" s="727"/>
      <c r="I349" s="727"/>
      <c r="J349" s="727"/>
      <c r="K349" s="728"/>
      <c r="L349" s="727"/>
      <c r="M349" s="727"/>
      <c r="N349" s="739"/>
      <c r="O349" s="727"/>
      <c r="P349" s="727"/>
      <c r="Q349" s="727"/>
    </row>
    <row r="350" spans="1:19" ht="15">
      <c r="A350" s="726"/>
      <c r="B350" s="726"/>
      <c r="C350" s="726"/>
      <c r="D350" s="726"/>
      <c r="E350" s="726"/>
      <c r="F350" s="727"/>
      <c r="G350" s="727"/>
      <c r="H350" s="727"/>
      <c r="I350" s="711"/>
      <c r="J350" s="727"/>
      <c r="K350" s="729"/>
      <c r="L350" s="727"/>
      <c r="M350" s="727"/>
      <c r="O350" s="727"/>
      <c r="P350" s="727"/>
      <c r="Q350" s="727"/>
    </row>
    <row r="351" spans="1:19" ht="15">
      <c r="A351" s="726"/>
      <c r="B351" s="726"/>
      <c r="C351" s="726"/>
      <c r="D351" s="726"/>
      <c r="E351" s="726"/>
      <c r="F351" s="711"/>
      <c r="G351" s="727"/>
      <c r="H351" s="727"/>
      <c r="I351" s="711"/>
      <c r="J351" s="727"/>
      <c r="K351" s="727"/>
      <c r="L351" s="727"/>
      <c r="M351" s="727"/>
      <c r="O351" s="727"/>
      <c r="P351" s="727"/>
      <c r="Q351" s="727"/>
    </row>
    <row r="352" spans="1:19" ht="15">
      <c r="A352" s="714" t="s">
        <v>1480</v>
      </c>
      <c r="B352" s="714" t="s">
        <v>1306</v>
      </c>
      <c r="C352" s="714" t="s">
        <v>1307</v>
      </c>
      <c r="D352" s="714">
        <v>9905664</v>
      </c>
      <c r="E352" s="714" t="s">
        <v>1481</v>
      </c>
      <c r="F352" s="730">
        <v>560082.80000000005</v>
      </c>
      <c r="G352" s="730">
        <v>372454.16</v>
      </c>
      <c r="H352" s="730">
        <v>187628.64</v>
      </c>
      <c r="I352" s="711"/>
      <c r="J352" s="711">
        <f>F352*($J$2+$M$2)</f>
        <v>167397.54726399999</v>
      </c>
      <c r="K352" s="711">
        <f t="shared" ref="K352" si="102">F352*$J$2*$K$7</f>
        <v>83212.407137871036</v>
      </c>
      <c r="L352" s="711">
        <f t="shared" ref="L352" si="103">F352*$J$2*$L$7</f>
        <v>32769.539086128963</v>
      </c>
      <c r="M352" s="711">
        <f t="shared" ref="M352" si="104">F352*$M$2</f>
        <v>51415.601040000009</v>
      </c>
      <c r="O352" s="711">
        <f>G352*($J$2+$M$2)</f>
        <v>111319.09934079998</v>
      </c>
      <c r="P352" s="711">
        <f t="shared" ref="P352" si="105">G352*$J$2*$K$7</f>
        <v>55336.116735085874</v>
      </c>
      <c r="Q352" s="711">
        <f t="shared" ref="Q352" si="106">G352*$J$2*$L$7</f>
        <v>21791.690717714107</v>
      </c>
      <c r="R352" s="711">
        <f t="shared" ref="R352" si="107">G352*$M$2</f>
        <v>34191.291888</v>
      </c>
      <c r="S352" s="723"/>
    </row>
    <row r="353" spans="1:19" ht="15">
      <c r="A353" s="714" t="s">
        <v>1480</v>
      </c>
      <c r="B353" s="714" t="s">
        <v>1306</v>
      </c>
      <c r="C353" s="714" t="s">
        <v>1307</v>
      </c>
      <c r="D353" s="714">
        <v>9905698</v>
      </c>
      <c r="E353" s="714" t="s">
        <v>1482</v>
      </c>
      <c r="F353" s="730">
        <v>86733201.099999994</v>
      </c>
      <c r="G353" s="730">
        <v>48582229.060000002</v>
      </c>
      <c r="H353" s="730">
        <v>38150972.039999999</v>
      </c>
      <c r="I353" s="711"/>
      <c r="J353" s="711">
        <f>F353*($J$2+$M$2)</f>
        <v>25922819.144767996</v>
      </c>
      <c r="K353" s="711">
        <f t="shared" ref="K353:K355" si="108">F353*$J$2*$K$7</f>
        <v>12886091.917666538</v>
      </c>
      <c r="L353" s="711">
        <f t="shared" ref="L353:L355" si="109">F353*$J$2*$L$7</f>
        <v>5074619.3661214616</v>
      </c>
      <c r="M353" s="711">
        <f>F353*$M$2</f>
        <v>7962107.8609800003</v>
      </c>
      <c r="O353" s="711">
        <f t="shared" ref="O353:O355" si="110">G353*($J$2+$M$2)</f>
        <v>14520256.621452799</v>
      </c>
      <c r="P353" s="711">
        <f t="shared" ref="P353:P355" si="111">G353*$J$2*$K$7</f>
        <v>7217940.3191921441</v>
      </c>
      <c r="Q353" s="711">
        <f t="shared" ref="Q353:Q355" si="112">G353*$J$2*$L$7</f>
        <v>2842467.6745526558</v>
      </c>
      <c r="R353" s="711">
        <f t="shared" ref="R353:R355" si="113">G353*$M$2</f>
        <v>4459848.6277080001</v>
      </c>
      <c r="S353" s="723"/>
    </row>
    <row r="354" spans="1:19" ht="15">
      <c r="A354" s="714" t="s">
        <v>1480</v>
      </c>
      <c r="B354" s="714" t="s">
        <v>1306</v>
      </c>
      <c r="C354" s="714" t="s">
        <v>1307</v>
      </c>
      <c r="D354" s="714">
        <v>9905700</v>
      </c>
      <c r="E354" s="714" t="s">
        <v>1483</v>
      </c>
      <c r="F354" s="730">
        <v>9311978.3000000007</v>
      </c>
      <c r="G354" s="730">
        <v>6192450.5800000001</v>
      </c>
      <c r="H354" s="730">
        <v>3119527.72</v>
      </c>
      <c r="I354" s="711"/>
      <c r="J354" s="711">
        <f t="shared" ref="J354:J355" si="114">F354*($J$2+$M$2)</f>
        <v>2783164.074304</v>
      </c>
      <c r="K354" s="711">
        <f t="shared" si="108"/>
        <v>1383495.6716375153</v>
      </c>
      <c r="L354" s="711">
        <f t="shared" si="109"/>
        <v>544828.79472648457</v>
      </c>
      <c r="M354" s="711">
        <f t="shared" ref="M354:M355" si="115">F354*$M$2</f>
        <v>854839.60794000013</v>
      </c>
      <c r="O354" s="711">
        <f t="shared" si="110"/>
        <v>1850799.6293503998</v>
      </c>
      <c r="P354" s="711">
        <f t="shared" si="111"/>
        <v>920022.39462469763</v>
      </c>
      <c r="Q354" s="711">
        <f t="shared" si="112"/>
        <v>362310.27148170222</v>
      </c>
      <c r="R354" s="711">
        <f t="shared" si="113"/>
        <v>568466.9632440001</v>
      </c>
      <c r="S354" s="723"/>
    </row>
    <row r="355" spans="1:19" ht="15">
      <c r="A355" s="714" t="s">
        <v>1480</v>
      </c>
      <c r="B355" s="714" t="s">
        <v>1306</v>
      </c>
      <c r="C355" s="714" t="s">
        <v>1307</v>
      </c>
      <c r="D355" s="714">
        <v>9905864</v>
      </c>
      <c r="E355" s="714" t="s">
        <v>1484</v>
      </c>
      <c r="F355" s="730">
        <v>4225941.0200000005</v>
      </c>
      <c r="G355" s="730">
        <v>2367093.9700000002</v>
      </c>
      <c r="H355" s="730">
        <v>1858847.05</v>
      </c>
      <c r="I355" s="711"/>
      <c r="J355" s="711">
        <f t="shared" si="114"/>
        <v>1263049.2520576001</v>
      </c>
      <c r="K355" s="711">
        <f t="shared" si="108"/>
        <v>627854.88984284108</v>
      </c>
      <c r="L355" s="711">
        <f t="shared" si="109"/>
        <v>247252.97657875888</v>
      </c>
      <c r="M355" s="711">
        <f t="shared" si="115"/>
        <v>387941.38563600008</v>
      </c>
      <c r="O355" s="711">
        <f t="shared" si="110"/>
        <v>707477.04575359996</v>
      </c>
      <c r="P355" s="711">
        <f t="shared" si="111"/>
        <v>351682.9782404307</v>
      </c>
      <c r="Q355" s="711">
        <f t="shared" si="112"/>
        <v>138494.84106716933</v>
      </c>
      <c r="R355" s="711">
        <f t="shared" si="113"/>
        <v>217299.22644600004</v>
      </c>
      <c r="S355" s="723"/>
    </row>
    <row r="356" spans="1:19" ht="15">
      <c r="A356" s="724" t="s">
        <v>1485</v>
      </c>
      <c r="B356" s="724"/>
      <c r="C356" s="724"/>
      <c r="D356" s="724"/>
      <c r="E356" s="724"/>
      <c r="F356" s="725">
        <f>SUM(F352:F355)</f>
        <v>100831203.21999998</v>
      </c>
      <c r="G356" s="725">
        <f t="shared" ref="G356:H356" si="116">SUM(G352:G355)</f>
        <v>57514227.769999996</v>
      </c>
      <c r="H356" s="725">
        <f t="shared" si="116"/>
        <v>43316975.449999996</v>
      </c>
      <c r="I356" s="711"/>
      <c r="J356" s="725">
        <f>SUM(J352:J355)</f>
        <v>30136430.018393595</v>
      </c>
      <c r="K356" s="725">
        <f t="shared" ref="K356:M356" si="117">SUM(K352:K355)</f>
        <v>14980654.886284765</v>
      </c>
      <c r="L356" s="725">
        <f t="shared" si="117"/>
        <v>5899470.6765128337</v>
      </c>
      <c r="M356" s="725">
        <f t="shared" si="117"/>
        <v>9256304.455596</v>
      </c>
      <c r="O356" s="725">
        <f>SUM(O352:O355)</f>
        <v>17189852.395897597</v>
      </c>
      <c r="P356" s="725">
        <f t="shared" ref="P356:R356" si="118">SUM(P352:P355)</f>
        <v>8544981.8087923583</v>
      </c>
      <c r="Q356" s="725">
        <f t="shared" si="118"/>
        <v>3365064.4778192411</v>
      </c>
      <c r="R356" s="725">
        <f t="shared" si="118"/>
        <v>5279806.109286001</v>
      </c>
    </row>
    <row r="357" spans="1:19" ht="15">
      <c r="A357" s="726" t="s">
        <v>1346</v>
      </c>
      <c r="B357" s="726"/>
      <c r="C357" s="726"/>
      <c r="D357" s="726"/>
      <c r="E357" s="726"/>
      <c r="F357" s="727"/>
      <c r="G357" s="727"/>
      <c r="H357" s="727"/>
      <c r="I357" s="727"/>
      <c r="J357" s="727"/>
      <c r="K357" s="728"/>
      <c r="L357" s="727"/>
      <c r="M357" s="727"/>
      <c r="N357" s="739"/>
      <c r="O357" s="727"/>
      <c r="P357" s="727"/>
      <c r="Q357" s="727"/>
    </row>
    <row r="358" spans="1:19" ht="15">
      <c r="A358" s="726"/>
      <c r="B358" s="726"/>
      <c r="C358" s="726"/>
      <c r="D358" s="726"/>
      <c r="E358" s="726"/>
      <c r="F358" s="727"/>
      <c r="G358" s="727"/>
      <c r="H358" s="727"/>
      <c r="I358" s="711"/>
      <c r="J358" s="727"/>
      <c r="K358" s="729"/>
      <c r="L358" s="727"/>
      <c r="M358" s="727"/>
      <c r="O358" s="727"/>
      <c r="P358" s="727"/>
      <c r="Q358" s="727"/>
    </row>
    <row r="359" spans="1:19" ht="15">
      <c r="A359" s="726"/>
      <c r="B359" s="726"/>
      <c r="C359" s="726"/>
      <c r="D359" s="726"/>
      <c r="E359" s="726"/>
      <c r="F359" s="711"/>
      <c r="G359" s="727"/>
      <c r="H359" s="727"/>
      <c r="I359" s="711"/>
      <c r="J359" s="727"/>
      <c r="K359" s="727"/>
      <c r="L359" s="727"/>
      <c r="M359" s="727"/>
      <c r="O359" s="727"/>
      <c r="P359" s="727"/>
      <c r="Q359" s="727"/>
    </row>
    <row r="360" spans="1:19" ht="15">
      <c r="A360" s="714" t="s">
        <v>1486</v>
      </c>
      <c r="B360" s="714" t="s">
        <v>1306</v>
      </c>
      <c r="C360" s="714" t="s">
        <v>1307</v>
      </c>
      <c r="D360" s="714">
        <v>9906010</v>
      </c>
      <c r="E360" s="714" t="s">
        <v>1487</v>
      </c>
      <c r="F360" s="711">
        <v>30329509.300000001</v>
      </c>
      <c r="G360" s="711">
        <v>13832802.709999999</v>
      </c>
      <c r="H360" s="711">
        <v>16496706.59</v>
      </c>
      <c r="I360" s="711"/>
      <c r="J360" s="711">
        <f>F360*($J$2+$M$2)</f>
        <v>9064883.7395839989</v>
      </c>
      <c r="K360" s="711">
        <f t="shared" ref="K360" si="119">F360*($J$2*$K$7)</f>
        <v>4506104.2334516365</v>
      </c>
      <c r="L360" s="711">
        <f t="shared" ref="L360" si="120">F360*($J$2*$L$7)</f>
        <v>1774530.5523923638</v>
      </c>
      <c r="M360" s="711">
        <f t="shared" ref="M360" si="121">F360*($M$2)</f>
        <v>2784248.9537400003</v>
      </c>
      <c r="O360" s="711">
        <f>G360*($J$2+$M$2)</f>
        <v>4134348.0739647993</v>
      </c>
      <c r="P360" s="711">
        <f t="shared" ref="P360" si="122">G360*($J$2*$K$7)</f>
        <v>2055161.8635001213</v>
      </c>
      <c r="Q360" s="711">
        <f t="shared" ref="Q360" si="123">G360*($J$2*$L$7)</f>
        <v>809334.92168667843</v>
      </c>
      <c r="R360" s="711">
        <f>G360*($M$2)</f>
        <v>1269851.288778</v>
      </c>
      <c r="S360" s="723"/>
    </row>
    <row r="361" spans="1:19" ht="15">
      <c r="A361" s="724" t="s">
        <v>1488</v>
      </c>
      <c r="B361" s="724"/>
      <c r="C361" s="724"/>
      <c r="D361" s="724"/>
      <c r="E361" s="724"/>
      <c r="F361" s="725">
        <f>SUM(F360:F360)</f>
        <v>30329509.300000001</v>
      </c>
      <c r="G361" s="725">
        <f t="shared" ref="G361:H361" si="124">SUM(G360:G360)</f>
        <v>13832802.709999999</v>
      </c>
      <c r="H361" s="725">
        <f t="shared" si="124"/>
        <v>16496706.59</v>
      </c>
      <c r="I361" s="711"/>
      <c r="J361" s="725">
        <f>SUM(J360:J360)</f>
        <v>9064883.7395839989</v>
      </c>
      <c r="K361" s="725">
        <f t="shared" ref="K361:L361" si="125">SUM(K360:K360)</f>
        <v>4506104.2334516365</v>
      </c>
      <c r="L361" s="725">
        <f t="shared" si="125"/>
        <v>1774530.5523923638</v>
      </c>
      <c r="M361" s="725">
        <f>SUM(M360:M360)</f>
        <v>2784248.9537400003</v>
      </c>
      <c r="O361" s="725">
        <f>SUM(O360:O360)</f>
        <v>4134348.0739647993</v>
      </c>
      <c r="P361" s="725">
        <f t="shared" ref="P361:R361" si="126">SUM(P360:P360)</f>
        <v>2055161.8635001213</v>
      </c>
      <c r="Q361" s="725">
        <f t="shared" si="126"/>
        <v>809334.92168667843</v>
      </c>
      <c r="R361" s="725">
        <f t="shared" si="126"/>
        <v>1269851.288778</v>
      </c>
    </row>
    <row r="362" spans="1:19" ht="15">
      <c r="A362" s="726" t="s">
        <v>1346</v>
      </c>
      <c r="B362" s="726"/>
      <c r="C362" s="726"/>
      <c r="D362" s="726"/>
      <c r="E362" s="726"/>
      <c r="F362" s="727"/>
      <c r="G362" s="727"/>
      <c r="H362" s="727"/>
      <c r="I362" s="727"/>
      <c r="J362" s="727"/>
      <c r="K362" s="728"/>
      <c r="L362" s="727"/>
      <c r="M362" s="727"/>
      <c r="N362" s="739"/>
      <c r="O362" s="727"/>
      <c r="P362" s="727"/>
      <c r="Q362" s="727"/>
    </row>
    <row r="363" spans="1:19" ht="15">
      <c r="A363" s="726"/>
      <c r="B363" s="726"/>
      <c r="C363" s="726"/>
      <c r="D363" s="726"/>
      <c r="E363" s="726"/>
      <c r="F363" s="727"/>
      <c r="G363" s="727"/>
      <c r="H363" s="727"/>
      <c r="I363" s="711"/>
      <c r="J363" s="727"/>
      <c r="K363" s="729"/>
      <c r="L363" s="727"/>
      <c r="M363" s="727"/>
      <c r="O363" s="727"/>
      <c r="P363" s="727"/>
      <c r="Q363" s="727"/>
    </row>
    <row r="364" spans="1:19" ht="15">
      <c r="A364" s="726"/>
      <c r="B364" s="726"/>
      <c r="C364" s="726"/>
      <c r="D364" s="726"/>
      <c r="E364" s="726"/>
      <c r="F364" s="711"/>
      <c r="G364" s="727"/>
      <c r="H364" s="727"/>
      <c r="I364" s="711"/>
      <c r="J364" s="727"/>
      <c r="K364" s="727"/>
      <c r="L364" s="727"/>
      <c r="M364" s="727"/>
      <c r="O364" s="727"/>
      <c r="P364" s="727"/>
      <c r="Q364" s="727"/>
    </row>
    <row r="365" spans="1:19" ht="15">
      <c r="A365" s="714" t="s">
        <v>1489</v>
      </c>
      <c r="B365" s="714" t="s">
        <v>1306</v>
      </c>
      <c r="C365" s="714" t="s">
        <v>1307</v>
      </c>
      <c r="D365" s="714">
        <v>9906204</v>
      </c>
      <c r="E365" s="714" t="s">
        <v>1495</v>
      </c>
      <c r="F365" s="711">
        <v>83245.59</v>
      </c>
      <c r="G365" s="711">
        <v>77937.119999999995</v>
      </c>
      <c r="H365" s="711">
        <v>5308.47</v>
      </c>
      <c r="I365" s="711"/>
      <c r="J365" s="711">
        <f>F365*($J$2+$M$2)</f>
        <v>24880.441939199998</v>
      </c>
      <c r="K365" s="711">
        <f t="shared" ref="K365" si="127">F365*($J$2*$K$7)</f>
        <v>12367.931897769911</v>
      </c>
      <c r="L365" s="711">
        <f t="shared" ref="L365" si="128">F365*($J$2*$L$7)</f>
        <v>4870.5648794300878</v>
      </c>
      <c r="M365" s="711">
        <f t="shared" ref="M365" si="129">F365*($M$2)</f>
        <v>7641.945162</v>
      </c>
      <c r="O365" s="711">
        <f>G365*($J$2+$M$2)</f>
        <v>23293.846425599997</v>
      </c>
      <c r="P365" s="711">
        <f t="shared" ref="P365" si="130">G365*($J$2*$K$7)</f>
        <v>11579.243927135616</v>
      </c>
      <c r="Q365" s="711">
        <f t="shared" ref="Q365" si="131">G365*($J$2*$L$7)</f>
        <v>4559.9748824643839</v>
      </c>
      <c r="R365" s="711">
        <f>G365*($M$2)</f>
        <v>7154.6276159999998</v>
      </c>
      <c r="S365" s="723"/>
    </row>
    <row r="366" spans="1:19" ht="15">
      <c r="A366" s="714" t="s">
        <v>1489</v>
      </c>
      <c r="B366" s="714" t="s">
        <v>1306</v>
      </c>
      <c r="C366" s="714" t="s">
        <v>1313</v>
      </c>
      <c r="D366" s="714">
        <v>2806275</v>
      </c>
      <c r="E366" s="714" t="s">
        <v>1490</v>
      </c>
      <c r="F366" s="711">
        <v>15347913.390000001</v>
      </c>
      <c r="G366" s="711">
        <v>14707417.789999999</v>
      </c>
      <c r="H366" s="711">
        <v>640495.6</v>
      </c>
      <c r="I366" s="711"/>
      <c r="J366" s="711">
        <f>F366*$J$4</f>
        <v>3507919.0844184002</v>
      </c>
      <c r="K366" s="711">
        <f>IF($C366="WA",$J366,IF($C366="ID",0,$J366*K$7))</f>
        <v>3507919.0844184002</v>
      </c>
      <c r="L366" s="711">
        <f t="shared" ref="L366:L369" si="132">IF($C366="ID",$J366,IF($C366="WA",0,$J366*$L$7))</f>
        <v>0</v>
      </c>
      <c r="M366" s="711">
        <v>0</v>
      </c>
      <c r="O366" s="711">
        <f t="shared" ref="O366" si="133">G366*$J$4</f>
        <v>3361527.4100823998</v>
      </c>
      <c r="P366" s="711">
        <f t="shared" ref="P366" si="134">IF($C366="WA",$O366,IF($C366="ID",0,$O366*K$7))</f>
        <v>3361527.4100823998</v>
      </c>
      <c r="Q366" s="711">
        <f t="shared" ref="Q366:Q369" si="135">IF($C366="ID",$O366,IF($C366="WA",0,$O366*$L$7))</f>
        <v>0</v>
      </c>
      <c r="R366" s="711">
        <v>0</v>
      </c>
      <c r="S366" s="723"/>
    </row>
    <row r="367" spans="1:19" ht="15">
      <c r="A367" s="714" t="s">
        <v>1489</v>
      </c>
      <c r="B367" s="714" t="s">
        <v>1306</v>
      </c>
      <c r="C367" s="714" t="s">
        <v>1313</v>
      </c>
      <c r="D367" s="714">
        <v>2806337</v>
      </c>
      <c r="E367" s="714" t="s">
        <v>1491</v>
      </c>
      <c r="F367" s="711">
        <v>1228868.83</v>
      </c>
      <c r="G367" s="711">
        <v>1045843.29</v>
      </c>
      <c r="H367" s="711">
        <v>183025.54</v>
      </c>
      <c r="I367" s="711"/>
      <c r="J367" s="711">
        <f t="shared" ref="J367:J369" si="136">F367*$J$4</f>
        <v>280870.25978480006</v>
      </c>
      <c r="K367" s="711">
        <f t="shared" ref="K367:K369" si="137">IF($C367="WA",$J367,IF($C367="ID",0,$J367*K$7))</f>
        <v>280870.25978480006</v>
      </c>
      <c r="L367" s="711">
        <f t="shared" si="132"/>
        <v>0</v>
      </c>
      <c r="M367" s="711">
        <v>0</v>
      </c>
      <c r="O367" s="711">
        <f t="shared" ref="O367:O369" si="138">G367*$J$4</f>
        <v>239037.94236240003</v>
      </c>
      <c r="P367" s="711">
        <f t="shared" ref="P367:P369" si="139">IF($C367="WA",$O367,IF($C367="ID",0,$O367*K$7))</f>
        <v>239037.94236240003</v>
      </c>
      <c r="Q367" s="711">
        <f t="shared" si="135"/>
        <v>0</v>
      </c>
      <c r="R367" s="711">
        <v>0</v>
      </c>
      <c r="S367" s="723"/>
    </row>
    <row r="368" spans="1:19" ht="15">
      <c r="A368" s="714" t="s">
        <v>1489</v>
      </c>
      <c r="B368" s="714" t="s">
        <v>1306</v>
      </c>
      <c r="C368" s="714" t="s">
        <v>1313</v>
      </c>
      <c r="D368" s="714">
        <v>2806445</v>
      </c>
      <c r="E368" s="714" t="s">
        <v>1492</v>
      </c>
      <c r="F368" s="711">
        <v>278689.34999999998</v>
      </c>
      <c r="G368" s="711">
        <v>169335.33</v>
      </c>
      <c r="H368" s="711">
        <v>109354.02</v>
      </c>
      <c r="I368" s="711"/>
      <c r="J368" s="711">
        <f t="shared" si="136"/>
        <v>63697.237836</v>
      </c>
      <c r="K368" s="711">
        <f t="shared" si="137"/>
        <v>63697.237836</v>
      </c>
      <c r="L368" s="711">
        <f t="shared" si="132"/>
        <v>0</v>
      </c>
      <c r="M368" s="711">
        <v>0</v>
      </c>
      <c r="O368" s="711">
        <f t="shared" si="138"/>
        <v>38703.283024800003</v>
      </c>
      <c r="P368" s="711">
        <f t="shared" si="139"/>
        <v>38703.283024800003</v>
      </c>
      <c r="Q368" s="711">
        <f t="shared" si="135"/>
        <v>0</v>
      </c>
      <c r="R368" s="711">
        <v>0</v>
      </c>
      <c r="S368" s="723"/>
    </row>
    <row r="369" spans="1:19" ht="15">
      <c r="A369" s="714" t="s">
        <v>1489</v>
      </c>
      <c r="B369" s="714" t="s">
        <v>1306</v>
      </c>
      <c r="C369" s="714" t="s">
        <v>1313</v>
      </c>
      <c r="D369" s="714">
        <v>2806640</v>
      </c>
      <c r="E369" s="714" t="s">
        <v>1493</v>
      </c>
      <c r="F369" s="711">
        <v>2071816.59</v>
      </c>
      <c r="G369" s="711">
        <v>1762946.23</v>
      </c>
      <c r="H369" s="711">
        <v>308870.36</v>
      </c>
      <c r="I369" s="711"/>
      <c r="J369" s="711">
        <f t="shared" si="136"/>
        <v>473534.39981040003</v>
      </c>
      <c r="K369" s="711">
        <f t="shared" si="137"/>
        <v>473534.39981040003</v>
      </c>
      <c r="L369" s="711">
        <f t="shared" si="132"/>
        <v>0</v>
      </c>
      <c r="M369" s="711">
        <v>0</v>
      </c>
      <c r="O369" s="711">
        <f t="shared" si="138"/>
        <v>402938.99032879999</v>
      </c>
      <c r="P369" s="711">
        <f t="shared" si="139"/>
        <v>402938.99032879999</v>
      </c>
      <c r="Q369" s="711">
        <f t="shared" si="135"/>
        <v>0</v>
      </c>
      <c r="R369" s="711">
        <v>0</v>
      </c>
      <c r="S369" s="723"/>
    </row>
    <row r="370" spans="1:19" ht="15">
      <c r="A370" s="714" t="s">
        <v>1489</v>
      </c>
      <c r="B370" s="714" t="s">
        <v>1306</v>
      </c>
      <c r="C370" s="714" t="s">
        <v>1313</v>
      </c>
      <c r="D370" s="714">
        <v>2806711</v>
      </c>
      <c r="E370" s="714" t="s">
        <v>1494</v>
      </c>
      <c r="F370" s="711">
        <v>198779.49</v>
      </c>
      <c r="G370" s="711">
        <v>168893.41</v>
      </c>
      <c r="H370" s="711">
        <v>29886.079999999998</v>
      </c>
      <c r="I370" s="711"/>
      <c r="J370" s="711">
        <f t="shared" ref="J370" si="140">F370*($J$2+$M$2)</f>
        <v>59411.213971199992</v>
      </c>
      <c r="K370" s="711">
        <f t="shared" ref="K370" si="141">F370*($J$2*$K$7)</f>
        <v>29532.990215979429</v>
      </c>
      <c r="L370" s="711">
        <f t="shared" ref="L370" si="142">F370*($J$2*$L$7)</f>
        <v>11630.266573220568</v>
      </c>
      <c r="M370" s="711">
        <f t="shared" ref="M370" si="143">F370*($M$2)</f>
        <v>18247.957182000002</v>
      </c>
      <c r="O370" s="711">
        <f t="shared" ref="O370" si="144">G370*($J$2+$M$2)</f>
        <v>50478.862380799997</v>
      </c>
      <c r="P370" s="711">
        <f t="shared" ref="P370" si="145">G370*($J$2*$K$7)</f>
        <v>25092.766990565287</v>
      </c>
      <c r="Q370" s="711">
        <f t="shared" ref="Q370" si="146">G370*($J$2*$L$7)</f>
        <v>9881.6803522347127</v>
      </c>
      <c r="R370" s="711">
        <f t="shared" ref="R370" si="147">G370*($M$2)</f>
        <v>15504.415038000001</v>
      </c>
      <c r="S370" s="723"/>
    </row>
    <row r="371" spans="1:19" ht="15">
      <c r="A371" s="714" t="s">
        <v>1489</v>
      </c>
      <c r="B371" s="714" t="s">
        <v>1312</v>
      </c>
      <c r="C371" s="714" t="s">
        <v>1313</v>
      </c>
      <c r="D371" s="714">
        <v>2806697</v>
      </c>
      <c r="E371" s="714" t="s">
        <v>1868</v>
      </c>
      <c r="F371" s="711">
        <v>443740.27999999997</v>
      </c>
      <c r="G371" s="711">
        <v>151089.90000000002</v>
      </c>
      <c r="H371" s="711">
        <v>292650.38</v>
      </c>
      <c r="I371" s="711"/>
      <c r="J371" s="711">
        <v>0</v>
      </c>
      <c r="K371" s="711">
        <v>0</v>
      </c>
      <c r="L371" s="711">
        <v>0</v>
      </c>
      <c r="M371" s="711">
        <v>0</v>
      </c>
      <c r="O371" s="711">
        <v>0</v>
      </c>
      <c r="P371" s="711">
        <v>0</v>
      </c>
      <c r="Q371" s="711">
        <v>0</v>
      </c>
      <c r="R371" s="711">
        <v>0</v>
      </c>
      <c r="S371" s="723"/>
    </row>
    <row r="372" spans="1:19" ht="15">
      <c r="A372" s="714" t="s">
        <v>1489</v>
      </c>
      <c r="B372" s="714" t="s">
        <v>1312</v>
      </c>
      <c r="C372" s="714" t="s">
        <v>1313</v>
      </c>
      <c r="D372" s="714">
        <v>2806732</v>
      </c>
      <c r="E372" s="714" t="s">
        <v>1497</v>
      </c>
      <c r="F372" s="711">
        <v>697533.36</v>
      </c>
      <c r="G372" s="711">
        <v>508737.81</v>
      </c>
      <c r="H372" s="711">
        <v>188795.55000000002</v>
      </c>
      <c r="I372" s="711"/>
      <c r="J372" s="711">
        <v>0</v>
      </c>
      <c r="K372" s="711">
        <v>0</v>
      </c>
      <c r="L372" s="711">
        <v>0</v>
      </c>
      <c r="M372" s="711">
        <v>0</v>
      </c>
      <c r="O372" s="711">
        <v>0</v>
      </c>
      <c r="P372" s="711">
        <v>0</v>
      </c>
      <c r="Q372" s="711">
        <v>0</v>
      </c>
      <c r="R372" s="711">
        <v>0</v>
      </c>
      <c r="S372" s="723"/>
    </row>
    <row r="373" spans="1:19" ht="15">
      <c r="A373" s="714" t="s">
        <v>1489</v>
      </c>
      <c r="B373" s="714" t="s">
        <v>1312</v>
      </c>
      <c r="C373" s="714" t="s">
        <v>1313</v>
      </c>
      <c r="D373" s="714">
        <v>2806796</v>
      </c>
      <c r="E373" s="714" t="s">
        <v>1498</v>
      </c>
      <c r="F373" s="711">
        <v>551787.25</v>
      </c>
      <c r="G373" s="711">
        <v>280993.20999999996</v>
      </c>
      <c r="H373" s="711">
        <v>270794.04000000004</v>
      </c>
      <c r="I373" s="711"/>
      <c r="J373" s="711">
        <v>0</v>
      </c>
      <c r="K373" s="711">
        <v>0</v>
      </c>
      <c r="L373" s="711">
        <v>0</v>
      </c>
      <c r="M373" s="711">
        <v>0</v>
      </c>
      <c r="O373" s="711">
        <v>0</v>
      </c>
      <c r="P373" s="711">
        <v>0</v>
      </c>
      <c r="Q373" s="711">
        <v>0</v>
      </c>
      <c r="R373" s="711">
        <v>0</v>
      </c>
      <c r="S373" s="723"/>
    </row>
    <row r="374" spans="1:19" ht="15">
      <c r="A374" s="714" t="s">
        <v>1489</v>
      </c>
      <c r="B374" s="714" t="s">
        <v>1312</v>
      </c>
      <c r="C374" s="714" t="s">
        <v>1313</v>
      </c>
      <c r="D374" s="714">
        <v>2806839</v>
      </c>
      <c r="E374" s="714" t="s">
        <v>1499</v>
      </c>
      <c r="F374" s="711">
        <v>135809.14000000001</v>
      </c>
      <c r="G374" s="711">
        <v>46317.52</v>
      </c>
      <c r="H374" s="711">
        <v>89491.62</v>
      </c>
      <c r="I374" s="711"/>
      <c r="J374" s="711">
        <v>0</v>
      </c>
      <c r="K374" s="711">
        <v>0</v>
      </c>
      <c r="L374" s="711">
        <v>0</v>
      </c>
      <c r="M374" s="711">
        <v>0</v>
      </c>
      <c r="O374" s="711">
        <v>0</v>
      </c>
      <c r="P374" s="711">
        <v>0</v>
      </c>
      <c r="Q374" s="711">
        <v>0</v>
      </c>
      <c r="R374" s="711">
        <v>0</v>
      </c>
      <c r="S374" s="723"/>
    </row>
    <row r="375" spans="1:19" ht="15">
      <c r="A375" s="724" t="s">
        <v>1500</v>
      </c>
      <c r="B375" s="724"/>
      <c r="C375" s="724"/>
      <c r="D375" s="724"/>
      <c r="E375" s="724"/>
      <c r="F375" s="725">
        <f>SUM(F365:F374)</f>
        <v>21038183.27</v>
      </c>
      <c r="G375" s="725">
        <f>SUM(G365:G374)</f>
        <v>18919511.609999996</v>
      </c>
      <c r="H375" s="725">
        <f>SUM(H365:H374)</f>
        <v>2118671.66</v>
      </c>
      <c r="I375" s="711"/>
      <c r="J375" s="725">
        <f>SUM(J365:J374)</f>
        <v>4410312.6377600003</v>
      </c>
      <c r="K375" s="725">
        <f>SUM(K365:K374)</f>
        <v>4367921.9039633498</v>
      </c>
      <c r="L375" s="725">
        <f>SUM(L365:L374)</f>
        <v>16500.831452650655</v>
      </c>
      <c r="M375" s="725">
        <f>SUM(M365:M374)</f>
        <v>25889.902344000002</v>
      </c>
      <c r="O375" s="725">
        <f>SUM(O365:O374)</f>
        <v>4115980.3346047997</v>
      </c>
      <c r="P375" s="725">
        <f>SUM(P365:P374)</f>
        <v>4078879.6367161009</v>
      </c>
      <c r="Q375" s="725">
        <f>SUM(Q365:Q374)</f>
        <v>14441.655234699097</v>
      </c>
      <c r="R375" s="725">
        <f>SUM(R365:R374)</f>
        <v>22659.042654000001</v>
      </c>
    </row>
    <row r="376" spans="1:19" ht="15">
      <c r="A376" s="726" t="s">
        <v>1346</v>
      </c>
      <c r="B376" s="726"/>
      <c r="C376" s="726"/>
      <c r="D376" s="726"/>
      <c r="E376" s="726"/>
      <c r="F376" s="727"/>
      <c r="G376" s="727"/>
      <c r="H376" s="727"/>
      <c r="I376" s="727"/>
      <c r="J376" s="727"/>
      <c r="K376" s="728"/>
      <c r="L376" s="727"/>
      <c r="M376" s="727"/>
      <c r="N376" s="739"/>
      <c r="O376" s="727"/>
      <c r="P376" s="727"/>
      <c r="Q376" s="727"/>
    </row>
    <row r="377" spans="1:19" ht="15">
      <c r="F377" s="727"/>
      <c r="K377" s="729"/>
    </row>
    <row r="378" spans="1:19">
      <c r="A378"/>
      <c r="B378"/>
      <c r="C378"/>
      <c r="D378"/>
      <c r="E378"/>
      <c r="J378"/>
      <c r="K378"/>
      <c r="L378"/>
      <c r="M378"/>
      <c r="N378" s="740"/>
      <c r="O378"/>
      <c r="P378"/>
      <c r="Q378"/>
    </row>
    <row r="379" spans="1:19" ht="15">
      <c r="A379" s="714" t="s">
        <v>1501</v>
      </c>
      <c r="B379" s="714" t="s">
        <v>1312</v>
      </c>
      <c r="C379" s="714" t="s">
        <v>1310</v>
      </c>
      <c r="D379" s="714">
        <v>9806097</v>
      </c>
      <c r="E379" s="714" t="s">
        <v>1502</v>
      </c>
      <c r="F379" s="730">
        <v>1671884.62</v>
      </c>
      <c r="G379" s="730">
        <v>682417.16999999993</v>
      </c>
      <c r="H379" s="730">
        <v>989467.45</v>
      </c>
      <c r="I379" s="711"/>
      <c r="J379" s="711">
        <v>0</v>
      </c>
      <c r="K379" s="711">
        <v>0</v>
      </c>
      <c r="L379" s="711">
        <v>0</v>
      </c>
      <c r="M379" s="711">
        <v>0</v>
      </c>
      <c r="O379" s="711">
        <v>0</v>
      </c>
      <c r="P379" s="711">
        <f>IF($C379="WA",$O379,IF($C379="ID",0,$O379*K$7))</f>
        <v>0</v>
      </c>
      <c r="Q379" s="711">
        <f>IF($C379="WA",$O379,IF($C379="ID",0,$O379*L$7))</f>
        <v>0</v>
      </c>
      <c r="R379" s="711">
        <f>IF($C379="WA",$O379,IF($C379="ID",0,$O379*M$7))</f>
        <v>0</v>
      </c>
      <c r="S379" s="723"/>
    </row>
    <row r="380" spans="1:19" ht="15">
      <c r="A380" s="714" t="s">
        <v>1501</v>
      </c>
      <c r="B380" s="714" t="s">
        <v>1312</v>
      </c>
      <c r="C380" s="714" t="s">
        <v>1310</v>
      </c>
      <c r="D380" s="714">
        <v>9806119</v>
      </c>
      <c r="E380" s="714" t="s">
        <v>1869</v>
      </c>
      <c r="F380" s="730">
        <v>2056077.72</v>
      </c>
      <c r="G380" s="730">
        <v>525216.25</v>
      </c>
      <c r="H380" s="730">
        <v>1530861.47</v>
      </c>
      <c r="I380" s="711"/>
      <c r="J380" s="711">
        <v>0</v>
      </c>
      <c r="K380" s="711">
        <v>0</v>
      </c>
      <c r="L380" s="711">
        <v>0</v>
      </c>
      <c r="M380" s="711">
        <v>0</v>
      </c>
      <c r="O380" s="711">
        <v>0</v>
      </c>
      <c r="P380" s="711">
        <f t="shared" ref="P380:P384" si="148">IF($C380="WA",$O380,IF($C380="ID",0,$O380*K$7))</f>
        <v>0</v>
      </c>
      <c r="Q380" s="711">
        <f t="shared" ref="Q380:Q384" si="149">IF($C380="WA",$O380,IF($C380="ID",0,$O380*L$7))</f>
        <v>0</v>
      </c>
      <c r="R380" s="711">
        <f t="shared" ref="R380:R384" si="150">IF($C380="WA",$O380,IF($C380="ID",0,$O380*M$7))</f>
        <v>0</v>
      </c>
      <c r="S380" s="723"/>
    </row>
    <row r="381" spans="1:19" ht="15">
      <c r="A381" s="714" t="s">
        <v>1501</v>
      </c>
      <c r="B381" s="714" t="s">
        <v>1312</v>
      </c>
      <c r="C381" s="714" t="s">
        <v>1310</v>
      </c>
      <c r="D381" s="714">
        <v>9806120</v>
      </c>
      <c r="E381" s="714" t="s">
        <v>1870</v>
      </c>
      <c r="F381" s="730">
        <v>1886159.0999999999</v>
      </c>
      <c r="G381" s="730">
        <v>481794.39999999997</v>
      </c>
      <c r="H381" s="730">
        <v>1404364.7</v>
      </c>
      <c r="I381" s="711"/>
      <c r="J381" s="711">
        <v>0</v>
      </c>
      <c r="K381" s="711">
        <v>0</v>
      </c>
      <c r="L381" s="711">
        <v>0</v>
      </c>
      <c r="M381" s="711">
        <v>0</v>
      </c>
      <c r="O381" s="711">
        <v>0</v>
      </c>
      <c r="P381" s="711">
        <f t="shared" si="148"/>
        <v>0</v>
      </c>
      <c r="Q381" s="711">
        <f t="shared" si="149"/>
        <v>0</v>
      </c>
      <c r="R381" s="711">
        <f t="shared" si="150"/>
        <v>0</v>
      </c>
      <c r="S381" s="723"/>
    </row>
    <row r="382" spans="1:19" ht="15">
      <c r="A382" s="714" t="s">
        <v>1501</v>
      </c>
      <c r="B382" s="714" t="s">
        <v>1312</v>
      </c>
      <c r="C382" s="714" t="s">
        <v>1310</v>
      </c>
      <c r="D382" s="714">
        <v>9806122</v>
      </c>
      <c r="E382" s="714" t="s">
        <v>1871</v>
      </c>
      <c r="F382" s="730">
        <v>1533429.4099999997</v>
      </c>
      <c r="G382" s="730">
        <v>391718.78</v>
      </c>
      <c r="H382" s="730">
        <v>1141710.6299999999</v>
      </c>
      <c r="I382" s="711"/>
      <c r="J382" s="711">
        <v>0</v>
      </c>
      <c r="K382" s="711">
        <v>0</v>
      </c>
      <c r="L382" s="711">
        <v>0</v>
      </c>
      <c r="M382" s="711">
        <v>0</v>
      </c>
      <c r="O382" s="711">
        <v>0</v>
      </c>
      <c r="P382" s="711">
        <f t="shared" si="148"/>
        <v>0</v>
      </c>
      <c r="Q382" s="711">
        <f t="shared" si="149"/>
        <v>0</v>
      </c>
      <c r="R382" s="711">
        <f t="shared" si="150"/>
        <v>0</v>
      </c>
      <c r="S382" s="723"/>
    </row>
    <row r="383" spans="1:19" ht="15">
      <c r="A383" s="714" t="s">
        <v>1501</v>
      </c>
      <c r="B383" s="714" t="s">
        <v>1312</v>
      </c>
      <c r="C383" s="714" t="s">
        <v>1310</v>
      </c>
      <c r="D383" s="714">
        <v>9806153</v>
      </c>
      <c r="E383" s="714" t="s">
        <v>1872</v>
      </c>
      <c r="F383" s="730">
        <v>378644.68000000005</v>
      </c>
      <c r="G383" s="730">
        <v>96718.61</v>
      </c>
      <c r="H383" s="730">
        <v>281926.07</v>
      </c>
      <c r="I383" s="711"/>
      <c r="J383" s="711">
        <v>0</v>
      </c>
      <c r="K383" s="711">
        <v>0</v>
      </c>
      <c r="L383" s="711">
        <v>0</v>
      </c>
      <c r="M383" s="711">
        <v>0</v>
      </c>
      <c r="O383" s="711">
        <v>0</v>
      </c>
      <c r="P383" s="711">
        <f t="shared" si="148"/>
        <v>0</v>
      </c>
      <c r="Q383" s="711">
        <f t="shared" si="149"/>
        <v>0</v>
      </c>
      <c r="R383" s="711">
        <f t="shared" si="150"/>
        <v>0</v>
      </c>
      <c r="S383" s="723"/>
    </row>
    <row r="384" spans="1:19" ht="15">
      <c r="A384" s="714" t="s">
        <v>1501</v>
      </c>
      <c r="B384" s="714" t="s">
        <v>1312</v>
      </c>
      <c r="C384" s="714" t="s">
        <v>1310</v>
      </c>
      <c r="D384" s="714">
        <v>9806188</v>
      </c>
      <c r="E384" s="714" t="s">
        <v>1873</v>
      </c>
      <c r="F384" s="730">
        <v>492632.20000000007</v>
      </c>
      <c r="G384" s="730">
        <v>125812.55000000002</v>
      </c>
      <c r="H384" s="730">
        <v>366819.65</v>
      </c>
      <c r="I384" s="711"/>
      <c r="J384" s="711">
        <v>0</v>
      </c>
      <c r="K384" s="711">
        <v>0</v>
      </c>
      <c r="L384" s="711">
        <v>0</v>
      </c>
      <c r="M384" s="711">
        <v>0</v>
      </c>
      <c r="O384" s="711">
        <v>0</v>
      </c>
      <c r="P384" s="711">
        <f t="shared" si="148"/>
        <v>0</v>
      </c>
      <c r="Q384" s="711">
        <f t="shared" si="149"/>
        <v>0</v>
      </c>
      <c r="R384" s="711">
        <f t="shared" si="150"/>
        <v>0</v>
      </c>
      <c r="S384" s="723"/>
    </row>
    <row r="385" spans="1:19" ht="15">
      <c r="A385" s="714" t="s">
        <v>1874</v>
      </c>
      <c r="B385" s="714" t="s">
        <v>1306</v>
      </c>
      <c r="C385" s="714" t="s">
        <v>1307</v>
      </c>
      <c r="D385" s="714">
        <v>9907089</v>
      </c>
      <c r="E385" s="714" t="s">
        <v>1875</v>
      </c>
      <c r="F385" s="730">
        <v>69678.42</v>
      </c>
      <c r="G385" s="730">
        <v>2903.2599999999998</v>
      </c>
      <c r="H385" s="730">
        <v>66775.16</v>
      </c>
      <c r="I385" s="711"/>
      <c r="J385" s="711">
        <f>F385*($J$2+$M$2)</f>
        <v>20825.486169599997</v>
      </c>
      <c r="K385" s="711">
        <f t="shared" ref="K385" si="151">F385*($J$2*$K$7)</f>
        <v>10352.235515469456</v>
      </c>
      <c r="L385" s="711">
        <f t="shared" ref="L385" si="152">F385*($J$2*$L$7)</f>
        <v>4076.7716981305439</v>
      </c>
      <c r="M385" s="711">
        <f t="shared" ref="M385" si="153">F385*($M$2)</f>
        <v>6396.4789559999999</v>
      </c>
      <c r="O385" s="711">
        <f>G385*($J$2+$M$2)</f>
        <v>867.72634879999987</v>
      </c>
      <c r="P385" s="711">
        <f t="shared" ref="P385" si="154">G385*($J$2*$K$7)</f>
        <v>431.34203219076795</v>
      </c>
      <c r="Q385" s="711">
        <f t="shared" ref="Q385" si="155">G385*($J$2*$L$7)</f>
        <v>169.86504860923199</v>
      </c>
      <c r="R385" s="711">
        <f>G385*($M$2)</f>
        <v>266.51926800000001</v>
      </c>
      <c r="S385" s="723"/>
    </row>
    <row r="386" spans="1:19" ht="15">
      <c r="A386" s="714" t="s">
        <v>1503</v>
      </c>
      <c r="B386" s="714" t="s">
        <v>1306</v>
      </c>
      <c r="C386" s="714" t="s">
        <v>1307</v>
      </c>
      <c r="D386" s="714">
        <v>9906694</v>
      </c>
      <c r="E386" s="714" t="s">
        <v>1504</v>
      </c>
      <c r="F386" s="730">
        <v>94532.61</v>
      </c>
      <c r="G386" s="730">
        <v>89930.310000000027</v>
      </c>
      <c r="H386" s="730">
        <v>4602.3000000000011</v>
      </c>
      <c r="I386" s="711"/>
      <c r="J386" s="711">
        <f t="shared" ref="J386:J389" si="156">F386*($J$2+$M$2)</f>
        <v>28253.906476799999</v>
      </c>
      <c r="K386" s="711">
        <f t="shared" ref="K386:K389" si="157">F386*($J$2*$K$7)</f>
        <v>14044.862708023848</v>
      </c>
      <c r="L386" s="711">
        <f t="shared" ref="L386:L389" si="158">F386*($J$2*$L$7)</f>
        <v>5530.9501707761519</v>
      </c>
      <c r="M386" s="711">
        <f t="shared" ref="M386:M389" si="159">F386*($M$2)</f>
        <v>8678.0935980000013</v>
      </c>
      <c r="O386" s="711">
        <f t="shared" ref="O386:O389" si="160">G386*($J$2+$M$2)</f>
        <v>26878.371052800005</v>
      </c>
      <c r="P386" s="711">
        <f t="shared" ref="P386:P389" si="161">G386*($J$2*$K$7)</f>
        <v>13361.091556025212</v>
      </c>
      <c r="Q386" s="711">
        <f t="shared" ref="Q386:Q389" si="162">G386*($J$2*$L$7)</f>
        <v>5261.6770387747938</v>
      </c>
      <c r="R386" s="711">
        <f t="shared" ref="R386:R389" si="163">G386*($M$2)</f>
        <v>8255.602458000003</v>
      </c>
      <c r="S386" s="723"/>
    </row>
    <row r="387" spans="1:19" ht="15">
      <c r="A387" s="714" t="s">
        <v>1503</v>
      </c>
      <c r="B387" s="714" t="s">
        <v>1306</v>
      </c>
      <c r="C387" s="714" t="s">
        <v>1307</v>
      </c>
      <c r="D387" s="714">
        <v>9906696</v>
      </c>
      <c r="E387" s="714" t="s">
        <v>1463</v>
      </c>
      <c r="F387" s="730">
        <v>321633.74</v>
      </c>
      <c r="G387" s="730">
        <v>305880.77</v>
      </c>
      <c r="H387" s="730">
        <v>15752.97</v>
      </c>
      <c r="I387" s="711"/>
      <c r="J387" s="711">
        <f t="shared" si="156"/>
        <v>96129.892211199985</v>
      </c>
      <c r="K387" s="711">
        <f t="shared" si="157"/>
        <v>47785.644769230828</v>
      </c>
      <c r="L387" s="711">
        <f t="shared" si="158"/>
        <v>18818.270109969166</v>
      </c>
      <c r="M387" s="711">
        <f t="shared" si="159"/>
        <v>29525.977332000002</v>
      </c>
      <c r="O387" s="711">
        <f t="shared" si="160"/>
        <v>91421.644537600005</v>
      </c>
      <c r="P387" s="711">
        <f t="shared" si="161"/>
        <v>45445.200546928936</v>
      </c>
      <c r="Q387" s="711">
        <f t="shared" si="162"/>
        <v>17896.589304671066</v>
      </c>
      <c r="R387" s="711">
        <f t="shared" si="163"/>
        <v>28079.854686000002</v>
      </c>
      <c r="S387" s="723"/>
    </row>
    <row r="388" spans="1:19" ht="15">
      <c r="A388" s="714" t="s">
        <v>1503</v>
      </c>
      <c r="B388" s="714" t="s">
        <v>1306</v>
      </c>
      <c r="C388" s="714" t="s">
        <v>1307</v>
      </c>
      <c r="D388" s="714">
        <v>9906950</v>
      </c>
      <c r="E388" s="714" t="s">
        <v>1876</v>
      </c>
      <c r="F388" s="730">
        <v>916999.55</v>
      </c>
      <c r="G388" s="730">
        <v>57254.53</v>
      </c>
      <c r="H388" s="730">
        <v>859745.02</v>
      </c>
      <c r="I388" s="711"/>
      <c r="J388" s="711">
        <f>F388*($J$2+$M$2)</f>
        <v>274072.82550400001</v>
      </c>
      <c r="K388" s="711">
        <f t="shared" si="157"/>
        <v>136240.10574837244</v>
      </c>
      <c r="L388" s="711">
        <f t="shared" si="158"/>
        <v>53652.161065627566</v>
      </c>
      <c r="M388" s="711">
        <f t="shared" si="159"/>
        <v>84180.558690000005</v>
      </c>
      <c r="O388" s="711">
        <f t="shared" si="160"/>
        <v>17112.2339264</v>
      </c>
      <c r="P388" s="711">
        <f t="shared" si="161"/>
        <v>8506.3980912241041</v>
      </c>
      <c r="Q388" s="711">
        <f t="shared" si="162"/>
        <v>3349.8699811758961</v>
      </c>
      <c r="R388" s="711">
        <f t="shared" si="163"/>
        <v>5255.965854</v>
      </c>
      <c r="S388" s="723"/>
    </row>
    <row r="389" spans="1:19" ht="15">
      <c r="A389" s="714" t="s">
        <v>1503</v>
      </c>
      <c r="B389" s="714" t="s">
        <v>1306</v>
      </c>
      <c r="C389" s="714" t="s">
        <v>1307</v>
      </c>
      <c r="D389" s="714">
        <v>9907099</v>
      </c>
      <c r="E389" s="714" t="s">
        <v>1877</v>
      </c>
      <c r="F389" s="730">
        <v>75869.090000000011</v>
      </c>
      <c r="G389" s="730">
        <v>4736.3</v>
      </c>
      <c r="H389" s="730">
        <v>71132.790000000008</v>
      </c>
      <c r="I389" s="711"/>
      <c r="J389" s="711">
        <f t="shared" si="156"/>
        <v>22675.753619200001</v>
      </c>
      <c r="K389" s="711">
        <f t="shared" si="157"/>
        <v>11271.993366444714</v>
      </c>
      <c r="L389" s="711">
        <f t="shared" si="158"/>
        <v>4438.9777907552889</v>
      </c>
      <c r="M389" s="711">
        <f t="shared" si="159"/>
        <v>6964.7824620000019</v>
      </c>
      <c r="O389" s="711">
        <f t="shared" si="160"/>
        <v>1415.5853439999998</v>
      </c>
      <c r="P389" s="711">
        <f t="shared" si="161"/>
        <v>703.67974864984001</v>
      </c>
      <c r="Q389" s="711">
        <f t="shared" si="162"/>
        <v>277.11325535015999</v>
      </c>
      <c r="R389" s="711">
        <f t="shared" si="163"/>
        <v>434.79234000000002</v>
      </c>
      <c r="S389" s="723"/>
    </row>
    <row r="390" spans="1:19" ht="15">
      <c r="A390" s="714" t="s">
        <v>1503</v>
      </c>
      <c r="B390" s="714" t="s">
        <v>1312</v>
      </c>
      <c r="C390" s="714" t="s">
        <v>1310</v>
      </c>
      <c r="D390" s="714">
        <v>9806230</v>
      </c>
      <c r="E390" s="714" t="s">
        <v>1878</v>
      </c>
      <c r="F390" s="730">
        <v>187346.72</v>
      </c>
      <c r="G390" s="730">
        <v>39463.729999999989</v>
      </c>
      <c r="H390" s="730">
        <v>147882.99</v>
      </c>
      <c r="I390" s="711"/>
      <c r="J390" s="711">
        <v>0</v>
      </c>
      <c r="K390" s="711">
        <v>0</v>
      </c>
      <c r="L390" s="711">
        <v>0</v>
      </c>
      <c r="M390" s="711">
        <v>0</v>
      </c>
      <c r="O390" s="711">
        <v>0</v>
      </c>
      <c r="P390" s="711">
        <v>0</v>
      </c>
      <c r="Q390" s="711">
        <v>0</v>
      </c>
      <c r="R390" s="711">
        <v>0</v>
      </c>
      <c r="S390" s="723"/>
    </row>
    <row r="391" spans="1:19" ht="15">
      <c r="A391" s="714" t="s">
        <v>1505</v>
      </c>
      <c r="B391" s="714" t="s">
        <v>1306</v>
      </c>
      <c r="C391" s="714" t="s">
        <v>1307</v>
      </c>
      <c r="D391" s="714">
        <v>9906401</v>
      </c>
      <c r="E391" s="714" t="s">
        <v>1506</v>
      </c>
      <c r="F391" s="730">
        <v>642845.89</v>
      </c>
      <c r="G391" s="730">
        <v>358013.55</v>
      </c>
      <c r="H391" s="730">
        <v>284832.33999999997</v>
      </c>
      <c r="I391" s="711"/>
      <c r="J391" s="711">
        <f>F391*($J$2+$M$2)</f>
        <v>192133.7796032</v>
      </c>
      <c r="K391" s="711">
        <f t="shared" ref="K391" si="164">F391*($J$2*$K$7)</f>
        <v>95508.653230534954</v>
      </c>
      <c r="L391" s="711">
        <f t="shared" ref="L391" si="165">F391*($J$2*$L$7)</f>
        <v>37611.873670665045</v>
      </c>
      <c r="M391" s="711">
        <f t="shared" ref="M391" si="166">F391*($M$2)</f>
        <v>59013.252702000005</v>
      </c>
      <c r="O391" s="711">
        <f t="shared" ref="O391" si="167">G391*($J$2+$M$2)</f>
        <v>107003.089824</v>
      </c>
      <c r="P391" s="711">
        <f t="shared" ref="P391" si="168">G391*($J$2*$K$7)</f>
        <v>53190.651959807641</v>
      </c>
      <c r="Q391" s="711">
        <f t="shared" ref="Q391" si="169">G391*($J$2*$L$7)</f>
        <v>20946.793974192358</v>
      </c>
      <c r="R391" s="711">
        <f t="shared" ref="R391" si="170">G391*($M$2)</f>
        <v>32865.643889999999</v>
      </c>
      <c r="S391" s="723"/>
    </row>
    <row r="392" spans="1:19" ht="15">
      <c r="A392" s="714" t="s">
        <v>1505</v>
      </c>
      <c r="B392" s="714" t="s">
        <v>1306</v>
      </c>
      <c r="C392" s="714" t="s">
        <v>1307</v>
      </c>
      <c r="D392" s="714">
        <v>9906772</v>
      </c>
      <c r="E392" s="714" t="s">
        <v>1879</v>
      </c>
      <c r="F392" s="730">
        <v>316901.09000000003</v>
      </c>
      <c r="G392" s="730">
        <v>75008.839999999982</v>
      </c>
      <c r="H392" s="730">
        <v>241892.25000000003</v>
      </c>
      <c r="I392" s="711"/>
      <c r="J392" s="711">
        <f t="shared" ref="J392:J403" si="171">F392*($J$2+$M$2)</f>
        <v>94715.397779200008</v>
      </c>
      <c r="K392" s="711">
        <f t="shared" ref="K392:K403" si="172">F392*($J$2*$K$7)</f>
        <v>47082.507306982319</v>
      </c>
      <c r="L392" s="711">
        <f t="shared" ref="L392:L403" si="173">F392*($J$2*$L$7)</f>
        <v>18541.370410217689</v>
      </c>
      <c r="M392" s="711">
        <f t="shared" ref="M392:M403" si="174">F392*($M$2)</f>
        <v>29091.520062000003</v>
      </c>
      <c r="O392" s="711">
        <f t="shared" ref="O392:O403" si="175">G392*($J$2+$M$2)</f>
        <v>22418.642099199995</v>
      </c>
      <c r="P392" s="711">
        <f t="shared" ref="P392:P403" si="176">G392*($J$2*$K$7)</f>
        <v>11144.184633092509</v>
      </c>
      <c r="Q392" s="711">
        <f t="shared" ref="Q392:Q403" si="177">G392*($J$2*$L$7)</f>
        <v>4388.6459541074873</v>
      </c>
      <c r="R392" s="711">
        <f t="shared" ref="R392:R403" si="178">G392*($M$2)</f>
        <v>6885.8115119999984</v>
      </c>
      <c r="S392" s="723"/>
    </row>
    <row r="393" spans="1:19" ht="15">
      <c r="A393" s="714" t="s">
        <v>1505</v>
      </c>
      <c r="B393" s="714" t="s">
        <v>1306</v>
      </c>
      <c r="C393" s="714" t="s">
        <v>1307</v>
      </c>
      <c r="D393" s="714">
        <v>9906819</v>
      </c>
      <c r="E393" s="714" t="s">
        <v>1880</v>
      </c>
      <c r="F393" s="730">
        <v>57950.700000000004</v>
      </c>
      <c r="G393" s="730">
        <v>13735.17</v>
      </c>
      <c r="H393" s="730">
        <v>44215.53</v>
      </c>
      <c r="I393" s="711"/>
      <c r="J393" s="711">
        <f t="shared" si="171"/>
        <v>17320.305216000001</v>
      </c>
      <c r="K393" s="711">
        <f t="shared" si="172"/>
        <v>8609.8291936917612</v>
      </c>
      <c r="L393" s="711">
        <f t="shared" si="173"/>
        <v>3390.6017623082403</v>
      </c>
      <c r="M393" s="711">
        <f t="shared" si="174"/>
        <v>5319.8742600000005</v>
      </c>
      <c r="O393" s="711">
        <f t="shared" si="175"/>
        <v>4105.1676096000001</v>
      </c>
      <c r="P393" s="711">
        <f t="shared" si="176"/>
        <v>2040.656413922856</v>
      </c>
      <c r="Q393" s="711">
        <f t="shared" si="177"/>
        <v>803.62258967714399</v>
      </c>
      <c r="R393" s="711">
        <f t="shared" si="178"/>
        <v>1260.8886060000002</v>
      </c>
      <c r="S393" s="723"/>
    </row>
    <row r="394" spans="1:19" ht="15">
      <c r="A394" s="714" t="s">
        <v>1505</v>
      </c>
      <c r="B394" s="714" t="s">
        <v>1306</v>
      </c>
      <c r="C394" s="714" t="s">
        <v>1307</v>
      </c>
      <c r="D394" s="714">
        <v>9906875</v>
      </c>
      <c r="E394" s="714" t="s">
        <v>1881</v>
      </c>
      <c r="F394" s="730">
        <v>5635.1399999999994</v>
      </c>
      <c r="G394" s="730">
        <v>1344.1499999999999</v>
      </c>
      <c r="H394" s="730">
        <v>4290.99</v>
      </c>
      <c r="I394" s="711"/>
      <c r="J394" s="711">
        <f t="shared" si="171"/>
        <v>1684.2306431999998</v>
      </c>
      <c r="K394" s="711">
        <f t="shared" si="172"/>
        <v>837.2218606943519</v>
      </c>
      <c r="L394" s="711">
        <f t="shared" si="173"/>
        <v>329.70293050564794</v>
      </c>
      <c r="M394" s="711">
        <f t="shared" si="174"/>
        <v>517.30585199999996</v>
      </c>
      <c r="O394" s="711">
        <f t="shared" si="175"/>
        <v>401.73955199999995</v>
      </c>
      <c r="P394" s="711">
        <f t="shared" si="176"/>
        <v>199.70253872171998</v>
      </c>
      <c r="Q394" s="711">
        <f t="shared" si="177"/>
        <v>78.644043278279995</v>
      </c>
      <c r="R394" s="711">
        <f t="shared" si="178"/>
        <v>123.39296999999999</v>
      </c>
      <c r="S394" s="723"/>
    </row>
    <row r="395" spans="1:19" ht="15">
      <c r="A395" s="714" t="s">
        <v>1505</v>
      </c>
      <c r="B395" s="714" t="s">
        <v>1306</v>
      </c>
      <c r="C395" s="714" t="s">
        <v>1307</v>
      </c>
      <c r="D395" s="714">
        <v>9906893</v>
      </c>
      <c r="E395" s="714" t="s">
        <v>1882</v>
      </c>
      <c r="F395" s="730">
        <v>52374.080000000002</v>
      </c>
      <c r="G395" s="730">
        <v>29163.13</v>
      </c>
      <c r="H395" s="730">
        <v>23210.95</v>
      </c>
      <c r="I395" s="711"/>
      <c r="J395" s="711">
        <f t="shared" si="171"/>
        <v>15653.565030399999</v>
      </c>
      <c r="K395" s="711">
        <f t="shared" si="172"/>
        <v>7781.3017440125441</v>
      </c>
      <c r="L395" s="711">
        <f t="shared" si="173"/>
        <v>3064.3227423874559</v>
      </c>
      <c r="M395" s="711">
        <f t="shared" si="174"/>
        <v>4807.940544000001</v>
      </c>
      <c r="O395" s="711">
        <f t="shared" si="175"/>
        <v>8716.2762944000006</v>
      </c>
      <c r="P395" s="711">
        <f t="shared" si="176"/>
        <v>4332.813375048584</v>
      </c>
      <c r="Q395" s="711">
        <f t="shared" si="177"/>
        <v>1706.2875853514161</v>
      </c>
      <c r="R395" s="711">
        <f t="shared" si="178"/>
        <v>2677.1753340000005</v>
      </c>
      <c r="S395" s="723"/>
    </row>
    <row r="396" spans="1:19" ht="15">
      <c r="A396" s="714" t="s">
        <v>1505</v>
      </c>
      <c r="B396" s="714" t="s">
        <v>1306</v>
      </c>
      <c r="C396" s="714" t="s">
        <v>1307</v>
      </c>
      <c r="D396" s="714">
        <v>9906901</v>
      </c>
      <c r="E396" s="714" t="s">
        <v>1883</v>
      </c>
      <c r="F396" s="730">
        <v>114707.54</v>
      </c>
      <c r="G396" s="730">
        <v>63863.8</v>
      </c>
      <c r="H396" s="730">
        <v>50843.74</v>
      </c>
      <c r="I396" s="711"/>
      <c r="J396" s="711">
        <f t="shared" si="171"/>
        <v>34283.789555199997</v>
      </c>
      <c r="K396" s="711">
        <f t="shared" si="172"/>
        <v>17042.284676950672</v>
      </c>
      <c r="L396" s="711">
        <f t="shared" si="173"/>
        <v>6711.3527062493276</v>
      </c>
      <c r="M396" s="711">
        <f t="shared" si="174"/>
        <v>10530.152172</v>
      </c>
      <c r="O396" s="711">
        <f t="shared" si="175"/>
        <v>19087.612544</v>
      </c>
      <c r="P396" s="711">
        <f t="shared" si="176"/>
        <v>9488.3480209918398</v>
      </c>
      <c r="Q396" s="711">
        <f t="shared" si="177"/>
        <v>3736.5676830081602</v>
      </c>
      <c r="R396" s="711">
        <f t="shared" si="178"/>
        <v>5862.6968400000005</v>
      </c>
      <c r="S396" s="723"/>
    </row>
    <row r="397" spans="1:19" ht="15">
      <c r="A397" s="714" t="s">
        <v>1505</v>
      </c>
      <c r="B397" s="714" t="s">
        <v>1306</v>
      </c>
      <c r="C397" s="714" t="s">
        <v>1307</v>
      </c>
      <c r="D397" s="714">
        <v>9906925</v>
      </c>
      <c r="E397" s="714" t="s">
        <v>1884</v>
      </c>
      <c r="F397" s="730">
        <v>9023.77</v>
      </c>
      <c r="G397" s="730">
        <v>5023.8100000000004</v>
      </c>
      <c r="H397" s="730">
        <v>3999.96</v>
      </c>
      <c r="I397" s="711"/>
      <c r="J397" s="711">
        <f t="shared" si="171"/>
        <v>2697.0243775999998</v>
      </c>
      <c r="K397" s="711">
        <f t="shared" si="172"/>
        <v>1340.676098531336</v>
      </c>
      <c r="L397" s="711">
        <f t="shared" si="173"/>
        <v>527.96619306866398</v>
      </c>
      <c r="M397" s="711">
        <f t="shared" si="174"/>
        <v>828.38208600000007</v>
      </c>
      <c r="O397" s="711">
        <f t="shared" si="175"/>
        <v>1501.5163328000001</v>
      </c>
      <c r="P397" s="711">
        <f t="shared" si="176"/>
        <v>746.39557419600806</v>
      </c>
      <c r="Q397" s="711">
        <f t="shared" si="177"/>
        <v>293.93500060399202</v>
      </c>
      <c r="R397" s="711">
        <f t="shared" si="178"/>
        <v>461.18575800000008</v>
      </c>
      <c r="S397" s="723"/>
    </row>
    <row r="398" spans="1:19" ht="15">
      <c r="A398" s="714" t="s">
        <v>1505</v>
      </c>
      <c r="B398" s="714" t="s">
        <v>1306</v>
      </c>
      <c r="C398" s="714" t="s">
        <v>1307</v>
      </c>
      <c r="D398" s="714">
        <v>9906944</v>
      </c>
      <c r="E398" s="714" t="s">
        <v>1885</v>
      </c>
      <c r="F398" s="730">
        <v>369362.6</v>
      </c>
      <c r="G398" s="730">
        <v>87403.819999999992</v>
      </c>
      <c r="H398" s="730">
        <v>281958.78000000003</v>
      </c>
      <c r="I398" s="711"/>
      <c r="J398" s="711">
        <f t="shared" si="171"/>
        <v>110395.09388799999</v>
      </c>
      <c r="K398" s="711">
        <f t="shared" si="172"/>
        <v>54876.79866745168</v>
      </c>
      <c r="L398" s="711">
        <f t="shared" si="173"/>
        <v>21610.808540548318</v>
      </c>
      <c r="M398" s="711">
        <f t="shared" si="174"/>
        <v>33907.486680000002</v>
      </c>
      <c r="O398" s="711">
        <f t="shared" si="175"/>
        <v>26123.253721599995</v>
      </c>
      <c r="P398" s="711">
        <f t="shared" si="176"/>
        <v>12985.726851896176</v>
      </c>
      <c r="Q398" s="711">
        <f t="shared" si="177"/>
        <v>5113.8561937038239</v>
      </c>
      <c r="R398" s="711">
        <f t="shared" si="178"/>
        <v>8023.6706759999997</v>
      </c>
      <c r="S398" s="723"/>
    </row>
    <row r="399" spans="1:19" ht="15">
      <c r="A399" s="714" t="s">
        <v>1505</v>
      </c>
      <c r="B399" s="714" t="s">
        <v>1306</v>
      </c>
      <c r="C399" s="714" t="s">
        <v>1307</v>
      </c>
      <c r="D399" s="714">
        <v>9906947</v>
      </c>
      <c r="E399" s="714" t="s">
        <v>1886</v>
      </c>
      <c r="F399" s="730">
        <v>21831.74</v>
      </c>
      <c r="G399" s="730">
        <v>12154.42</v>
      </c>
      <c r="H399" s="730">
        <v>9677.3200000000015</v>
      </c>
      <c r="I399" s="711"/>
      <c r="J399" s="711">
        <f t="shared" si="171"/>
        <v>6525.0704512000002</v>
      </c>
      <c r="K399" s="711">
        <f t="shared" si="172"/>
        <v>3243.5769093572321</v>
      </c>
      <c r="L399" s="711">
        <f t="shared" si="173"/>
        <v>1277.3398098427681</v>
      </c>
      <c r="M399" s="711">
        <f t="shared" si="174"/>
        <v>2004.1537320000002</v>
      </c>
      <c r="O399" s="711">
        <f t="shared" si="175"/>
        <v>3632.7130496</v>
      </c>
      <c r="P399" s="711">
        <f t="shared" si="176"/>
        <v>1805.8018306662559</v>
      </c>
      <c r="Q399" s="711">
        <f t="shared" si="177"/>
        <v>711.13546293374395</v>
      </c>
      <c r="R399" s="711">
        <f t="shared" si="178"/>
        <v>1115.775756</v>
      </c>
      <c r="S399" s="723"/>
    </row>
    <row r="400" spans="1:19" ht="15">
      <c r="A400" s="714" t="s">
        <v>1505</v>
      </c>
      <c r="B400" s="714" t="s">
        <v>1306</v>
      </c>
      <c r="C400" s="714" t="s">
        <v>1307</v>
      </c>
      <c r="D400" s="714">
        <v>9906955</v>
      </c>
      <c r="E400" s="714" t="s">
        <v>1887</v>
      </c>
      <c r="F400" s="730">
        <v>167693.24</v>
      </c>
      <c r="G400" s="730">
        <v>39687.730000000003</v>
      </c>
      <c r="H400" s="730">
        <v>128005.51</v>
      </c>
      <c r="I400" s="711"/>
      <c r="J400" s="711">
        <f t="shared" si="171"/>
        <v>50120.155571199997</v>
      </c>
      <c r="K400" s="711">
        <f t="shared" si="172"/>
        <v>24914.455793230431</v>
      </c>
      <c r="L400" s="711">
        <f t="shared" si="173"/>
        <v>9811.4603459695682</v>
      </c>
      <c r="M400" s="711">
        <f t="shared" si="174"/>
        <v>15394.239432</v>
      </c>
      <c r="O400" s="711">
        <f t="shared" si="175"/>
        <v>11861.8687424</v>
      </c>
      <c r="P400" s="711">
        <f t="shared" si="176"/>
        <v>5896.4702132218645</v>
      </c>
      <c r="Q400" s="711">
        <f t="shared" si="177"/>
        <v>2322.0649151781363</v>
      </c>
      <c r="R400" s="711">
        <f t="shared" si="178"/>
        <v>3643.3336140000006</v>
      </c>
      <c r="S400" s="723"/>
    </row>
    <row r="401" spans="1:19" ht="15">
      <c r="A401" s="714" t="s">
        <v>1505</v>
      </c>
      <c r="B401" s="714" t="s">
        <v>1306</v>
      </c>
      <c r="C401" s="714" t="s">
        <v>1307</v>
      </c>
      <c r="D401" s="714">
        <v>9907018</v>
      </c>
      <c r="E401" s="714" t="s">
        <v>1888</v>
      </c>
      <c r="F401" s="730">
        <v>73856.98</v>
      </c>
      <c r="G401" s="730">
        <v>2981.69</v>
      </c>
      <c r="H401" s="730">
        <v>70875.289999999994</v>
      </c>
      <c r="I401" s="711"/>
      <c r="J401" s="711">
        <f t="shared" si="171"/>
        <v>22074.374182399999</v>
      </c>
      <c r="K401" s="711">
        <f t="shared" si="172"/>
        <v>10973.050930565263</v>
      </c>
      <c r="L401" s="711">
        <f t="shared" si="173"/>
        <v>4321.2524878347358</v>
      </c>
      <c r="M401" s="711">
        <f t="shared" si="174"/>
        <v>6780.0707640000001</v>
      </c>
      <c r="O401" s="711">
        <f t="shared" si="175"/>
        <v>891.16750719999993</v>
      </c>
      <c r="P401" s="711">
        <f t="shared" si="176"/>
        <v>442.99450409639201</v>
      </c>
      <c r="Q401" s="711">
        <f t="shared" si="177"/>
        <v>174.45386110360801</v>
      </c>
      <c r="R401" s="711">
        <f t="shared" si="178"/>
        <v>273.71914200000003</v>
      </c>
      <c r="S401" s="723"/>
    </row>
    <row r="402" spans="1:19" ht="15">
      <c r="A402" s="714" t="s">
        <v>1505</v>
      </c>
      <c r="B402" s="714" t="s">
        <v>1306</v>
      </c>
      <c r="C402" s="714" t="s">
        <v>1307</v>
      </c>
      <c r="D402" s="714">
        <v>9907052</v>
      </c>
      <c r="E402" s="714" t="s">
        <v>1889</v>
      </c>
      <c r="F402" s="730">
        <v>132931.67000000001</v>
      </c>
      <c r="G402" s="730">
        <v>31422.65</v>
      </c>
      <c r="H402" s="730">
        <v>101509.02</v>
      </c>
      <c r="I402" s="711"/>
      <c r="J402" s="711">
        <f t="shared" si="171"/>
        <v>39730.6175296</v>
      </c>
      <c r="K402" s="711">
        <f t="shared" si="172"/>
        <v>19749.873135824058</v>
      </c>
      <c r="L402" s="711">
        <f t="shared" si="173"/>
        <v>7777.617087775945</v>
      </c>
      <c r="M402" s="711">
        <f t="shared" si="174"/>
        <v>12203.127306000002</v>
      </c>
      <c r="O402" s="711">
        <f t="shared" si="175"/>
        <v>9391.6016319999999</v>
      </c>
      <c r="P402" s="711">
        <f t="shared" si="176"/>
        <v>4668.5139146405199</v>
      </c>
      <c r="Q402" s="711">
        <f t="shared" si="177"/>
        <v>1838.48844735948</v>
      </c>
      <c r="R402" s="711">
        <f t="shared" si="178"/>
        <v>2884.5992700000002</v>
      </c>
      <c r="S402" s="723"/>
    </row>
    <row r="403" spans="1:19" ht="15">
      <c r="A403" s="714" t="s">
        <v>1505</v>
      </c>
      <c r="B403" s="714" t="s">
        <v>1306</v>
      </c>
      <c r="C403" s="714" t="s">
        <v>1307</v>
      </c>
      <c r="D403" s="714">
        <v>9907140</v>
      </c>
      <c r="E403" s="714" t="s">
        <v>1890</v>
      </c>
      <c r="F403" s="730">
        <v>7213</v>
      </c>
      <c r="G403" s="730">
        <v>1703.63</v>
      </c>
      <c r="H403" s="730">
        <v>5509.37</v>
      </c>
      <c r="I403" s="711"/>
      <c r="J403" s="711">
        <f t="shared" si="171"/>
        <v>2155.8214399999997</v>
      </c>
      <c r="K403" s="711">
        <f t="shared" si="172"/>
        <v>1071.6470719783999</v>
      </c>
      <c r="L403" s="711">
        <f t="shared" si="173"/>
        <v>422.02096802160003</v>
      </c>
      <c r="M403" s="711">
        <f t="shared" si="174"/>
        <v>662.15340000000003</v>
      </c>
      <c r="O403" s="711">
        <f t="shared" si="175"/>
        <v>509.18093440000001</v>
      </c>
      <c r="P403" s="711">
        <f t="shared" si="176"/>
        <v>253.111063528984</v>
      </c>
      <c r="Q403" s="711">
        <f t="shared" si="177"/>
        <v>99.676636871016001</v>
      </c>
      <c r="R403" s="711">
        <f t="shared" si="178"/>
        <v>156.39323400000004</v>
      </c>
      <c r="S403" s="723"/>
    </row>
    <row r="404" spans="1:19" ht="15">
      <c r="A404" s="714" t="s">
        <v>1505</v>
      </c>
      <c r="B404" s="714" t="s">
        <v>1312</v>
      </c>
      <c r="C404" s="714" t="s">
        <v>1310</v>
      </c>
      <c r="D404" s="714">
        <v>9806184</v>
      </c>
      <c r="E404" s="714" t="s">
        <v>1507</v>
      </c>
      <c r="F404" s="730">
        <v>98930</v>
      </c>
      <c r="G404" s="730">
        <v>58508.670000000006</v>
      </c>
      <c r="H404" s="730">
        <v>40421.33</v>
      </c>
      <c r="I404" s="711"/>
      <c r="J404" s="711">
        <v>0</v>
      </c>
      <c r="K404" s="711">
        <v>0</v>
      </c>
      <c r="L404" s="711">
        <v>0</v>
      </c>
      <c r="M404" s="711">
        <v>0</v>
      </c>
      <c r="O404" s="711">
        <v>0</v>
      </c>
      <c r="P404" s="711">
        <v>0</v>
      </c>
      <c r="Q404" s="711">
        <v>0</v>
      </c>
      <c r="R404" s="711">
        <v>0</v>
      </c>
      <c r="S404" s="723"/>
    </row>
    <row r="405" spans="1:19" ht="15">
      <c r="A405" s="714" t="s">
        <v>1891</v>
      </c>
      <c r="B405" s="714" t="s">
        <v>1312</v>
      </c>
      <c r="C405" s="714" t="s">
        <v>1310</v>
      </c>
      <c r="D405" s="714">
        <v>9806261</v>
      </c>
      <c r="E405" s="714" t="s">
        <v>1892</v>
      </c>
      <c r="F405" s="730">
        <v>59528.719999999994</v>
      </c>
      <c r="G405" s="730">
        <v>4340.63</v>
      </c>
      <c r="H405" s="730">
        <v>55188.090000000004</v>
      </c>
      <c r="I405" s="711"/>
      <c r="J405" s="711">
        <v>0</v>
      </c>
      <c r="K405" s="711">
        <v>0</v>
      </c>
      <c r="L405" s="711">
        <v>0</v>
      </c>
      <c r="M405" s="711">
        <v>0</v>
      </c>
      <c r="O405" s="711">
        <v>0</v>
      </c>
      <c r="P405" s="711">
        <v>0</v>
      </c>
      <c r="Q405" s="711">
        <v>0</v>
      </c>
      <c r="R405" s="711">
        <v>0</v>
      </c>
      <c r="S405" s="723"/>
    </row>
    <row r="406" spans="1:19" ht="15">
      <c r="A406" s="714" t="s">
        <v>1508</v>
      </c>
      <c r="B406" s="714" t="s">
        <v>1306</v>
      </c>
      <c r="C406" s="714" t="s">
        <v>1307</v>
      </c>
      <c r="D406" s="714">
        <v>9906726</v>
      </c>
      <c r="E406" s="714" t="s">
        <v>1496</v>
      </c>
      <c r="F406" s="730">
        <v>794496.03</v>
      </c>
      <c r="G406" s="730">
        <v>296183.7</v>
      </c>
      <c r="H406" s="730">
        <v>498312.33</v>
      </c>
      <c r="I406" s="711"/>
      <c r="J406" s="711">
        <f>F406*($J$2+$M$2)</f>
        <v>237458.97344639999</v>
      </c>
      <c r="K406" s="711">
        <f t="shared" ref="K406" si="179">F406*($J$2*$K$7)</f>
        <v>118039.55971828131</v>
      </c>
      <c r="L406" s="711">
        <f t="shared" ref="L406" si="180">F406*($J$2*$L$7)</f>
        <v>46484.678174118701</v>
      </c>
      <c r="M406" s="711">
        <f t="shared" ref="M406" si="181">F406*($M$2)</f>
        <v>72934.735554000014</v>
      </c>
      <c r="O406" s="711">
        <f t="shared" ref="O406" si="182">G406*($J$2+$M$2)</f>
        <v>88523.38425599999</v>
      </c>
      <c r="P406" s="711">
        <f t="shared" ref="P406" si="183">G406*($J$2*$K$7)</f>
        <v>44004.491178806165</v>
      </c>
      <c r="Q406" s="711">
        <f t="shared" ref="Q406" si="184">G406*($J$2*$L$7)</f>
        <v>17329.229417193841</v>
      </c>
      <c r="R406" s="711">
        <f t="shared" ref="R406" si="185">G406*($M$2)</f>
        <v>27189.663660000002</v>
      </c>
      <c r="S406" s="723"/>
    </row>
    <row r="407" spans="1:19" ht="15">
      <c r="A407" s="714" t="s">
        <v>1508</v>
      </c>
      <c r="B407" s="714" t="s">
        <v>1306</v>
      </c>
      <c r="C407" s="714" t="s">
        <v>1307</v>
      </c>
      <c r="D407" s="714">
        <v>9906729</v>
      </c>
      <c r="E407" s="714" t="s">
        <v>1509</v>
      </c>
      <c r="F407" s="730">
        <v>4470431.6399999997</v>
      </c>
      <c r="G407" s="730">
        <v>1666201.1700000002</v>
      </c>
      <c r="H407" s="730">
        <v>2804230.47</v>
      </c>
      <c r="I407" s="711"/>
      <c r="J407" s="711">
        <f t="shared" ref="J407:J419" si="186">F407*($J$2+$M$2)</f>
        <v>1336122.6085631999</v>
      </c>
      <c r="K407" s="711">
        <f t="shared" ref="K407:K419" si="187">F407*($J$2*$K$7)</f>
        <v>664179.25654867548</v>
      </c>
      <c r="L407" s="711">
        <f t="shared" ref="L407:L419" si="188">F407*($J$2*$L$7)</f>
        <v>261557.72746252443</v>
      </c>
      <c r="M407" s="711">
        <f t="shared" ref="M407:M419" si="189">F407*($M$2)</f>
        <v>410385.62455200002</v>
      </c>
      <c r="O407" s="711">
        <f t="shared" ref="O407:O419" si="190">G407*($J$2+$M$2)</f>
        <v>497994.20568960003</v>
      </c>
      <c r="P407" s="711">
        <f t="shared" ref="P407:P419" si="191">G407*($J$2*$K$7)</f>
        <v>247550.20174095168</v>
      </c>
      <c r="Q407" s="711">
        <f t="shared" ref="Q407:Q419" si="192">G407*($J$2*$L$7)</f>
        <v>97486.736542648359</v>
      </c>
      <c r="R407" s="711">
        <f t="shared" ref="R407:R419" si="193">G407*($M$2)</f>
        <v>152957.26740600003</v>
      </c>
      <c r="S407" s="723"/>
    </row>
    <row r="408" spans="1:19" ht="15">
      <c r="A408" s="714" t="s">
        <v>1508</v>
      </c>
      <c r="B408" s="714" t="s">
        <v>1306</v>
      </c>
      <c r="C408" s="714" t="s">
        <v>1307</v>
      </c>
      <c r="D408" s="714">
        <v>9906754</v>
      </c>
      <c r="E408" s="714" t="s">
        <v>1893</v>
      </c>
      <c r="F408" s="730">
        <v>14096.85</v>
      </c>
      <c r="G408" s="730">
        <v>5254.16</v>
      </c>
      <c r="H408" s="730">
        <v>8842.69</v>
      </c>
      <c r="I408" s="711"/>
      <c r="J408" s="711">
        <f t="shared" si="186"/>
        <v>4213.2665280000001</v>
      </c>
      <c r="K408" s="711">
        <f t="shared" si="187"/>
        <v>2094.3917962870801</v>
      </c>
      <c r="L408" s="711">
        <f t="shared" si="188"/>
        <v>824.78390171292006</v>
      </c>
      <c r="M408" s="711">
        <f t="shared" si="189"/>
        <v>1294.0908300000001</v>
      </c>
      <c r="O408" s="711">
        <f t="shared" si="190"/>
        <v>1570.3633407999998</v>
      </c>
      <c r="P408" s="711">
        <f t="shared" si="191"/>
        <v>780.61904612588796</v>
      </c>
      <c r="Q408" s="711">
        <f t="shared" si="192"/>
        <v>307.41240667411199</v>
      </c>
      <c r="R408" s="711">
        <f t="shared" si="193"/>
        <v>482.33188800000005</v>
      </c>
      <c r="S408" s="723"/>
    </row>
    <row r="409" spans="1:19" ht="15">
      <c r="A409" s="714" t="s">
        <v>1508</v>
      </c>
      <c r="B409" s="714" t="s">
        <v>1306</v>
      </c>
      <c r="C409" s="714" t="s">
        <v>1307</v>
      </c>
      <c r="D409" s="714">
        <v>9906805</v>
      </c>
      <c r="E409" s="714" t="s">
        <v>1894</v>
      </c>
      <c r="F409" s="730">
        <v>189673.86000000002</v>
      </c>
      <c r="G409" s="730">
        <v>70710.649999999994</v>
      </c>
      <c r="H409" s="730">
        <v>118963.21</v>
      </c>
      <c r="I409" s="711"/>
      <c r="J409" s="711">
        <f t="shared" si="186"/>
        <v>56689.723276800003</v>
      </c>
      <c r="K409" s="711">
        <f t="shared" si="187"/>
        <v>28180.152044896851</v>
      </c>
      <c r="L409" s="711">
        <f t="shared" si="188"/>
        <v>11097.510883903153</v>
      </c>
      <c r="M409" s="711">
        <f t="shared" si="189"/>
        <v>17412.060348000003</v>
      </c>
      <c r="O409" s="711">
        <f t="shared" si="190"/>
        <v>21133.999071999995</v>
      </c>
      <c r="P409" s="711">
        <f t="shared" si="191"/>
        <v>10505.595595478919</v>
      </c>
      <c r="Q409" s="711">
        <f t="shared" si="192"/>
        <v>4137.1658065210795</v>
      </c>
      <c r="R409" s="711">
        <f t="shared" si="193"/>
        <v>6491.2376699999995</v>
      </c>
      <c r="S409" s="723"/>
    </row>
    <row r="410" spans="1:19" ht="15">
      <c r="A410" s="714" t="s">
        <v>1508</v>
      </c>
      <c r="B410" s="714" t="s">
        <v>1306</v>
      </c>
      <c r="C410" s="714" t="s">
        <v>1307</v>
      </c>
      <c r="D410" s="714">
        <v>9906900</v>
      </c>
      <c r="E410" s="714" t="s">
        <v>1895</v>
      </c>
      <c r="F410" s="730">
        <v>275167</v>
      </c>
      <c r="G410" s="730">
        <v>45693.740000000005</v>
      </c>
      <c r="H410" s="730">
        <v>229473.25999999998</v>
      </c>
      <c r="I410" s="711"/>
      <c r="J410" s="711">
        <f t="shared" si="186"/>
        <v>82241.912960000001</v>
      </c>
      <c r="K410" s="711">
        <f t="shared" si="187"/>
        <v>40882.006080005602</v>
      </c>
      <c r="L410" s="711">
        <f t="shared" si="188"/>
        <v>16099.5762799944</v>
      </c>
      <c r="M410" s="711">
        <f t="shared" si="189"/>
        <v>25260.330600000001</v>
      </c>
      <c r="O410" s="711">
        <f t="shared" si="190"/>
        <v>13656.945011200001</v>
      </c>
      <c r="P410" s="711">
        <f t="shared" si="191"/>
        <v>6788.792829438833</v>
      </c>
      <c r="Q410" s="711">
        <f t="shared" si="192"/>
        <v>2673.4668497611683</v>
      </c>
      <c r="R410" s="711">
        <f t="shared" si="193"/>
        <v>4194.6853320000009</v>
      </c>
      <c r="S410" s="723"/>
    </row>
    <row r="411" spans="1:19" ht="15">
      <c r="A411" s="714" t="s">
        <v>1508</v>
      </c>
      <c r="B411" s="714" t="s">
        <v>1306</v>
      </c>
      <c r="C411" s="714" t="s">
        <v>1307</v>
      </c>
      <c r="D411" s="714">
        <v>9906908</v>
      </c>
      <c r="E411" s="714" t="s">
        <v>1896</v>
      </c>
      <c r="F411" s="730">
        <v>2085506.62</v>
      </c>
      <c r="G411" s="730">
        <v>777134.07999999996</v>
      </c>
      <c r="H411" s="730">
        <v>1308372.54</v>
      </c>
      <c r="I411" s="711"/>
      <c r="J411" s="711">
        <f t="shared" si="186"/>
        <v>623316.21858560003</v>
      </c>
      <c r="K411" s="711">
        <f t="shared" si="187"/>
        <v>309847.09038050321</v>
      </c>
      <c r="L411" s="711">
        <f t="shared" si="188"/>
        <v>122019.62048909679</v>
      </c>
      <c r="M411" s="711">
        <f t="shared" si="189"/>
        <v>191449.50771600002</v>
      </c>
      <c r="O411" s="711">
        <f t="shared" si="190"/>
        <v>232269.83383039996</v>
      </c>
      <c r="P411" s="711">
        <f t="shared" si="191"/>
        <v>115460.06673598054</v>
      </c>
      <c r="Q411" s="711">
        <f t="shared" si="192"/>
        <v>45468.858550419456</v>
      </c>
      <c r="R411" s="711">
        <f t="shared" si="193"/>
        <v>71340.908544000005</v>
      </c>
      <c r="S411" s="723"/>
    </row>
    <row r="412" spans="1:19" ht="15">
      <c r="A412" s="714" t="s">
        <v>1508</v>
      </c>
      <c r="B412" s="714" t="s">
        <v>1306</v>
      </c>
      <c r="C412" s="714" t="s">
        <v>1307</v>
      </c>
      <c r="D412" s="714">
        <v>9906917</v>
      </c>
      <c r="E412" s="714" t="s">
        <v>1897</v>
      </c>
      <c r="F412" s="730">
        <v>619751.73</v>
      </c>
      <c r="G412" s="730">
        <v>102865.08</v>
      </c>
      <c r="H412" s="730">
        <v>516886.65</v>
      </c>
      <c r="I412" s="711"/>
      <c r="J412" s="711">
        <f t="shared" si="186"/>
        <v>185231.39706239998</v>
      </c>
      <c r="K412" s="711">
        <f t="shared" si="187"/>
        <v>92077.516540697063</v>
      </c>
      <c r="L412" s="711">
        <f t="shared" si="188"/>
        <v>36260.671707702932</v>
      </c>
      <c r="M412" s="711">
        <f t="shared" si="189"/>
        <v>56893.208814000005</v>
      </c>
      <c r="O412" s="711">
        <f t="shared" si="190"/>
        <v>30744.315110399999</v>
      </c>
      <c r="P412" s="711">
        <f t="shared" si="191"/>
        <v>15282.831247861344</v>
      </c>
      <c r="Q412" s="711">
        <f t="shared" si="192"/>
        <v>6018.4695185386563</v>
      </c>
      <c r="R412" s="711">
        <f t="shared" si="193"/>
        <v>9443.0143440000011</v>
      </c>
      <c r="S412" s="723"/>
    </row>
    <row r="413" spans="1:19" ht="15">
      <c r="A413" s="714" t="s">
        <v>1508</v>
      </c>
      <c r="B413" s="714" t="s">
        <v>1306</v>
      </c>
      <c r="C413" s="714" t="s">
        <v>1307</v>
      </c>
      <c r="D413" s="714">
        <v>9906968</v>
      </c>
      <c r="E413" s="714" t="s">
        <v>1898</v>
      </c>
      <c r="F413" s="730">
        <v>1683132.53</v>
      </c>
      <c r="G413" s="730">
        <v>279440.65000000002</v>
      </c>
      <c r="H413" s="730">
        <v>1403691.8800000001</v>
      </c>
      <c r="I413" s="711"/>
      <c r="J413" s="711">
        <f t="shared" si="186"/>
        <v>503054.65056639997</v>
      </c>
      <c r="K413" s="711">
        <f t="shared" si="187"/>
        <v>250065.72127077452</v>
      </c>
      <c r="L413" s="711">
        <f t="shared" si="188"/>
        <v>98477.363041625504</v>
      </c>
      <c r="M413" s="711">
        <f t="shared" si="189"/>
        <v>154511.566254</v>
      </c>
      <c r="O413" s="711">
        <f t="shared" si="190"/>
        <v>83519.221472000005</v>
      </c>
      <c r="P413" s="711">
        <f t="shared" si="191"/>
        <v>41516.949170142922</v>
      </c>
      <c r="Q413" s="711">
        <f t="shared" si="192"/>
        <v>16349.620631857082</v>
      </c>
      <c r="R413" s="711">
        <f t="shared" si="193"/>
        <v>25652.651670000003</v>
      </c>
      <c r="S413" s="723"/>
    </row>
    <row r="414" spans="1:19" ht="15">
      <c r="A414" s="714" t="s">
        <v>1508</v>
      </c>
      <c r="B414" s="714" t="s">
        <v>1306</v>
      </c>
      <c r="C414" s="714" t="s">
        <v>1307</v>
      </c>
      <c r="D414" s="714">
        <v>9906969</v>
      </c>
      <c r="E414" s="714" t="s">
        <v>1899</v>
      </c>
      <c r="F414" s="730">
        <v>1852412.1999999997</v>
      </c>
      <c r="G414" s="730">
        <v>307562.83999999997</v>
      </c>
      <c r="H414" s="730">
        <v>1544849.36</v>
      </c>
      <c r="I414" s="711"/>
      <c r="J414" s="711">
        <f t="shared" si="186"/>
        <v>553648.95833599987</v>
      </c>
      <c r="K414" s="711">
        <f t="shared" si="187"/>
        <v>275215.87553404493</v>
      </c>
      <c r="L414" s="711">
        <f t="shared" si="188"/>
        <v>108381.64284195502</v>
      </c>
      <c r="M414" s="711">
        <f t="shared" si="189"/>
        <v>170051.43995999999</v>
      </c>
      <c r="O414" s="711">
        <f t="shared" si="190"/>
        <v>91924.381619199979</v>
      </c>
      <c r="P414" s="711">
        <f t="shared" si="191"/>
        <v>45695.108406399704</v>
      </c>
      <c r="Q414" s="711">
        <f t="shared" si="192"/>
        <v>17995.004500800285</v>
      </c>
      <c r="R414" s="711">
        <f t="shared" si="193"/>
        <v>28234.268711999997</v>
      </c>
      <c r="S414" s="723"/>
    </row>
    <row r="415" spans="1:19" ht="15">
      <c r="A415" s="714" t="s">
        <v>1508</v>
      </c>
      <c r="B415" s="714" t="s">
        <v>1306</v>
      </c>
      <c r="C415" s="714" t="s">
        <v>1307</v>
      </c>
      <c r="D415" s="714">
        <v>9906994</v>
      </c>
      <c r="E415" s="714" t="s">
        <v>1900</v>
      </c>
      <c r="F415" s="730">
        <v>312316.44</v>
      </c>
      <c r="G415" s="730">
        <v>51890.079999999994</v>
      </c>
      <c r="H415" s="730">
        <v>260426.36000000002</v>
      </c>
      <c r="I415" s="711"/>
      <c r="J415" s="711">
        <f t="shared" si="186"/>
        <v>93345.137587199992</v>
      </c>
      <c r="K415" s="711">
        <f t="shared" si="187"/>
        <v>46401.358444020196</v>
      </c>
      <c r="L415" s="711">
        <f t="shared" si="188"/>
        <v>18273.12995117981</v>
      </c>
      <c r="M415" s="711">
        <f t="shared" si="189"/>
        <v>28670.649192000001</v>
      </c>
      <c r="O415" s="711">
        <f t="shared" si="190"/>
        <v>15508.907110399998</v>
      </c>
      <c r="P415" s="711">
        <f t="shared" si="191"/>
        <v>7709.393081481343</v>
      </c>
      <c r="Q415" s="711">
        <f t="shared" si="192"/>
        <v>3036.0046849186556</v>
      </c>
      <c r="R415" s="711">
        <f t="shared" si="193"/>
        <v>4763.5093440000001</v>
      </c>
      <c r="S415" s="723"/>
    </row>
    <row r="416" spans="1:19" ht="15">
      <c r="A416" s="714" t="s">
        <v>1508</v>
      </c>
      <c r="B416" s="714" t="s">
        <v>1306</v>
      </c>
      <c r="C416" s="714" t="s">
        <v>1307</v>
      </c>
      <c r="D416" s="714">
        <v>9906999</v>
      </c>
      <c r="E416" s="714" t="s">
        <v>1901</v>
      </c>
      <c r="F416" s="730">
        <v>33069.06</v>
      </c>
      <c r="G416" s="730">
        <v>5494.08</v>
      </c>
      <c r="H416" s="730">
        <v>27574.98</v>
      </c>
      <c r="I416" s="711"/>
      <c r="J416" s="711">
        <f t="shared" si="186"/>
        <v>9883.6806527999979</v>
      </c>
      <c r="K416" s="711">
        <f t="shared" si="187"/>
        <v>4913.1237102562072</v>
      </c>
      <c r="L416" s="711">
        <f t="shared" si="188"/>
        <v>1934.8172345437918</v>
      </c>
      <c r="M416" s="711">
        <f t="shared" si="189"/>
        <v>3035.7397080000001</v>
      </c>
      <c r="O416" s="711">
        <f t="shared" si="190"/>
        <v>1642.0706303999998</v>
      </c>
      <c r="P416" s="711">
        <f t="shared" si="191"/>
        <v>816.26434842854394</v>
      </c>
      <c r="Q416" s="711">
        <f t="shared" si="192"/>
        <v>321.44973797145599</v>
      </c>
      <c r="R416" s="711">
        <f t="shared" si="193"/>
        <v>504.35654400000004</v>
      </c>
      <c r="S416" s="723"/>
    </row>
    <row r="417" spans="1:19" ht="15">
      <c r="A417" s="714" t="s">
        <v>1508</v>
      </c>
      <c r="B417" s="714" t="s">
        <v>1306</v>
      </c>
      <c r="C417" s="714" t="s">
        <v>1307</v>
      </c>
      <c r="D417" s="714">
        <v>9907027</v>
      </c>
      <c r="E417" s="714" t="s">
        <v>1902</v>
      </c>
      <c r="F417" s="730">
        <v>57104.45</v>
      </c>
      <c r="G417" s="730">
        <v>9481.66</v>
      </c>
      <c r="H417" s="730">
        <v>47622.79</v>
      </c>
      <c r="I417" s="711"/>
      <c r="J417" s="711">
        <f t="shared" si="186"/>
        <v>17067.378015999999</v>
      </c>
      <c r="K417" s="711">
        <f t="shared" si="187"/>
        <v>8484.1004629747604</v>
      </c>
      <c r="L417" s="711">
        <f t="shared" si="188"/>
        <v>3341.0890430252398</v>
      </c>
      <c r="M417" s="711">
        <f t="shared" si="189"/>
        <v>5242.18851</v>
      </c>
      <c r="O417" s="711">
        <f t="shared" si="190"/>
        <v>2833.8785407999999</v>
      </c>
      <c r="P417" s="711">
        <f t="shared" si="191"/>
        <v>1408.705556147888</v>
      </c>
      <c r="Q417" s="711">
        <f t="shared" si="192"/>
        <v>554.75659665211197</v>
      </c>
      <c r="R417" s="711">
        <f t="shared" si="193"/>
        <v>870.4163880000001</v>
      </c>
      <c r="S417" s="723"/>
    </row>
    <row r="418" spans="1:19" ht="15">
      <c r="A418" s="714" t="s">
        <v>1508</v>
      </c>
      <c r="B418" s="714" t="s">
        <v>1306</v>
      </c>
      <c r="C418" s="714" t="s">
        <v>1307</v>
      </c>
      <c r="D418" s="714">
        <v>9907033</v>
      </c>
      <c r="E418" s="714" t="s">
        <v>1903</v>
      </c>
      <c r="F418" s="730">
        <v>155391.01</v>
      </c>
      <c r="G418" s="730">
        <v>25822.69</v>
      </c>
      <c r="H418" s="730">
        <v>129568.31999999999</v>
      </c>
      <c r="I418" s="711"/>
      <c r="J418" s="711">
        <f t="shared" si="186"/>
        <v>46443.265068799999</v>
      </c>
      <c r="K418" s="711">
        <f t="shared" si="187"/>
        <v>23086.69359188497</v>
      </c>
      <c r="L418" s="711">
        <f t="shared" si="188"/>
        <v>9091.6767589150331</v>
      </c>
      <c r="M418" s="711">
        <f t="shared" si="189"/>
        <v>14264.894718000001</v>
      </c>
      <c r="O418" s="711">
        <f t="shared" si="190"/>
        <v>7717.8855871999995</v>
      </c>
      <c r="P418" s="711">
        <f t="shared" si="191"/>
        <v>3836.5188034251919</v>
      </c>
      <c r="Q418" s="711">
        <f t="shared" si="192"/>
        <v>1510.843841774808</v>
      </c>
      <c r="R418" s="711">
        <f t="shared" si="193"/>
        <v>2370.5229420000001</v>
      </c>
      <c r="S418" s="723"/>
    </row>
    <row r="419" spans="1:19" ht="15">
      <c r="A419" s="714" t="s">
        <v>1508</v>
      </c>
      <c r="B419" s="714" t="s">
        <v>1306</v>
      </c>
      <c r="C419" s="714" t="s">
        <v>1307</v>
      </c>
      <c r="D419" s="714">
        <v>9907163</v>
      </c>
      <c r="E419" s="714" t="s">
        <v>1904</v>
      </c>
      <c r="F419" s="730">
        <v>1793303.43</v>
      </c>
      <c r="G419" s="730">
        <v>14944.199999999999</v>
      </c>
      <c r="H419" s="730">
        <v>1778359.23</v>
      </c>
      <c r="I419" s="711"/>
      <c r="J419" s="711">
        <f t="shared" si="186"/>
        <v>535982.52915839991</v>
      </c>
      <c r="K419" s="711">
        <f t="shared" si="187"/>
        <v>266433.99000808562</v>
      </c>
      <c r="L419" s="711">
        <f t="shared" si="188"/>
        <v>104923.28427631437</v>
      </c>
      <c r="M419" s="711">
        <f t="shared" si="189"/>
        <v>164625.25487400001</v>
      </c>
      <c r="O419" s="711">
        <f t="shared" si="190"/>
        <v>4466.5224959999996</v>
      </c>
      <c r="P419" s="711">
        <f t="shared" si="191"/>
        <v>2220.28395578256</v>
      </c>
      <c r="Q419" s="711">
        <f t="shared" si="192"/>
        <v>874.36098021743999</v>
      </c>
      <c r="R419" s="711">
        <f t="shared" si="193"/>
        <v>1371.8775599999999</v>
      </c>
      <c r="S419" s="723"/>
    </row>
    <row r="420" spans="1:19" ht="15">
      <c r="A420" s="724" t="s">
        <v>1510</v>
      </c>
      <c r="B420" s="724"/>
      <c r="C420" s="724"/>
      <c r="D420" s="724"/>
      <c r="E420" s="724"/>
      <c r="F420" s="725">
        <f>SUM(F379:F419)</f>
        <v>26151526.870000005</v>
      </c>
      <c r="G420" s="725">
        <f t="shared" ref="G420:H420" si="194">SUM(G379:G419)</f>
        <v>7246881.1299999999</v>
      </c>
      <c r="H420" s="725">
        <f t="shared" si="194"/>
        <v>18904645.740000002</v>
      </c>
      <c r="I420" s="711"/>
      <c r="J420" s="725">
        <f>SUM(J379:J419)</f>
        <v>5316146.7890559994</v>
      </c>
      <c r="K420" s="725">
        <f>SUM(K379:K419)</f>
        <v>2642627.5548587339</v>
      </c>
      <c r="L420" s="725">
        <f>SUM(L379:L419)</f>
        <v>1040682.392537266</v>
      </c>
      <c r="M420" s="725">
        <f t="shared" ref="M420" si="195">SUM(M379:M419)</f>
        <v>1632836.8416600002</v>
      </c>
      <c r="O420" s="725">
        <f>SUM(O379:O419)</f>
        <v>1446845.3048192</v>
      </c>
      <c r="P420" s="725">
        <f t="shared" ref="P420:R420" si="196">SUM(P379:P419)</f>
        <v>719218.90456530172</v>
      </c>
      <c r="Q420" s="725">
        <f t="shared" si="196"/>
        <v>283232.66704189836</v>
      </c>
      <c r="R420" s="725">
        <f t="shared" si="196"/>
        <v>444393.73321200011</v>
      </c>
    </row>
    <row r="421" spans="1:19" ht="15">
      <c r="A421" s="726"/>
      <c r="B421" s="726"/>
      <c r="C421" s="726"/>
      <c r="D421" s="726"/>
      <c r="E421" s="726"/>
      <c r="F421" s="727"/>
      <c r="G421" s="727"/>
      <c r="H421" s="727"/>
      <c r="I421" s="727"/>
      <c r="J421" s="727"/>
      <c r="K421" s="728"/>
      <c r="L421" s="727"/>
      <c r="M421" s="727"/>
      <c r="N421" s="739"/>
      <c r="O421" s="727"/>
      <c r="P421" s="727"/>
      <c r="Q421" s="727"/>
    </row>
    <row r="422" spans="1:19" ht="15">
      <c r="A422"/>
      <c r="B422"/>
      <c r="C422"/>
      <c r="D422"/>
      <c r="E422"/>
      <c r="F422" s="727"/>
      <c r="J422"/>
      <c r="K422"/>
      <c r="L422"/>
      <c r="M422"/>
      <c r="N422" s="740"/>
      <c r="O422"/>
      <c r="P422"/>
      <c r="Q422"/>
    </row>
    <row r="423" spans="1:19" ht="15">
      <c r="A423"/>
      <c r="B423"/>
      <c r="C423"/>
      <c r="D423"/>
      <c r="E423"/>
      <c r="F423" s="727"/>
      <c r="H423" s="731" t="s">
        <v>1511</v>
      </c>
      <c r="J423" s="732"/>
      <c r="K423" s="732">
        <f>K420+K375+K361+K356+K348+K273+K43</f>
        <v>51030187.50783819</v>
      </c>
      <c r="L423"/>
      <c r="M423"/>
      <c r="N423" s="740"/>
      <c r="O423"/>
      <c r="P423" s="732">
        <f>P420+P375+P361+P356+P348+P273+P43</f>
        <v>28695083.779741008</v>
      </c>
      <c r="Q423"/>
    </row>
    <row r="424" spans="1:19" ht="15">
      <c r="A424"/>
      <c r="B424"/>
      <c r="C424"/>
      <c r="D424"/>
      <c r="E424"/>
      <c r="H424" s="731" t="s">
        <v>1907</v>
      </c>
      <c r="J424" s="744"/>
      <c r="K424" s="792">
        <v>50485190</v>
      </c>
      <c r="L424"/>
      <c r="M424"/>
      <c r="N424" s="740"/>
      <c r="O424"/>
      <c r="P424" s="793">
        <f>27426478+1131668</f>
        <v>28558146</v>
      </c>
      <c r="Q424"/>
    </row>
    <row r="425" spans="1:19" ht="15">
      <c r="A425"/>
      <c r="B425"/>
      <c r="C425"/>
      <c r="D425"/>
      <c r="E425"/>
      <c r="H425" s="731" t="s">
        <v>1512</v>
      </c>
      <c r="J425" s="732"/>
      <c r="K425" s="732">
        <f>K423-K424</f>
        <v>544997.5078381896</v>
      </c>
      <c r="L425"/>
      <c r="M425"/>
      <c r="N425" s="740"/>
      <c r="O425"/>
      <c r="P425" s="732">
        <f>P423-P424</f>
        <v>136937.77974100783</v>
      </c>
      <c r="Q425"/>
    </row>
    <row r="426" spans="1:19" ht="15">
      <c r="E426"/>
      <c r="H426" s="731" t="s">
        <v>1513</v>
      </c>
      <c r="J426" s="733"/>
      <c r="K426" s="733">
        <f>K425/K424</f>
        <v>1.0795195736377135E-2</v>
      </c>
      <c r="P426" s="733">
        <f>P425/P424</f>
        <v>4.7950514624096338E-3</v>
      </c>
    </row>
    <row r="427" spans="1:19">
      <c r="E427"/>
      <c r="J427" s="733"/>
      <c r="K427" s="733"/>
    </row>
    <row r="428" spans="1:19">
      <c r="E428"/>
      <c r="H428" s="734"/>
      <c r="J428" s="734"/>
      <c r="K428" s="734"/>
    </row>
    <row r="429" spans="1:19">
      <c r="E429"/>
      <c r="J429" s="733"/>
      <c r="K429" s="733"/>
    </row>
    <row r="430" spans="1:19">
      <c r="E430"/>
      <c r="J430" s="733"/>
      <c r="K430" s="733"/>
    </row>
    <row r="431" spans="1:19">
      <c r="E431"/>
      <c r="J431" s="733"/>
      <c r="K431" s="733"/>
    </row>
    <row r="432" spans="1:19">
      <c r="E432"/>
      <c r="J432" s="733"/>
      <c r="K432" s="733"/>
    </row>
    <row r="433" spans="5:11">
      <c r="E433"/>
      <c r="J433" s="733"/>
      <c r="K433" s="733"/>
    </row>
    <row r="434" spans="5:11">
      <c r="E434"/>
      <c r="J434" s="733"/>
      <c r="K434" s="733"/>
    </row>
    <row r="435" spans="5:11">
      <c r="E435"/>
      <c r="J435" s="733"/>
      <c r="K435" s="733"/>
    </row>
    <row r="436" spans="5:11">
      <c r="E436"/>
      <c r="J436" s="733"/>
      <c r="K436" s="733"/>
    </row>
    <row r="437" spans="5:11">
      <c r="E437"/>
      <c r="J437" s="733"/>
      <c r="K437" s="733"/>
    </row>
    <row r="438" spans="5:11">
      <c r="E438"/>
    </row>
    <row r="439" spans="5:11">
      <c r="E439"/>
    </row>
    <row r="440" spans="5:11">
      <c r="E440"/>
    </row>
    <row r="441" spans="5:11">
      <c r="E441"/>
    </row>
    <row r="442" spans="5:11">
      <c r="E442"/>
    </row>
    <row r="443" spans="5:11">
      <c r="E443"/>
    </row>
    <row r="444" spans="5:11">
      <c r="E444"/>
    </row>
    <row r="445" spans="5:11">
      <c r="E445"/>
      <c r="G445" s="708"/>
      <c r="H445" s="708"/>
      <c r="I445" s="708"/>
    </row>
    <row r="446" spans="5:11">
      <c r="E446"/>
      <c r="G446" s="708"/>
      <c r="H446" s="708"/>
      <c r="I446" s="708"/>
    </row>
    <row r="447" spans="5:11">
      <c r="E447"/>
      <c r="G447" s="708"/>
      <c r="H447" s="708"/>
      <c r="I447" s="708"/>
    </row>
    <row r="448" spans="5:11">
      <c r="E448"/>
      <c r="G448" s="708"/>
      <c r="H448" s="708"/>
      <c r="I448" s="708"/>
    </row>
    <row r="449" spans="5:9">
      <c r="E449"/>
      <c r="G449" s="708"/>
      <c r="H449" s="708"/>
      <c r="I449" s="708"/>
    </row>
    <row r="450" spans="5:9">
      <c r="F450" s="708"/>
      <c r="G450" s="708"/>
      <c r="H450" s="708"/>
      <c r="I450" s="708"/>
    </row>
    <row r="451" spans="5:9">
      <c r="F451" s="708"/>
      <c r="G451" s="708"/>
      <c r="H451" s="708"/>
      <c r="I451" s="708"/>
    </row>
    <row r="452" spans="5:9">
      <c r="F452" s="708"/>
      <c r="G452" s="708"/>
      <c r="H452" s="708"/>
      <c r="I452" s="708"/>
    </row>
    <row r="453" spans="5:9">
      <c r="F453" s="708"/>
      <c r="G453" s="708"/>
      <c r="H453" s="708"/>
      <c r="I453" s="708"/>
    </row>
    <row r="454" spans="5:9">
      <c r="F454" s="708"/>
      <c r="G454" s="708"/>
      <c r="H454" s="708"/>
      <c r="I454" s="708"/>
    </row>
    <row r="455" spans="5:9">
      <c r="F455" s="708"/>
      <c r="G455" s="708"/>
      <c r="H455" s="708"/>
      <c r="I455" s="708"/>
    </row>
    <row r="456" spans="5:9">
      <c r="F456" s="708"/>
      <c r="G456" s="708"/>
      <c r="H456" s="708"/>
      <c r="I456" s="708"/>
    </row>
    <row r="457" spans="5:9">
      <c r="F457" s="708"/>
      <c r="G457" s="708"/>
      <c r="H457" s="708"/>
      <c r="I457" s="708"/>
    </row>
    <row r="458" spans="5:9">
      <c r="F458" s="708"/>
      <c r="G458" s="708"/>
      <c r="H458" s="708"/>
      <c r="I458" s="708"/>
    </row>
    <row r="459" spans="5:9">
      <c r="F459" s="708"/>
      <c r="G459" s="708"/>
      <c r="H459" s="708"/>
      <c r="I459" s="708"/>
    </row>
    <row r="460" spans="5:9">
      <c r="F460" s="708"/>
      <c r="G460" s="708"/>
      <c r="H460" s="708"/>
      <c r="I460" s="708"/>
    </row>
    <row r="461" spans="5:9">
      <c r="F461" s="708"/>
      <c r="G461" s="708"/>
      <c r="H461" s="708"/>
      <c r="I461" s="708"/>
    </row>
    <row r="462" spans="5:9">
      <c r="F462" s="708"/>
      <c r="G462" s="708"/>
      <c r="H462" s="708"/>
      <c r="I462" s="708"/>
    </row>
    <row r="463" spans="5:9">
      <c r="F463" s="708"/>
      <c r="G463" s="708"/>
      <c r="H463" s="708"/>
      <c r="I463" s="708"/>
    </row>
    <row r="464" spans="5:9">
      <c r="F464" s="708"/>
      <c r="G464" s="708"/>
      <c r="H464" s="708"/>
      <c r="I464" s="708"/>
    </row>
    <row r="465" spans="6:9">
      <c r="F465" s="708"/>
      <c r="G465" s="708"/>
      <c r="H465" s="708"/>
      <c r="I465" s="708"/>
    </row>
    <row r="466" spans="6:9">
      <c r="F466" s="708"/>
      <c r="G466" s="708"/>
      <c r="H466" s="708"/>
      <c r="I466" s="708"/>
    </row>
    <row r="467" spans="6:9">
      <c r="F467" s="708"/>
      <c r="G467" s="708"/>
      <c r="H467" s="708"/>
      <c r="I467" s="708"/>
    </row>
    <row r="468" spans="6:9">
      <c r="F468" s="708"/>
      <c r="G468" s="708"/>
      <c r="H468" s="708"/>
      <c r="I468" s="708"/>
    </row>
    <row r="469" spans="6:9">
      <c r="F469" s="708"/>
      <c r="G469" s="708"/>
      <c r="H469" s="708"/>
      <c r="I469" s="708"/>
    </row>
    <row r="470" spans="6:9">
      <c r="F470" s="708"/>
      <c r="G470" s="708"/>
      <c r="H470" s="708"/>
      <c r="I470" s="708"/>
    </row>
    <row r="471" spans="6:9">
      <c r="F471" s="708"/>
      <c r="G471" s="708"/>
      <c r="H471" s="708"/>
      <c r="I471" s="708"/>
    </row>
    <row r="472" spans="6:9">
      <c r="F472" s="708"/>
      <c r="G472" s="708"/>
      <c r="H472" s="708"/>
      <c r="I472" s="708"/>
    </row>
    <row r="473" spans="6:9">
      <c r="F473" s="708"/>
      <c r="G473" s="708"/>
      <c r="H473" s="708"/>
      <c r="I473" s="708"/>
    </row>
    <row r="474" spans="6:9">
      <c r="F474" s="708"/>
      <c r="G474" s="708"/>
      <c r="H474" s="708"/>
      <c r="I474" s="708"/>
    </row>
    <row r="475" spans="6:9">
      <c r="F475" s="708"/>
      <c r="G475" s="708"/>
      <c r="H475" s="708"/>
      <c r="I475" s="708"/>
    </row>
    <row r="476" spans="6:9">
      <c r="F476" s="708"/>
      <c r="G476" s="708"/>
      <c r="H476" s="708"/>
      <c r="I476" s="708"/>
    </row>
    <row r="477" spans="6:9">
      <c r="F477" s="708"/>
      <c r="G477" s="708"/>
      <c r="H477" s="708"/>
      <c r="I477" s="708"/>
    </row>
    <row r="478" spans="6:9">
      <c r="F478" s="708"/>
      <c r="G478" s="708"/>
      <c r="H478" s="708"/>
      <c r="I478" s="708"/>
    </row>
    <row r="479" spans="6:9">
      <c r="F479" s="708"/>
      <c r="G479" s="708"/>
      <c r="H479" s="708"/>
      <c r="I479" s="708"/>
    </row>
    <row r="480" spans="6:9">
      <c r="F480" s="708"/>
      <c r="G480" s="708"/>
      <c r="H480" s="708"/>
      <c r="I480" s="708"/>
    </row>
    <row r="481" spans="6:9">
      <c r="F481" s="708"/>
      <c r="G481" s="708"/>
      <c r="H481" s="708"/>
      <c r="I481" s="708"/>
    </row>
    <row r="482" spans="6:9">
      <c r="F482" s="708"/>
      <c r="G482" s="708"/>
      <c r="H482" s="708"/>
      <c r="I482" s="708"/>
    </row>
    <row r="483" spans="6:9">
      <c r="F483" s="708"/>
      <c r="G483" s="708"/>
      <c r="H483" s="708"/>
      <c r="I483" s="708"/>
    </row>
  </sheetData>
  <mergeCells count="2">
    <mergeCell ref="J8:M8"/>
    <mergeCell ref="O8:R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69A4F-1B4B-4A9A-A97D-8BAEBB8B9173}">
  <sheetPr codeName="Sheet9">
    <pageSetUpPr fitToPage="1"/>
  </sheetPr>
  <dimension ref="B1:J18"/>
  <sheetViews>
    <sheetView zoomScaleNormal="100" workbookViewId="0">
      <selection activeCell="E27" sqref="E27"/>
    </sheetView>
  </sheetViews>
  <sheetFormatPr defaultRowHeight="12.75"/>
  <cols>
    <col min="2" max="2" width="24" customWidth="1"/>
    <col min="3" max="3" width="27.85546875" bestFit="1" customWidth="1"/>
    <col min="4" max="4" width="11" customWidth="1"/>
    <col min="5" max="5" width="13.5703125" customWidth="1"/>
    <col min="6" max="6" width="17.140625" customWidth="1"/>
    <col min="7" max="7" width="13.5703125" hidden="1" customWidth="1"/>
    <col min="8" max="9" width="15.140625" customWidth="1"/>
    <col min="10" max="10" width="13.85546875" customWidth="1"/>
  </cols>
  <sheetData>
    <row r="1" spans="2:10" ht="39" customHeight="1" thickBot="1">
      <c r="B1" t="s">
        <v>962</v>
      </c>
      <c r="C1" s="24" t="s">
        <v>4</v>
      </c>
      <c r="D1" t="s">
        <v>1115</v>
      </c>
      <c r="E1" s="497" t="s">
        <v>802</v>
      </c>
      <c r="F1" s="497" t="s">
        <v>801</v>
      </c>
      <c r="G1" s="497" t="s">
        <v>800</v>
      </c>
      <c r="H1" s="497" t="s">
        <v>1167</v>
      </c>
      <c r="I1" s="592" t="s">
        <v>778</v>
      </c>
      <c r="J1" s="593" t="s">
        <v>1116</v>
      </c>
    </row>
    <row r="2" spans="2:10">
      <c r="B2" s="24" t="s">
        <v>282</v>
      </c>
      <c r="C2" t="str">
        <f>Factors!B22</f>
        <v>Throughput</v>
      </c>
      <c r="D2" t="str">
        <f>Factors!C22</f>
        <v>E01</v>
      </c>
      <c r="E2" s="27">
        <f>Factors!E22</f>
        <v>0.57443853389280997</v>
      </c>
      <c r="F2" s="27">
        <f>Factors!F22</f>
        <v>0.27832416360857481</v>
      </c>
      <c r="G2" s="27">
        <f>Factors!G22</f>
        <v>0</v>
      </c>
      <c r="H2" s="27">
        <f>Factors!H22</f>
        <v>1.1365244330027334E-2</v>
      </c>
      <c r="I2" s="27">
        <f>Factors!I22</f>
        <v>0.13587205816858797</v>
      </c>
      <c r="J2" s="594">
        <f>SUM(Table1[[#This Row],[Schedule 101]:[Schedule 146]])</f>
        <v>1</v>
      </c>
    </row>
    <row r="3" spans="2:10">
      <c r="B3" s="24" t="s">
        <v>282</v>
      </c>
      <c r="C3" t="str">
        <f>Factors!B23</f>
        <v>Sales</v>
      </c>
      <c r="D3" t="str">
        <f>Factors!C23</f>
        <v>E04</v>
      </c>
      <c r="E3" s="27">
        <f>Factors!E23</f>
        <v>0.66476097587512184</v>
      </c>
      <c r="F3" s="27">
        <f>Factors!F23</f>
        <v>0.32208675374933626</v>
      </c>
      <c r="G3" s="27">
        <f>Factors!G23</f>
        <v>0</v>
      </c>
      <c r="H3" s="27">
        <f>Factors!H23</f>
        <v>1.315227037554197E-2</v>
      </c>
      <c r="I3" s="27">
        <f>Factors!I23</f>
        <v>0</v>
      </c>
      <c r="J3" s="440">
        <f>SUM(Table1[[#This Row],[Schedule 101]:[Schedule 146]])</f>
        <v>1</v>
      </c>
    </row>
    <row r="4" spans="2:10">
      <c r="B4" s="24" t="s">
        <v>282</v>
      </c>
      <c r="C4" t="str">
        <f>Factors!B24</f>
        <v>Winter Therms</v>
      </c>
      <c r="D4" t="str">
        <f>Factors!C24</f>
        <v>E06</v>
      </c>
      <c r="E4" s="27">
        <f>Factors!E24</f>
        <v>0.62570318857361751</v>
      </c>
      <c r="F4" s="27">
        <f>Factors!F24</f>
        <v>0.2684140496373445</v>
      </c>
      <c r="G4" s="27">
        <f>Factors!G24</f>
        <v>0</v>
      </c>
      <c r="H4" s="27">
        <f>Factors!H24</f>
        <v>9.2882368986802969E-3</v>
      </c>
      <c r="I4" s="27">
        <f>Factors!I24</f>
        <v>9.6594524890357733E-2</v>
      </c>
      <c r="J4" s="440">
        <f>SUM(Table1[[#This Row],[Schedule 101]:[Schedule 146]])</f>
        <v>1</v>
      </c>
    </row>
    <row r="5" spans="2:10">
      <c r="B5" s="24" t="s">
        <v>282</v>
      </c>
      <c r="C5" t="str">
        <f>Factors!B25</f>
        <v>Excess Winter over Summer Therms</v>
      </c>
      <c r="D5" t="str">
        <f>Factors!C25</f>
        <v>E07</v>
      </c>
      <c r="E5" s="27">
        <f>Factors!E25</f>
        <v>0.72712716052185844</v>
      </c>
      <c r="F5" s="27">
        <f>Factors!F25</f>
        <v>0.26592740374175072</v>
      </c>
      <c r="G5" s="27">
        <f>Factors!G25</f>
        <v>0</v>
      </c>
      <c r="H5" s="27">
        <f>Factors!H25</f>
        <v>6.9454357363909558E-3</v>
      </c>
      <c r="I5" s="27">
        <f>Factors!I25</f>
        <v>0</v>
      </c>
      <c r="J5" s="440">
        <f>SUM(Table1[[#This Row],[Schedule 101]:[Schedule 146]])</f>
        <v>1.0000000000000002</v>
      </c>
    </row>
    <row r="6" spans="2:10">
      <c r="B6" s="24" t="s">
        <v>282</v>
      </c>
      <c r="C6" t="str">
        <f>Factors!B26</f>
        <v>GTI Expense</v>
      </c>
      <c r="D6" t="str">
        <f>Factors!C26</f>
        <v>E08</v>
      </c>
      <c r="E6" s="27">
        <f>Factors!E26</f>
        <v>0.71249306827706393</v>
      </c>
      <c r="F6" s="27">
        <f>Factors!F26</f>
        <v>0.27910892866481374</v>
      </c>
      <c r="G6" s="27">
        <f>Factors!G26</f>
        <v>0</v>
      </c>
      <c r="H6" s="27">
        <f>Factors!H26</f>
        <v>8.3980030581223344E-3</v>
      </c>
      <c r="I6" s="27">
        <f>Factors!I26</f>
        <v>0</v>
      </c>
      <c r="J6" s="440">
        <f>SUM(Table1[[#This Row],[Schedule 101]:[Schedule 146]])</f>
        <v>1</v>
      </c>
    </row>
    <row r="7" spans="2:10">
      <c r="B7" s="24" t="s">
        <v>1173</v>
      </c>
      <c r="C7" t="str">
        <f>Factors!B27</f>
        <v>Coincident Peak - All</v>
      </c>
      <c r="D7" t="str">
        <f>Factors!C27</f>
        <v>D01</v>
      </c>
      <c r="E7" s="27">
        <f>Factors!E27</f>
        <v>0.56535147112062811</v>
      </c>
      <c r="F7" s="27">
        <f>Factors!F27</f>
        <v>0.34890766382404226</v>
      </c>
      <c r="G7" s="27">
        <f>Factors!G27</f>
        <v>0</v>
      </c>
      <c r="H7" s="27">
        <f>Factors!H27</f>
        <v>7.5177999737315497E-3</v>
      </c>
      <c r="I7" s="27">
        <f>Factors!I27</f>
        <v>7.8223065081597987E-2</v>
      </c>
      <c r="J7" s="440">
        <f>SUM(Table1[[#This Row],[Schedule 101]:[Schedule 146]])</f>
        <v>1</v>
      </c>
    </row>
    <row r="8" spans="2:10">
      <c r="B8" s="24" t="s">
        <v>1173</v>
      </c>
      <c r="C8" t="str">
        <f>Factors!B28</f>
        <v>Coincident Peak - Small Mains</v>
      </c>
      <c r="D8" t="str">
        <f>Factors!C28</f>
        <v>D02</v>
      </c>
      <c r="E8" s="27">
        <f>Factors!E28</f>
        <v>0.61837114830123341</v>
      </c>
      <c r="F8" s="27">
        <f>Factors!F28</f>
        <v>0.38162885169876654</v>
      </c>
      <c r="G8" s="27">
        <f>Factors!G28</f>
        <v>0</v>
      </c>
      <c r="H8" s="27">
        <f>Factors!H28</f>
        <v>0</v>
      </c>
      <c r="I8" s="27">
        <f>Factors!I28</f>
        <v>0</v>
      </c>
      <c r="J8" s="440">
        <f>SUM(Table1[[#This Row],[Schedule 101]:[Schedule 146]])</f>
        <v>1</v>
      </c>
    </row>
    <row r="9" spans="2:10">
      <c r="B9" s="24" t="s">
        <v>1173</v>
      </c>
      <c r="C9" t="str">
        <f>Factors!B29</f>
        <v>Purchased Gas - Demand</v>
      </c>
      <c r="D9" t="str">
        <f>Factors!C29</f>
        <v>D05</v>
      </c>
      <c r="E9" s="27">
        <f>Factors!E29</f>
        <v>1</v>
      </c>
      <c r="F9" s="27">
        <f>Factors!F29</f>
        <v>0</v>
      </c>
      <c r="G9" s="27">
        <f>Factors!G29</f>
        <v>0</v>
      </c>
      <c r="H9" s="27">
        <f>Factors!H29</f>
        <v>0</v>
      </c>
      <c r="I9" s="27">
        <f>Factors!I29</f>
        <v>0</v>
      </c>
      <c r="J9" s="440">
        <f>SUM(Table1[[#This Row],[Schedule 101]:[Schedule 146]])</f>
        <v>1</v>
      </c>
    </row>
    <row r="10" spans="2:10">
      <c r="B10" s="24" t="s">
        <v>1173</v>
      </c>
      <c r="C10" t="str">
        <f>Factors!B30</f>
        <v>DA 131/132</v>
      </c>
      <c r="D10" t="str">
        <f>Factors!C30</f>
        <v>D06</v>
      </c>
      <c r="E10" s="27">
        <f>Factors!E30</f>
        <v>0</v>
      </c>
      <c r="F10" s="27">
        <f>Factors!F30</f>
        <v>0</v>
      </c>
      <c r="G10" s="27">
        <f>Factors!G30</f>
        <v>0</v>
      </c>
      <c r="H10" s="27">
        <f>Factors!H30</f>
        <v>1</v>
      </c>
      <c r="I10" s="27">
        <f>Factors!I30</f>
        <v>0</v>
      </c>
      <c r="J10" s="440">
        <f>SUM(Table1[[#This Row],[Schedule 101]:[Schedule 146]])</f>
        <v>1</v>
      </c>
    </row>
    <row r="11" spans="2:10">
      <c r="B11" s="24" t="s">
        <v>1173</v>
      </c>
      <c r="C11" t="str">
        <f>Factors!B31</f>
        <v>DA 146</v>
      </c>
      <c r="D11" t="str">
        <f>Factors!C31</f>
        <v>D07</v>
      </c>
      <c r="E11" s="27">
        <f>Factors!E31</f>
        <v>0</v>
      </c>
      <c r="F11" s="27">
        <f>Factors!F31</f>
        <v>0</v>
      </c>
      <c r="G11" s="27">
        <f>Factors!G31</f>
        <v>0</v>
      </c>
      <c r="H11" s="27">
        <f>Factors!H31</f>
        <v>0</v>
      </c>
      <c r="I11" s="27">
        <f>Factors!I31</f>
        <v>1</v>
      </c>
      <c r="J11" s="440">
        <f>SUM(Table1[[#This Row],[Schedule 101]:[Schedule 146]])</f>
        <v>1</v>
      </c>
    </row>
    <row r="12" spans="2:10">
      <c r="B12" s="24" t="s">
        <v>1171</v>
      </c>
      <c r="C12" t="str">
        <f>Factors!B32</f>
        <v>All Customers</v>
      </c>
      <c r="D12" t="str">
        <f>Factors!C32</f>
        <v>C01</v>
      </c>
      <c r="E12" s="27">
        <f>Factors!E32</f>
        <v>0.98014334313175022</v>
      </c>
      <c r="F12" s="27">
        <f>Factors!F32</f>
        <v>1.9618380760501843E-2</v>
      </c>
      <c r="G12" s="27">
        <f>Factors!G32</f>
        <v>0</v>
      </c>
      <c r="H12" s="27">
        <f>Factors!H32</f>
        <v>1.8401521192418575E-5</v>
      </c>
      <c r="I12" s="27">
        <f>Factors!I32</f>
        <v>2.1987458655556551E-4</v>
      </c>
      <c r="J12" s="440">
        <f>SUM(Table1[[#This Row],[Schedule 101]:[Schedule 146]])</f>
        <v>1</v>
      </c>
    </row>
    <row r="13" spans="2:10">
      <c r="B13" t="s">
        <v>1171</v>
      </c>
      <c r="C13" t="str">
        <f>Factors!B33</f>
        <v>Service Cost</v>
      </c>
      <c r="D13" t="str">
        <f>Factors!C33</f>
        <v>C02</v>
      </c>
      <c r="E13" s="27">
        <f>Factors!E33</f>
        <v>0.9775215136709533</v>
      </c>
      <c r="F13" s="27">
        <f>Factors!F33</f>
        <v>1.956590267246355E-2</v>
      </c>
      <c r="G13" s="27">
        <f>Factors!G33</f>
        <v>0</v>
      </c>
      <c r="H13" s="27">
        <f>Factors!H33</f>
        <v>7.5194360150243774E-5</v>
      </c>
      <c r="I13" s="27">
        <f>Factors!I33</f>
        <v>2.8373892964329655E-3</v>
      </c>
      <c r="J13" s="440">
        <f>SUM(Table1[[#This Row],[Schedule 101]:[Schedule 146]])</f>
        <v>1</v>
      </c>
    </row>
    <row r="14" spans="2:10">
      <c r="B14" t="s">
        <v>1171</v>
      </c>
      <c r="C14" t="str">
        <f>Factors!B34</f>
        <v>Meter Cost</v>
      </c>
      <c r="D14" t="str">
        <f>Factors!C34</f>
        <v>C03</v>
      </c>
      <c r="E14" s="27">
        <f>Factors!E34</f>
        <v>0.85458880139099769</v>
      </c>
      <c r="F14" s="27">
        <f>Factors!F34</f>
        <v>0.13841579362681092</v>
      </c>
      <c r="G14" s="27">
        <f>Factors!G34</f>
        <v>0</v>
      </c>
      <c r="H14" s="27">
        <f>Factors!H34</f>
        <v>1.0255085111522436E-3</v>
      </c>
      <c r="I14" s="27">
        <f>Factors!I34</f>
        <v>5.9698964710391432E-3</v>
      </c>
      <c r="J14" s="440">
        <f>SUM(Table1[[#This Row],[Schedule 101]:[Schedule 146]])</f>
        <v>1</v>
      </c>
    </row>
    <row r="15" spans="2:10">
      <c r="B15" t="s">
        <v>1171</v>
      </c>
      <c r="C15" t="str">
        <f>Factors!B35</f>
        <v>Regulator Cost</v>
      </c>
      <c r="D15" t="str">
        <f>Factors!C35</f>
        <v>C04</v>
      </c>
      <c r="E15" s="27">
        <f>Factors!E35</f>
        <v>0.98014334313175022</v>
      </c>
      <c r="F15" s="27">
        <f>Factors!F35</f>
        <v>1.9618380760501843E-2</v>
      </c>
      <c r="G15" s="27">
        <f>Factors!G35</f>
        <v>0</v>
      </c>
      <c r="H15" s="27">
        <f>Factors!H35</f>
        <v>1.8401521192418575E-5</v>
      </c>
      <c r="I15" s="27">
        <f>Factors!I35</f>
        <v>2.1987458655556551E-4</v>
      </c>
      <c r="J15" s="440">
        <f>SUM(Table1[[#This Row],[Schedule 101]:[Schedule 146]])</f>
        <v>1</v>
      </c>
    </row>
    <row r="16" spans="2:10">
      <c r="B16" t="s">
        <v>1171</v>
      </c>
      <c r="C16" t="str">
        <f>Factors!B36</f>
        <v>Ind Meas &amp; Reg Cost</v>
      </c>
      <c r="D16" t="str">
        <f>Factors!C36</f>
        <v>C06</v>
      </c>
      <c r="E16" s="27">
        <f>Factors!E36</f>
        <v>0</v>
      </c>
      <c r="F16" s="27">
        <f>Factors!F36</f>
        <v>0.93937491969073084</v>
      </c>
      <c r="G16" s="27">
        <f>Factors!G36</f>
        <v>0</v>
      </c>
      <c r="H16" s="27">
        <f>Factors!H36</f>
        <v>8.9349184438638676E-3</v>
      </c>
      <c r="I16" s="27">
        <f>Factors!I36</f>
        <v>5.1690161865405301E-2</v>
      </c>
      <c r="J16" s="440">
        <f>SUM(Table1[[#This Row],[Schedule 101]:[Schedule 146]])</f>
        <v>1</v>
      </c>
    </row>
    <row r="17" spans="2:10">
      <c r="B17" t="s">
        <v>1171</v>
      </c>
      <c r="C17" t="str">
        <f>Factors!B37</f>
        <v>DA 101</v>
      </c>
      <c r="D17" t="str">
        <f>Factors!C37</f>
        <v>C10</v>
      </c>
      <c r="E17" s="27">
        <f>Factors!E37</f>
        <v>1</v>
      </c>
      <c r="F17" s="27">
        <f>Factors!F37</f>
        <v>0</v>
      </c>
      <c r="G17" s="27">
        <f>Factors!G37</f>
        <v>0</v>
      </c>
      <c r="H17" s="27">
        <f>Factors!H37</f>
        <v>0</v>
      </c>
      <c r="I17" s="27">
        <f>Factors!I37</f>
        <v>0</v>
      </c>
      <c r="J17" s="440">
        <f>SUM(Table1[[#This Row],[Schedule 101]:[Schedule 146]])</f>
        <v>1</v>
      </c>
    </row>
    <row r="18" spans="2:10">
      <c r="B18" s="24" t="s">
        <v>1172</v>
      </c>
      <c r="C18" t="str">
        <f>Factors!B38</f>
        <v>Revenues From Retail Rates</v>
      </c>
      <c r="D18" t="str">
        <f>Factors!C38</f>
        <v>R01</v>
      </c>
      <c r="E18" s="27">
        <f>Factors!E38</f>
        <v>0.77491433309803037</v>
      </c>
      <c r="F18" s="27">
        <f>Factors!F38</f>
        <v>0.19018862293141778</v>
      </c>
      <c r="G18" s="27">
        <f>Factors!G38</f>
        <v>0</v>
      </c>
      <c r="H18" s="27">
        <f>Factors!H38</f>
        <v>5.1020724958280132E-3</v>
      </c>
      <c r="I18" s="27">
        <f>Factors!I38</f>
        <v>2.979497147472384E-2</v>
      </c>
      <c r="J18" s="440">
        <f>SUM(Table1[[#This Row],[Schedule 101]:[Schedule 146]])</f>
        <v>1</v>
      </c>
    </row>
  </sheetData>
  <phoneticPr fontId="8" type="noConversion"/>
  <pageMargins left="0.7" right="0.7" top="0.75" bottom="0.75" header="0.3" footer="0.3"/>
  <pageSetup scale="85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0475B-DE6A-444A-B898-A6E55B504D51}">
  <sheetPr codeName="Sheet10">
    <pageSetUpPr fitToPage="1"/>
  </sheetPr>
  <dimension ref="A1:I63"/>
  <sheetViews>
    <sheetView zoomScaleNormal="100" workbookViewId="0">
      <selection activeCell="E18" sqref="E18"/>
    </sheetView>
  </sheetViews>
  <sheetFormatPr defaultColWidth="8.7109375" defaultRowHeight="15.75"/>
  <cols>
    <col min="1" max="1" width="8.5703125" style="603" bestFit="1" customWidth="1"/>
    <col min="2" max="2" width="21.42578125" style="603" customWidth="1"/>
    <col min="3" max="3" width="36" style="603" bestFit="1" customWidth="1"/>
    <col min="4" max="4" width="15.140625" style="603" customWidth="1"/>
    <col min="5" max="5" width="16.85546875" style="603" customWidth="1"/>
    <col min="6" max="6" width="22.42578125" style="603" bestFit="1" customWidth="1"/>
    <col min="7" max="7" width="10.42578125" style="603" customWidth="1"/>
    <col min="8" max="41" width="8.7109375" style="603"/>
    <col min="42" max="42" width="15.140625" style="603" customWidth="1"/>
    <col min="43" max="43" width="14.85546875" style="603" customWidth="1"/>
    <col min="44" max="44" width="11" style="603" customWidth="1"/>
    <col min="45" max="47" width="8.7109375" style="603"/>
    <col min="48" max="48" width="20.85546875" style="603" bestFit="1" customWidth="1"/>
    <col min="49" max="49" width="25.42578125" style="603" bestFit="1" customWidth="1"/>
    <col min="50" max="50" width="16.42578125" style="603" bestFit="1" customWidth="1"/>
    <col min="51" max="16384" width="8.7109375" style="603"/>
  </cols>
  <sheetData>
    <row r="1" spans="1:9">
      <c r="A1" s="595"/>
      <c r="B1" s="797" t="s">
        <v>1174</v>
      </c>
      <c r="C1" s="797"/>
      <c r="D1" s="797"/>
      <c r="E1" s="797"/>
      <c r="F1" s="797"/>
      <c r="G1" s="556"/>
      <c r="H1" s="556"/>
    </row>
    <row r="2" spans="1:9">
      <c r="A2" s="596"/>
      <c r="B2" s="800" t="s">
        <v>1175</v>
      </c>
      <c r="C2" s="800"/>
      <c r="D2" s="800"/>
      <c r="E2" s="800"/>
      <c r="F2" s="800"/>
      <c r="G2" s="556"/>
      <c r="H2" s="556"/>
    </row>
    <row r="3" spans="1:9">
      <c r="A3" s="596"/>
      <c r="B3" s="800" t="s">
        <v>1176</v>
      </c>
      <c r="C3" s="800"/>
      <c r="D3" s="800"/>
      <c r="E3" s="800"/>
      <c r="F3" s="800"/>
      <c r="G3" s="556"/>
      <c r="H3" s="556"/>
    </row>
    <row r="4" spans="1:9">
      <c r="A4" s="596"/>
      <c r="B4" s="800" t="s">
        <v>1182</v>
      </c>
      <c r="C4" s="800"/>
      <c r="D4" s="800"/>
      <c r="E4" s="800"/>
      <c r="F4" s="800"/>
      <c r="G4" s="556"/>
      <c r="H4" s="556"/>
    </row>
    <row r="5" spans="1:9">
      <c r="A5" s="597"/>
      <c r="B5" s="801" t="s">
        <v>1695</v>
      </c>
      <c r="C5" s="801"/>
      <c r="D5" s="801"/>
      <c r="E5" s="801"/>
      <c r="F5" s="801"/>
      <c r="G5" s="556"/>
      <c r="H5" s="556"/>
    </row>
    <row r="7" spans="1:9">
      <c r="A7" s="595"/>
      <c r="B7" s="797" t="s">
        <v>1177</v>
      </c>
      <c r="C7" s="797"/>
      <c r="D7" s="797"/>
      <c r="E7" s="797"/>
      <c r="F7" s="797"/>
      <c r="G7" s="556"/>
      <c r="H7" s="556"/>
    </row>
    <row r="8" spans="1:9">
      <c r="F8" s="556"/>
      <c r="G8" s="556"/>
      <c r="H8" s="556"/>
      <c r="I8" s="556"/>
    </row>
    <row r="9" spans="1:9">
      <c r="D9" s="799" t="s">
        <v>1183</v>
      </c>
      <c r="E9" s="799"/>
      <c r="F9" s="799"/>
      <c r="G9" s="799"/>
    </row>
    <row r="10" spans="1:9">
      <c r="A10" s="598"/>
      <c r="B10" s="599" t="s">
        <v>1178</v>
      </c>
      <c r="C10" s="600" t="s">
        <v>1179</v>
      </c>
      <c r="D10" s="601" t="s">
        <v>1180</v>
      </c>
      <c r="E10" s="601" t="s">
        <v>83</v>
      </c>
      <c r="F10" s="601" t="s">
        <v>1077</v>
      </c>
      <c r="G10" s="601" t="s">
        <v>1170</v>
      </c>
    </row>
    <row r="11" spans="1:9">
      <c r="A11" s="602"/>
      <c r="B11" s="694" t="str">
        <f>'A-RR Cross Reference'!E3</f>
        <v>1Adj G-ROO</v>
      </c>
      <c r="C11" s="603" t="str">
        <f>'A-RR Cross Reference'!E2</f>
        <v>Total Washington CBR/ROO</v>
      </c>
      <c r="D11" s="604">
        <f>'A-RR Cross Reference'!E157</f>
        <v>36392000</v>
      </c>
      <c r="E11" s="604">
        <f>'A-RR Cross Reference'!E251</f>
        <v>533429000</v>
      </c>
      <c r="F11" s="604">
        <f>'A-RR Cross Reference'!E253</f>
        <v>5582877.1445919657</v>
      </c>
      <c r="G11" s="606">
        <f>'A-RR Cross Reference'!E255</f>
        <v>6.8222762541969031E-2</v>
      </c>
    </row>
    <row r="12" spans="1:9">
      <c r="A12" s="602"/>
      <c r="B12" s="694" t="str">
        <f>'A-RR Cross Reference'!F3</f>
        <v>1.01G-DFIT</v>
      </c>
      <c r="C12" s="603" t="str">
        <f>'A-RR Cross Reference'!F2</f>
        <v>Deferred FITRate Base</v>
      </c>
      <c r="D12" s="604">
        <f>'A-RR Cross Reference'!F157</f>
        <v>0</v>
      </c>
      <c r="E12" s="604">
        <f>'A-RR Cross Reference'!F251</f>
        <v>-224000</v>
      </c>
      <c r="F12" s="604">
        <f>'A-RR Cross Reference'!F253</f>
        <v>-22648.538694663781</v>
      </c>
      <c r="G12" s="695">
        <f>(D$11+D12)/(E$11+E12)-G$11</f>
        <v>2.8660456690018932E-5</v>
      </c>
    </row>
    <row r="13" spans="1:9">
      <c r="A13" s="602"/>
      <c r="B13" s="694" t="str">
        <f>'A-RR Cross Reference'!G3</f>
        <v>1.02G-DDC</v>
      </c>
      <c r="C13" s="603" t="str">
        <f>'A-RR Cross Reference'!G2</f>
        <v>Deferred Debitsand Credits</v>
      </c>
      <c r="D13" s="604">
        <f>'A-RR Cross Reference'!G157</f>
        <v>0</v>
      </c>
      <c r="E13" s="604">
        <f>'A-RR Cross Reference'!G251</f>
        <v>0</v>
      </c>
      <c r="F13" s="604">
        <f>'A-RR Cross Reference'!G253</f>
        <v>0</v>
      </c>
      <c r="G13" s="695">
        <f>(D$11+D13)/(E$11+E13)-G$11</f>
        <v>0</v>
      </c>
    </row>
    <row r="14" spans="1:9">
      <c r="A14" s="602"/>
      <c r="B14" s="694" t="str">
        <f>'A-RR Cross Reference'!H3</f>
        <v>1.03G-WC</v>
      </c>
      <c r="C14" s="603" t="str">
        <f>'A-RR Cross Reference'!H2</f>
        <v>Working Capital</v>
      </c>
      <c r="D14" s="604">
        <f>'A-RR Cross Reference'!H157</f>
        <v>0</v>
      </c>
      <c r="E14" s="604">
        <f>'A-RR Cross Reference'!H251</f>
        <v>-648000</v>
      </c>
      <c r="F14" s="604">
        <f>'A-RR Cross Reference'!H253</f>
        <v>-65518.986938134512</v>
      </c>
      <c r="G14" s="695">
        <f>(D$11+D14)/(E$11+E14)-G$11</f>
        <v>8.297658911859962E-5</v>
      </c>
    </row>
    <row r="15" spans="1:9">
      <c r="A15" s="602"/>
      <c r="B15" s="694" t="str">
        <f>'A-RR Cross Reference'!I3</f>
        <v>2.01G-EBO</v>
      </c>
      <c r="C15" s="603" t="str">
        <f>'A-RR Cross Reference'!I2</f>
        <v>EliminateB &amp; O Taxes</v>
      </c>
      <c r="D15" s="604">
        <f>'A-RR Cross Reference'!I157</f>
        <v>33000</v>
      </c>
      <c r="E15" s="604">
        <f>'A-RR Cross Reference'!I251</f>
        <v>0</v>
      </c>
      <c r="F15" s="604">
        <f>'A-RR Cross Reference'!I253</f>
        <v>-43845.138969160922</v>
      </c>
      <c r="G15" s="695">
        <f>(D$11+D15)/(E$11+E15)-G$11</f>
        <v>6.1863903162373557E-5</v>
      </c>
    </row>
    <row r="16" spans="1:9">
      <c r="A16" s="602"/>
      <c r="B16" s="694" t="str">
        <f>'A-RR Cross Reference'!J3</f>
        <v>2.02G-RPT</v>
      </c>
      <c r="C16" s="603" t="str">
        <f>'A-RR Cross Reference'!J2</f>
        <v>EliminateB &amp; O Taxes</v>
      </c>
      <c r="D16" s="604">
        <f>'A-RR Cross Reference'!J157</f>
        <v>-228000</v>
      </c>
      <c r="E16" s="604">
        <f>'A-RR Cross Reference'!J251</f>
        <v>0</v>
      </c>
      <c r="F16" s="604">
        <f>'A-RR Cross Reference'!J253</f>
        <v>302930.0510596573</v>
      </c>
      <c r="G16" s="695">
        <f t="shared" ref="G16:G29" si="0">(D$11+D16)/(E$11+E16)-G$11</f>
        <v>-4.2742333094000773E-4</v>
      </c>
    </row>
    <row r="17" spans="1:7">
      <c r="A17" s="602"/>
      <c r="B17" s="694" t="str">
        <f>'A-RR Cross Reference'!K3</f>
        <v>2.03G-UE</v>
      </c>
      <c r="C17" s="603" t="str">
        <f>'A-RR Cross Reference'!K2</f>
        <v>RestateProperty Taxes</v>
      </c>
      <c r="D17" s="604">
        <f>'A-RR Cross Reference'!K157</f>
        <v>-732000</v>
      </c>
      <c r="E17" s="604">
        <f>'A-RR Cross Reference'!K251</f>
        <v>0</v>
      </c>
      <c r="F17" s="604">
        <f>'A-RR Cross Reference'!K253</f>
        <v>972564.90077047865</v>
      </c>
      <c r="G17" s="695">
        <f t="shared" si="0"/>
        <v>-1.3722538519653077E-3</v>
      </c>
    </row>
    <row r="18" spans="1:7">
      <c r="A18" s="602"/>
      <c r="B18" s="694" t="str">
        <f>'A-RR Cross Reference'!L3</f>
        <v>2.04G-RE</v>
      </c>
      <c r="C18" s="603" t="str">
        <f>'A-RR Cross Reference'!L2</f>
        <v>UncollectibleExpense</v>
      </c>
      <c r="D18" s="604">
        <f>'A-RR Cross Reference'!L157</f>
        <v>-314000</v>
      </c>
      <c r="E18" s="604">
        <f>'A-RR Cross Reference'!L251</f>
        <v>0</v>
      </c>
      <c r="F18" s="604">
        <f>'A-RR Cross Reference'!L253</f>
        <v>417193.14049444027</v>
      </c>
      <c r="G18" s="695">
        <f t="shared" si="0"/>
        <v>-5.886444119086176E-4</v>
      </c>
    </row>
    <row r="19" spans="1:7">
      <c r="A19" s="602"/>
      <c r="B19" s="694" t="str">
        <f>'A-RR Cross Reference'!M3</f>
        <v>2.05G-ID</v>
      </c>
      <c r="C19" s="603" t="str">
        <f>'A-RR Cross Reference'!M2</f>
        <v>RegulatoryExpense</v>
      </c>
      <c r="D19" s="604">
        <f>'A-RR Cross Reference'!M157</f>
        <v>14000</v>
      </c>
      <c r="E19" s="604">
        <f>'A-RR Cross Reference'!M251</f>
        <v>0</v>
      </c>
      <c r="F19" s="604">
        <f>'A-RR Cross Reference'!M253</f>
        <v>-18600.968047522816</v>
      </c>
      <c r="G19" s="695">
        <f t="shared" si="0"/>
        <v>2.6245292250703933E-5</v>
      </c>
    </row>
    <row r="20" spans="1:7">
      <c r="A20" s="602"/>
      <c r="B20" s="694" t="str">
        <f>'A-RR Cross Reference'!N3</f>
        <v>2.06G-FIT</v>
      </c>
      <c r="C20" s="603" t="str">
        <f>'A-RR Cross Reference'!N2</f>
        <v>Injuries &amp;Damages</v>
      </c>
      <c r="D20" s="604">
        <f>'A-RR Cross Reference'!N157</f>
        <v>101000</v>
      </c>
      <c r="E20" s="604">
        <f>'A-RR Cross Reference'!N251</f>
        <v>0</v>
      </c>
      <c r="F20" s="604">
        <f>'A-RR Cross Reference'!N253</f>
        <v>-134192.69805712887</v>
      </c>
      <c r="G20" s="695">
        <f t="shared" si="0"/>
        <v>1.8934103695149307E-4</v>
      </c>
    </row>
    <row r="21" spans="1:7">
      <c r="A21" s="602"/>
      <c r="B21" s="694" t="str">
        <f>'A-RR Cross Reference'!O3</f>
        <v>2.07G-OSC</v>
      </c>
      <c r="C21" s="603" t="str">
        <f>'A-RR Cross Reference'!O2</f>
        <v>FIT/DFITExpense</v>
      </c>
      <c r="D21" s="604">
        <f>'A-RR Cross Reference'!O157</f>
        <v>8000</v>
      </c>
      <c r="E21" s="604">
        <f>'A-RR Cross Reference'!O251</f>
        <v>0</v>
      </c>
      <c r="F21" s="604">
        <f>'A-RR Cross Reference'!O253</f>
        <v>-10629.124598584465</v>
      </c>
      <c r="G21" s="695">
        <f t="shared" si="0"/>
        <v>1.4997309857545105E-5</v>
      </c>
    </row>
    <row r="22" spans="1:7">
      <c r="A22" s="602"/>
      <c r="B22" s="694" t="str">
        <f>'A-RR Cross Reference'!P3</f>
        <v>2.08G-RET</v>
      </c>
      <c r="C22" s="603" t="str">
        <f>'A-RR Cross Reference'!P2</f>
        <v>Office SpaceCharges to Subs</v>
      </c>
      <c r="D22" s="604">
        <f>'A-RR Cross Reference'!P157</f>
        <v>3000</v>
      </c>
      <c r="E22" s="604">
        <f>'A-RR Cross Reference'!P251</f>
        <v>0</v>
      </c>
      <c r="F22" s="604">
        <f>'A-RR Cross Reference'!P253</f>
        <v>-3985.9217244691749</v>
      </c>
      <c r="G22" s="695">
        <f t="shared" si="0"/>
        <v>5.6239911965794143E-6</v>
      </c>
    </row>
    <row r="23" spans="1:7">
      <c r="A23" s="602"/>
      <c r="B23" s="694" t="str">
        <f>'A-RR Cross Reference'!Q3</f>
        <v>2.09G-NGL</v>
      </c>
      <c r="C23" s="603" t="str">
        <f>'A-RR Cross Reference'!Q2</f>
        <v>RestateExcise Tax</v>
      </c>
      <c r="D23" s="604">
        <f>'A-RR Cross Reference'!Q157</f>
        <v>9000</v>
      </c>
      <c r="E23" s="604">
        <f>'A-RR Cross Reference'!Q251</f>
        <v>0</v>
      </c>
      <c r="F23" s="604">
        <f>'A-RR Cross Reference'!Q253</f>
        <v>-11957.765173407524</v>
      </c>
      <c r="G23" s="695">
        <f t="shared" si="0"/>
        <v>1.6871973589738243E-5</v>
      </c>
    </row>
    <row r="24" spans="1:7">
      <c r="A24" s="602"/>
      <c r="B24" s="694" t="str">
        <f>'A-RR Cross Reference'!R3</f>
        <v>2.1G-WNGC</v>
      </c>
      <c r="C24" s="603" t="str">
        <f>'A-RR Cross Reference'!R2</f>
        <v>Net Gains/Losses</v>
      </c>
      <c r="D24" s="604">
        <f>'A-RR Cross Reference'!R157</f>
        <v>-34000</v>
      </c>
      <c r="E24" s="604">
        <f>'A-RR Cross Reference'!R251</f>
        <v>0</v>
      </c>
      <c r="F24" s="604">
        <f>'A-RR Cross Reference'!R253</f>
        <v>45173.779543983983</v>
      </c>
      <c r="G24" s="695">
        <f t="shared" si="0"/>
        <v>-6.3738566894566695E-5</v>
      </c>
    </row>
    <row r="25" spans="1:7">
      <c r="A25" s="602"/>
      <c r="B25" s="694" t="str">
        <f>'A-RR Cross Reference'!S3</f>
        <v>2.11G-EAS</v>
      </c>
      <c r="C25" s="603" t="str">
        <f>'A-RR Cross Reference'!S2</f>
        <v>Weather NormalizationGas Cost Adjust</v>
      </c>
      <c r="D25" s="604">
        <f>'A-RR Cross Reference'!S157</f>
        <v>8000</v>
      </c>
      <c r="E25" s="604">
        <f>'A-RR Cross Reference'!S251</f>
        <v>0</v>
      </c>
      <c r="F25" s="604">
        <f>'A-RR Cross Reference'!S253</f>
        <v>-10629.124598584465</v>
      </c>
      <c r="G25" s="695">
        <f t="shared" si="0"/>
        <v>1.4997309857545105E-5</v>
      </c>
    </row>
    <row r="26" spans="1:7">
      <c r="A26" s="602"/>
      <c r="B26" s="694" t="str">
        <f>'A-RR Cross Reference'!T3</f>
        <v>2.12G-MR</v>
      </c>
      <c r="C26" s="603" t="str">
        <f>'A-RR Cross Reference'!T2</f>
        <v>EliminateAdder Schedules</v>
      </c>
      <c r="D26" s="604">
        <f>'A-RR Cross Reference'!T157</f>
        <v>328000</v>
      </c>
      <c r="E26" s="604">
        <f>'A-RR Cross Reference'!T251</f>
        <v>0</v>
      </c>
      <c r="F26" s="604">
        <f>'A-RR Cross Reference'!T253</f>
        <v>-435794.1085419631</v>
      </c>
      <c r="G26" s="695">
        <f t="shared" si="0"/>
        <v>6.1488970415932154E-4</v>
      </c>
    </row>
    <row r="27" spans="1:7">
      <c r="A27" s="602"/>
      <c r="B27" s="694" t="str">
        <f>'A-RR Cross Reference'!U3</f>
        <v>2.13G-RI</v>
      </c>
      <c r="C27" s="603" t="str">
        <f>'A-RR Cross Reference'!U2</f>
        <v>Misc. RestatingAdjustments</v>
      </c>
      <c r="D27" s="604">
        <f>'A-RR Cross Reference'!U157</f>
        <v>-197000</v>
      </c>
      <c r="E27" s="604">
        <f>'A-RR Cross Reference'!U251</f>
        <v>0</v>
      </c>
      <c r="F27" s="604">
        <f>'A-RR Cross Reference'!U253</f>
        <v>261742.19324014249</v>
      </c>
      <c r="G27" s="695">
        <f t="shared" si="0"/>
        <v>-3.6930875524202045E-4</v>
      </c>
    </row>
    <row r="28" spans="1:7">
      <c r="A28" s="602"/>
      <c r="B28" s="694" t="str">
        <f>'A-RR Cross Reference'!V3</f>
        <v>2.14G-DI</v>
      </c>
      <c r="C28" s="603" t="str">
        <f>'A-RR Cross Reference'!V2</f>
        <v>Restating Incentives</v>
      </c>
      <c r="D28" s="604">
        <f>'A-RR Cross Reference'!V157</f>
        <v>-57000</v>
      </c>
      <c r="E28" s="604">
        <f>'A-RR Cross Reference'!V251</f>
        <v>0</v>
      </c>
      <c r="F28" s="604">
        <f>'A-RR Cross Reference'!V253</f>
        <v>75732.512764914325</v>
      </c>
      <c r="G28" s="695">
        <f t="shared" si="0"/>
        <v>-1.0685583273499499E-4</v>
      </c>
    </row>
    <row r="29" spans="1:7">
      <c r="A29" s="602"/>
      <c r="B29" s="694" t="str">
        <f>'A-RR Cross Reference'!W3</f>
        <v>2.15G-EOP09.2021</v>
      </c>
      <c r="C29" s="603" t="str">
        <f>'A-RR Cross Reference'!W2</f>
        <v>Restate Debt Int</v>
      </c>
      <c r="D29" s="604">
        <f>'A-RR Cross Reference'!W157</f>
        <v>0</v>
      </c>
      <c r="E29" s="604">
        <f>'A-RR Cross Reference'!W251</f>
        <v>12408000</v>
      </c>
      <c r="F29" s="604">
        <f>'A-RR Cross Reference'!W253</f>
        <v>1254567.268407983</v>
      </c>
      <c r="G29" s="695">
        <f t="shared" si="0"/>
        <v>-1.5508440021851783E-3</v>
      </c>
    </row>
    <row r="30" spans="1:7">
      <c r="A30" s="602"/>
      <c r="D30" s="604"/>
      <c r="E30" s="604"/>
      <c r="F30" s="604"/>
      <c r="G30" s="604"/>
    </row>
    <row r="31" spans="1:7" ht="16.5" thickBot="1">
      <c r="A31" s="602"/>
      <c r="C31" s="603" t="s">
        <v>1184</v>
      </c>
      <c r="D31" s="605">
        <f>SUM(D11:D29)</f>
        <v>35334000</v>
      </c>
      <c r="E31" s="605">
        <f>SUM(E11:E29)</f>
        <v>544965000</v>
      </c>
      <c r="F31" s="605">
        <f>SUM(F11:F29)</f>
        <v>8154978.615529947</v>
      </c>
      <c r="G31" s="607">
        <f>SUM(G11:G29)</f>
        <v>6.4800161356932257E-2</v>
      </c>
    </row>
    <row r="32" spans="1:7" ht="16.5" thickTop="1">
      <c r="A32" s="602"/>
    </row>
    <row r="33" spans="1:9">
      <c r="A33" s="602"/>
    </row>
    <row r="34" spans="1:9">
      <c r="A34" s="602"/>
    </row>
    <row r="35" spans="1:9">
      <c r="A35" s="602"/>
      <c r="B35" s="798" t="s">
        <v>1181</v>
      </c>
      <c r="C35" s="798"/>
      <c r="D35" s="798"/>
      <c r="E35" s="798"/>
      <c r="F35" s="798"/>
    </row>
    <row r="37" spans="1:9">
      <c r="D37" s="799" t="s">
        <v>1183</v>
      </c>
      <c r="E37" s="799"/>
      <c r="F37" s="799"/>
      <c r="G37" s="799"/>
      <c r="H37" s="556"/>
    </row>
    <row r="38" spans="1:9">
      <c r="B38" s="599" t="s">
        <v>1178</v>
      </c>
      <c r="C38" s="600" t="s">
        <v>1179</v>
      </c>
      <c r="D38" s="601" t="s">
        <v>1180</v>
      </c>
      <c r="E38" s="601" t="s">
        <v>83</v>
      </c>
      <c r="F38" s="601" t="s">
        <v>1077</v>
      </c>
      <c r="G38" s="601" t="s">
        <v>1170</v>
      </c>
      <c r="H38" s="556"/>
      <c r="I38" s="556"/>
    </row>
    <row r="39" spans="1:9">
      <c r="B39" s="502" t="str">
        <f>'A-RR Cross Reference'!Y3</f>
        <v>3.01G-PREV</v>
      </c>
      <c r="C39" s="502" t="str">
        <f>'A-RR Cross Reference'!Y2</f>
        <v>Pro Forma RevenueNormalization</v>
      </c>
      <c r="D39" s="604">
        <f>'A-RR Cross Reference'!Y157</f>
        <v>1922000</v>
      </c>
      <c r="E39" s="604">
        <f>'A-RR Cross Reference'!Y251</f>
        <v>0</v>
      </c>
      <c r="F39" s="604">
        <f>'A-RR Cross Reference'!Y253</f>
        <v>-2553647.184809918</v>
      </c>
      <c r="G39" s="608">
        <f>(D$11+D39)/(E$11+E39)-G$11</f>
        <v>3.6031036932750171E-3</v>
      </c>
    </row>
    <row r="40" spans="1:9">
      <c r="B40" s="502" t="str">
        <f>'A-RR Cross Reference'!Z3</f>
        <v>3.02G-PRA</v>
      </c>
      <c r="C40" s="502" t="str">
        <f>'A-RR Cross Reference'!Z2</f>
        <v>Pro Forma Def. Debits &amp; Credits</v>
      </c>
      <c r="D40" s="604">
        <f>'A-RR Cross Reference'!Z157</f>
        <v>193000</v>
      </c>
      <c r="E40" s="604">
        <f>'A-RR Cross Reference'!Z251</f>
        <v>0</v>
      </c>
      <c r="F40" s="604">
        <f>'A-RR Cross Reference'!Z253</f>
        <v>-256427.63094085024</v>
      </c>
      <c r="G40" s="608">
        <f t="shared" ref="G40:G59" si="1">(D$11+D40)/(E$11+E40)-G$11</f>
        <v>3.6181010031326177E-4</v>
      </c>
    </row>
    <row r="41" spans="1:9">
      <c r="B41" s="502" t="str">
        <f>'A-RR Cross Reference'!AA3</f>
        <v>3.03G-EDIT</v>
      </c>
      <c r="C41" s="502" t="str">
        <f>'A-RR Cross Reference'!AA2</f>
        <v>Pro FormaEDIT (RSGM)</v>
      </c>
      <c r="D41" s="604">
        <f>'A-RR Cross Reference'!AA157</f>
        <v>-136000</v>
      </c>
      <c r="E41" s="604">
        <f>'A-RR Cross Reference'!AA251</f>
        <v>0</v>
      </c>
      <c r="F41" s="604">
        <f>'A-RR Cross Reference'!AA253</f>
        <v>180695.11817593593</v>
      </c>
      <c r="G41" s="608">
        <f t="shared" si="1"/>
        <v>-2.549542675782529E-4</v>
      </c>
    </row>
    <row r="42" spans="1:9">
      <c r="B42" s="502" t="str">
        <f>'A-RR Cross Reference'!AB3</f>
        <v>3.04G-PAMI</v>
      </c>
      <c r="C42" s="502" t="str">
        <f>'A-RR Cross Reference'!AB2</f>
        <v>Pro FormaAMI Amortization</v>
      </c>
      <c r="D42" s="604">
        <f>'A-RR Cross Reference'!AB157</f>
        <v>634000</v>
      </c>
      <c r="E42" s="604">
        <f>'A-RR Cross Reference'!AB251</f>
        <v>-2141000</v>
      </c>
      <c r="F42" s="604">
        <f>'A-RR Cross Reference'!AB253</f>
        <v>-1058833.6661577972</v>
      </c>
      <c r="G42" s="608">
        <f t="shared" si="1"/>
        <v>1.4682525007196773E-3</v>
      </c>
    </row>
    <row r="43" spans="1:9">
      <c r="B43" s="502" t="str">
        <f>'A-RR Cross Reference'!AC3</f>
        <v>3.05G-PLN</v>
      </c>
      <c r="C43" s="502" t="str">
        <f>'A-RR Cross Reference'!AC2</f>
        <v>Pro FormaNon-Exec Labor</v>
      </c>
      <c r="D43" s="604">
        <f>'A-RR Cross Reference'!AC157</f>
        <v>-1443000</v>
      </c>
      <c r="E43" s="604">
        <f>'A-RR Cross Reference'!AC251</f>
        <v>0</v>
      </c>
      <c r="F43" s="604">
        <f>'A-RR Cross Reference'!AC253</f>
        <v>1917228.3494696731</v>
      </c>
      <c r="G43" s="608">
        <f t="shared" si="1"/>
        <v>-2.7051397655545456E-3</v>
      </c>
    </row>
    <row r="44" spans="1:9">
      <c r="B44" s="502" t="str">
        <f>'A-RR Cross Reference'!AD3</f>
        <v>3.06G-PLE</v>
      </c>
      <c r="C44" s="502" t="str">
        <f>'A-RR Cross Reference'!AD2</f>
        <v>Pro FormaExec Labor</v>
      </c>
      <c r="D44" s="604">
        <f>'A-RR Cross Reference'!AD157</f>
        <v>-15000</v>
      </c>
      <c r="E44" s="604">
        <f>'A-RR Cross Reference'!AD251</f>
        <v>0</v>
      </c>
      <c r="F44" s="604">
        <f>'A-RR Cross Reference'!AD253</f>
        <v>19929.608622345873</v>
      </c>
      <c r="G44" s="608">
        <f t="shared" si="1"/>
        <v>-2.8119955982897071E-5</v>
      </c>
    </row>
    <row r="45" spans="1:9">
      <c r="B45" s="502" t="str">
        <f>'A-RR Cross Reference'!AE3</f>
        <v>3.07G-PEB</v>
      </c>
      <c r="C45" s="502" t="str">
        <f>'A-RR Cross Reference'!AE2</f>
        <v>Pro FormaEmpl. Benefits</v>
      </c>
      <c r="D45" s="604">
        <f>'A-RR Cross Reference'!AE157</f>
        <v>1335000</v>
      </c>
      <c r="E45" s="604">
        <f>'A-RR Cross Reference'!AE251</f>
        <v>0</v>
      </c>
      <c r="F45" s="604">
        <f>'A-RR Cross Reference'!AE253</f>
        <v>-1773735.1673887828</v>
      </c>
      <c r="G45" s="608">
        <f t="shared" si="1"/>
        <v>2.5026760824777144E-3</v>
      </c>
    </row>
    <row r="46" spans="1:9">
      <c r="B46" s="502" t="str">
        <f>'A-RR Cross Reference'!AF3</f>
        <v>3.09G-LIRAP</v>
      </c>
      <c r="C46" s="502" t="str">
        <f>'A-RR Cross Reference'!AF2</f>
        <v>RemoveLIRAP Labor</v>
      </c>
      <c r="D46" s="604">
        <f>'A-RR Cross Reference'!AF157</f>
        <v>-62000</v>
      </c>
      <c r="E46" s="604">
        <f>'A-RR Cross Reference'!AF251</f>
        <v>0</v>
      </c>
      <c r="F46" s="604">
        <f>'A-RR Cross Reference'!AF253</f>
        <v>82375.715639029615</v>
      </c>
      <c r="G46" s="608">
        <f t="shared" si="1"/>
        <v>-1.1622915139596068E-4</v>
      </c>
    </row>
    <row r="47" spans="1:9">
      <c r="B47" s="502" t="str">
        <f>'A-RR Cross Reference'!AG3</f>
        <v>3.1G-CCA</v>
      </c>
      <c r="C47" s="502" t="str">
        <f>'A-RR Cross Reference'!AG2</f>
        <v>Pro FormaCCA Labor</v>
      </c>
      <c r="D47" s="604">
        <f>'A-RR Cross Reference'!AG157</f>
        <v>-89000</v>
      </c>
      <c r="E47" s="604">
        <f>'A-RR Cross Reference'!AG251</f>
        <v>0</v>
      </c>
      <c r="F47" s="604">
        <f>'A-RR Cross Reference'!AG253</f>
        <v>118249.01115925219</v>
      </c>
      <c r="G47" s="608">
        <f t="shared" ref="G47" si="2">(D$11+D47)/(E$11+E47)-G$11</f>
        <v>-1.6684507216517541E-4</v>
      </c>
    </row>
    <row r="48" spans="1:9">
      <c r="B48" s="502" t="str">
        <f>'A-RR Cross Reference'!AH3</f>
        <v>3.11G-PPT</v>
      </c>
      <c r="C48" s="502" t="str">
        <f>'A-RR Cross Reference'!AH2</f>
        <v>Pro FormaProperty Tax</v>
      </c>
      <c r="D48" s="604">
        <f>'A-RR Cross Reference'!AH157</f>
        <v>-747000</v>
      </c>
      <c r="E48" s="604">
        <f>'A-RR Cross Reference'!AH251</f>
        <v>0</v>
      </c>
      <c r="F48" s="604">
        <f>'A-RR Cross Reference'!AH253</f>
        <v>992494.50939282449</v>
      </c>
      <c r="G48" s="608">
        <f t="shared" si="1"/>
        <v>-1.4003738079481909E-3</v>
      </c>
    </row>
    <row r="49" spans="2:7">
      <c r="B49" s="502" t="str">
        <f>'A-RR Cross Reference'!AI3</f>
        <v>3.12G-PINS</v>
      </c>
      <c r="C49" s="502" t="str">
        <f>'A-RR Cross Reference'!AI2</f>
        <v>Pro FormaInsurance Expense</v>
      </c>
      <c r="D49" s="604">
        <f>'A-RR Cross Reference'!AI157</f>
        <v>-472000</v>
      </c>
      <c r="E49" s="604">
        <f>'A-RR Cross Reference'!AI251</f>
        <v>0</v>
      </c>
      <c r="F49" s="604">
        <f>'A-RR Cross Reference'!AI253</f>
        <v>627118.35131648346</v>
      </c>
      <c r="G49" s="608">
        <f t="shared" si="1"/>
        <v>-8.8484128159510567E-4</v>
      </c>
    </row>
    <row r="50" spans="2:7">
      <c r="B50" s="502" t="str">
        <f>'A-RR Cross Reference'!AJ3</f>
        <v>3.13G-PIT</v>
      </c>
      <c r="C50" s="502" t="str">
        <f>'A-RR Cross Reference'!AJ2</f>
        <v>Pro FormaIS/IT</v>
      </c>
      <c r="D50" s="604">
        <f>'A-RR Cross Reference'!AJ157</f>
        <v>-17000</v>
      </c>
      <c r="E50" s="604">
        <f>'A-RR Cross Reference'!AJ251</f>
        <v>0</v>
      </c>
      <c r="F50" s="604">
        <f>'A-RR Cross Reference'!AJ253</f>
        <v>22586.889771991991</v>
      </c>
      <c r="G50" s="608">
        <f t="shared" si="1"/>
        <v>-3.1869283447283347E-5</v>
      </c>
    </row>
    <row r="51" spans="2:7">
      <c r="B51" s="502" t="str">
        <f>'A-RR Cross Reference'!AK3</f>
        <v>3.14G-PMisc</v>
      </c>
      <c r="C51" s="502" t="str">
        <f>'A-RR Cross Reference'!AK2</f>
        <v>Pro Forma Misc O&amp;M Expense</v>
      </c>
      <c r="D51" s="604">
        <f>'A-RR Cross Reference'!AK157</f>
        <v>-1291000</v>
      </c>
      <c r="E51" s="604">
        <f>'A-RR Cross Reference'!AK251</f>
        <v>0</v>
      </c>
      <c r="F51" s="604">
        <f>'A-RR Cross Reference'!AK253</f>
        <v>1715274.9820965682</v>
      </c>
      <c r="G51" s="608">
        <f t="shared" si="1"/>
        <v>-2.4201908782612025E-3</v>
      </c>
    </row>
    <row r="52" spans="2:7">
      <c r="B52" s="502" t="str">
        <f>'A-RR Cross Reference'!AL3</f>
        <v>3.15G-CAP23E</v>
      </c>
      <c r="C52" s="502" t="str">
        <f>'A-RR Cross Reference'!AL2</f>
        <v>Pro FormaCapital Add. To 12/31/23 EOP</v>
      </c>
      <c r="D52" s="604">
        <f>'A-RR Cross Reference'!AL157</f>
        <v>-1003000</v>
      </c>
      <c r="E52" s="604">
        <f>'A-RR Cross Reference'!AL251</f>
        <v>19487000</v>
      </c>
      <c r="F52" s="604">
        <f>'A-RR Cross Reference'!AL253</f>
        <v>3302948.2534355326</v>
      </c>
      <c r="G52" s="608">
        <f t="shared" si="1"/>
        <v>-4.2184653250319226E-3</v>
      </c>
    </row>
    <row r="53" spans="2:7">
      <c r="B53" s="502" t="str">
        <f>'A-RR Cross Reference'!AM3</f>
        <v>3.16G-DEP</v>
      </c>
      <c r="C53" s="502" t="str">
        <f>'A-RR Cross Reference'!AM2</f>
        <v>Pro FormaDep. Expense</v>
      </c>
      <c r="D53" s="604">
        <f>'A-RR Cross Reference'!AM157</f>
        <v>715000</v>
      </c>
      <c r="E53" s="604">
        <f>'A-RR Cross Reference'!AM251</f>
        <v>0</v>
      </c>
      <c r="F53" s="604">
        <f>'A-RR Cross Reference'!AM253</f>
        <v>-949978.01099848666</v>
      </c>
      <c r="G53" s="608">
        <f t="shared" ref="G53:G57" si="3">(D$11+D53)/(E$11+E53)-G$11</f>
        <v>1.3403845685180243E-3</v>
      </c>
    </row>
    <row r="54" spans="2:7">
      <c r="B54" s="502" t="str">
        <f>'A-RR Cross Reference'!AN3</f>
        <v>3.17G-CAP24E</v>
      </c>
      <c r="C54" s="502" t="str">
        <f>'A-RR Cross Reference'!AN2</f>
        <v>Pro FormaCapital Add. To 12/31/24 EOP</v>
      </c>
      <c r="D54" s="604">
        <f>'A-RR Cross Reference'!AN157</f>
        <v>-1546000</v>
      </c>
      <c r="E54" s="604">
        <f>'A-RR Cross Reference'!AN251</f>
        <v>20568000</v>
      </c>
      <c r="F54" s="604">
        <f>'A-RR Cross Reference'!AN253</f>
        <v>4133699.5066757542</v>
      </c>
      <c r="G54" s="608">
        <f t="shared" si="3"/>
        <v>-5.3235049647619298E-3</v>
      </c>
    </row>
    <row r="55" spans="2:7">
      <c r="B55" s="502" t="str">
        <f>'A-RR Cross Reference'!AO3</f>
        <v>3.18G-NRA</v>
      </c>
      <c r="C55" s="502" t="str">
        <f>'A-RR Cross Reference'!AO2</f>
        <v>Pro FormaNew Reg. Amort.</v>
      </c>
      <c r="D55" s="604">
        <f>'A-RR Cross Reference'!AO157</f>
        <v>-237000</v>
      </c>
      <c r="E55" s="604">
        <f>'A-RR Cross Reference'!AO251</f>
        <v>0</v>
      </c>
      <c r="F55" s="604">
        <f>'A-RR Cross Reference'!AO253</f>
        <v>314887.8162330648</v>
      </c>
      <c r="G55" s="608">
        <f t="shared" si="3"/>
        <v>-4.4429530452974597E-4</v>
      </c>
    </row>
    <row r="56" spans="2:7">
      <c r="B56" s="502" t="str">
        <f>'A-RR Cross Reference'!AP3</f>
        <v>3.19G-ETRM</v>
      </c>
      <c r="C56" s="502" t="str">
        <f>'A-RR Cross Reference'!AP2</f>
        <v>Pro FormaNucleus/ETRM Exp.</v>
      </c>
      <c r="D56" s="604">
        <f>'A-RR Cross Reference'!AP157</f>
        <v>-141000</v>
      </c>
      <c r="E56" s="604">
        <f>'A-RR Cross Reference'!AP251</f>
        <v>0</v>
      </c>
      <c r="F56" s="604">
        <f>'A-RR Cross Reference'!AP253</f>
        <v>187338.32105005122</v>
      </c>
      <c r="G56" s="608">
        <f t="shared" si="3"/>
        <v>-2.6432758623921859E-4</v>
      </c>
    </row>
    <row r="57" spans="2:7">
      <c r="B57" s="502" t="str">
        <f>'A-RR Cross Reference'!AQ3</f>
        <v>3.2G-PBOD</v>
      </c>
      <c r="C57" s="502" t="str">
        <f>'A-RR Cross Reference'!AQ2</f>
        <v>Pro FormaBOD Fees Exp.</v>
      </c>
      <c r="D57" s="604">
        <f>'A-RR Cross Reference'!AQ157</f>
        <v>-118000</v>
      </c>
      <c r="E57" s="604">
        <f>'A-RR Cross Reference'!AQ251</f>
        <v>0</v>
      </c>
      <c r="F57" s="604">
        <f>'A-RR Cross Reference'!AQ253</f>
        <v>156779.58782912086</v>
      </c>
      <c r="G57" s="608">
        <f t="shared" si="3"/>
        <v>-2.2121032039877642E-4</v>
      </c>
    </row>
    <row r="58" spans="2:7">
      <c r="B58" s="502" t="str">
        <f>'A-RR Cross Reference'!AR3</f>
        <v>4.01G-CAP25A</v>
      </c>
      <c r="C58" s="502" t="str">
        <f>'A-RR Cross Reference'!AR2</f>
        <v>Provisional Capital Add.to 12.31.25 AMA</v>
      </c>
      <c r="D58" s="604">
        <f>'A-RR Cross Reference'!AR157</f>
        <v>-1714000</v>
      </c>
      <c r="E58" s="604">
        <f>'A-RR Cross Reference'!AR251</f>
        <v>3204000</v>
      </c>
      <c r="F58" s="604">
        <f>'A-RR Cross Reference'!AR253</f>
        <v>2601244.9362186091</v>
      </c>
      <c r="G58" s="608">
        <f t="shared" si="1"/>
        <v>-3.6013173457175862E-3</v>
      </c>
    </row>
    <row r="59" spans="2:7">
      <c r="B59" s="502" t="str">
        <f>'A-RR Cross Reference'!AS3</f>
        <v>4.02G-Offsets25</v>
      </c>
      <c r="C59" s="502" t="str">
        <f>'A-RR Cross Reference'!AS2</f>
        <v xml:space="preserve">2024-2025Cap. Adds O&amp;M and Rev. </v>
      </c>
      <c r="D59" s="604">
        <f>'A-RR Cross Reference'!AS57</f>
        <v>-32000</v>
      </c>
      <c r="E59" s="604">
        <f>'A-RR Cross Reference'!AS251</f>
        <v>0</v>
      </c>
      <c r="F59" s="604">
        <f>'A-RR Cross Reference'!AS253</f>
        <v>-652362.5222381216</v>
      </c>
      <c r="G59" s="608">
        <f t="shared" si="1"/>
        <v>-5.9989239430180419E-5</v>
      </c>
    </row>
    <row r="60" spans="2:7">
      <c r="D60" s="604"/>
      <c r="E60" s="604"/>
      <c r="F60" s="604"/>
      <c r="G60" s="604"/>
    </row>
    <row r="61" spans="2:7" ht="16.5" thickBot="1">
      <c r="C61" s="603" t="s">
        <v>1185</v>
      </c>
      <c r="D61" s="605">
        <f>SUM(D39:D59)</f>
        <v>-4264000</v>
      </c>
      <c r="E61" s="605">
        <f>SUM(E39:E59)</f>
        <v>41118000</v>
      </c>
      <c r="F61" s="605">
        <f>SUM(F39:F59)</f>
        <v>9127866.7745522801</v>
      </c>
      <c r="G61" s="607">
        <f>SUM(G39:G59)</f>
        <v>-1.2865446604734279E-2</v>
      </c>
    </row>
    <row r="62" spans="2:7" ht="17.25" thickTop="1" thickBot="1"/>
    <row r="63" spans="2:7" ht="16.5" thickBot="1">
      <c r="C63" s="603" t="s">
        <v>1186</v>
      </c>
      <c r="D63" s="609">
        <f>D61+D31</f>
        <v>31070000</v>
      </c>
      <c r="E63" s="610">
        <f>E61+E31</f>
        <v>586083000</v>
      </c>
      <c r="F63" s="610">
        <f>F61+F31</f>
        <v>17282845.390082225</v>
      </c>
      <c r="G63" s="611">
        <f>G61+G31</f>
        <v>5.1934714752197977E-2</v>
      </c>
    </row>
  </sheetData>
  <mergeCells count="9">
    <mergeCell ref="B7:F7"/>
    <mergeCell ref="B35:F35"/>
    <mergeCell ref="D37:G37"/>
    <mergeCell ref="D9:G9"/>
    <mergeCell ref="B1:F1"/>
    <mergeCell ref="B2:F2"/>
    <mergeCell ref="B3:F3"/>
    <mergeCell ref="B4:F4"/>
    <mergeCell ref="B5:F5"/>
  </mergeCells>
  <phoneticPr fontId="8" type="noConversion"/>
  <pageMargins left="0.7" right="0.7" top="0.75" bottom="0.75" header="0.3" footer="0.3"/>
  <pageSetup scale="94" fitToHeight="2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84CD-6C1B-4F29-A046-A2F4A1868FB8}">
  <sheetPr>
    <pageSetUpPr fitToPage="1"/>
  </sheetPr>
  <dimension ref="B1:L28"/>
  <sheetViews>
    <sheetView zoomScaleNormal="100" workbookViewId="0">
      <selection activeCell="C16" sqref="C16"/>
    </sheetView>
  </sheetViews>
  <sheetFormatPr defaultColWidth="8.7109375" defaultRowHeight="15.75"/>
  <cols>
    <col min="1" max="1" width="3.85546875" style="495" customWidth="1"/>
    <col min="2" max="2" width="48.42578125" style="495" customWidth="1"/>
    <col min="3" max="3" width="15.42578125" style="495" customWidth="1"/>
    <col min="4" max="4" width="14.7109375" style="495" customWidth="1"/>
    <col min="5" max="5" width="13.140625" style="495" hidden="1" customWidth="1"/>
    <col min="6" max="6" width="13.140625" style="495" bestFit="1" customWidth="1"/>
    <col min="7" max="7" width="16.28515625" style="495" customWidth="1"/>
    <col min="8" max="8" width="15.7109375" style="495" customWidth="1"/>
    <col min="9" max="9" width="12.85546875" style="495" customWidth="1"/>
    <col min="10" max="11" width="8.7109375" style="495"/>
    <col min="12" max="12" width="12.140625" style="495" bestFit="1" customWidth="1"/>
    <col min="13" max="16384" width="8.7109375" style="495"/>
  </cols>
  <sheetData>
    <row r="1" spans="2:10">
      <c r="B1" s="595" t="s">
        <v>1174</v>
      </c>
      <c r="C1" s="595"/>
      <c r="D1" s="595"/>
      <c r="E1" s="595"/>
      <c r="F1" s="595"/>
    </row>
    <row r="2" spans="2:10">
      <c r="B2" s="596" t="s">
        <v>1175</v>
      </c>
      <c r="C2" s="596"/>
      <c r="D2" s="596"/>
      <c r="E2" s="596"/>
      <c r="F2" s="596"/>
    </row>
    <row r="3" spans="2:10">
      <c r="B3" s="596" t="s">
        <v>1176</v>
      </c>
      <c r="C3" s="596"/>
      <c r="D3" s="596"/>
      <c r="E3" s="596"/>
      <c r="F3" s="596"/>
    </row>
    <row r="4" spans="2:10">
      <c r="B4" s="596" t="s">
        <v>1182</v>
      </c>
      <c r="C4" s="596"/>
      <c r="D4" s="596"/>
      <c r="E4" s="596"/>
      <c r="F4" s="596"/>
    </row>
    <row r="5" spans="2:10">
      <c r="B5" s="597" t="s">
        <v>1695</v>
      </c>
      <c r="C5" s="597"/>
      <c r="D5" s="597"/>
      <c r="E5" s="597"/>
      <c r="F5" s="597"/>
    </row>
    <row r="7" spans="2:10" ht="20.100000000000001" customHeight="1">
      <c r="C7" s="637" t="str">
        <f>'B-COS Results'!E2</f>
        <v>Schedule 101</v>
      </c>
      <c r="D7" s="637" t="str">
        <f>'B-COS Results'!F2</f>
        <v>Schedule 111</v>
      </c>
      <c r="E7" s="637" t="str">
        <f>'B-COS Results'!G2</f>
        <v>Schedule 121</v>
      </c>
      <c r="F7" s="637" t="str">
        <f>'B-COS Results'!H2</f>
        <v>Schedule 131</v>
      </c>
      <c r="G7" s="637" t="str">
        <f>'B-COS Results'!I2</f>
        <v>Schedule 146</v>
      </c>
      <c r="H7" s="637" t="s">
        <v>120</v>
      </c>
    </row>
    <row r="8" spans="2:10">
      <c r="B8" s="495" t="s">
        <v>83</v>
      </c>
      <c r="C8" s="532">
        <f>'B-COS Results'!E251</f>
        <v>443742781.13494229</v>
      </c>
      <c r="D8" s="532">
        <f>'B-COS Results'!F251</f>
        <v>112001122.20080884</v>
      </c>
      <c r="E8" s="532">
        <f>'B-COS Results'!G251</f>
        <v>0</v>
      </c>
      <c r="F8" s="532">
        <f>'B-COS Results'!H251</f>
        <v>2783756.4636504254</v>
      </c>
      <c r="G8" s="532">
        <f>'B-COS Results'!I251</f>
        <v>27556340.200598512</v>
      </c>
      <c r="H8" s="612">
        <f>SUM(C8:G8)</f>
        <v>586084000.00000012</v>
      </c>
    </row>
    <row r="9" spans="2:10">
      <c r="B9" s="495" t="s">
        <v>576</v>
      </c>
      <c r="C9" s="613">
        <f>H9</f>
        <v>7.6100012967424455E-2</v>
      </c>
      <c r="D9" s="613">
        <f>H9</f>
        <v>7.6100012967424455E-2</v>
      </c>
      <c r="E9" s="613"/>
      <c r="F9" s="613">
        <f>H9</f>
        <v>7.6100012967424455E-2</v>
      </c>
      <c r="G9" s="613">
        <f>H9</f>
        <v>7.6100012967424455E-2</v>
      </c>
      <c r="H9" s="613">
        <f>Summary!C83</f>
        <v>7.6100012967424455E-2</v>
      </c>
    </row>
    <row r="10" spans="2:10">
      <c r="B10" s="495" t="s">
        <v>1187</v>
      </c>
      <c r="C10" s="532">
        <f>C8*C9</f>
        <v>33768831.398570098</v>
      </c>
      <c r="D10" s="532">
        <f>D8*D9</f>
        <v>8523286.851847643</v>
      </c>
      <c r="E10" s="532">
        <f>E8*E9</f>
        <v>0</v>
      </c>
      <c r="F10" s="532">
        <f>F8*F9</f>
        <v>211843.90298194901</v>
      </c>
      <c r="G10" s="532">
        <f>G8*G9</f>
        <v>2097037.8466003065</v>
      </c>
      <c r="H10" s="612">
        <f>SUM(C10:G10)</f>
        <v>44601000</v>
      </c>
    </row>
    <row r="11" spans="2:10">
      <c r="B11" s="495" t="s">
        <v>1188</v>
      </c>
      <c r="C11" s="532">
        <f>'B-COS Results'!E155-'B-COS Results'!E16</f>
        <v>75965981.546071663</v>
      </c>
      <c r="D11" s="532">
        <f>'B-COS Results'!F155-'B-COS Results'!F16</f>
        <v>14316056.091195336</v>
      </c>
      <c r="E11" s="532">
        <f>'B-COS Results'!G155-'B-COS Results'!G16</f>
        <v>0</v>
      </c>
      <c r="F11" s="532">
        <f>'B-COS Results'!H155-'B-COS Results'!H16</f>
        <v>354082.58801157196</v>
      </c>
      <c r="G11" s="532">
        <f>'B-COS Results'!I155-'B-COS Results'!I16</f>
        <v>3125880.1051653856</v>
      </c>
      <c r="H11" s="612">
        <f>SUM(C11:G11)</f>
        <v>93762000.330443963</v>
      </c>
    </row>
    <row r="12" spans="2:10">
      <c r="B12" s="495" t="s">
        <v>1189</v>
      </c>
      <c r="C12" s="532">
        <f>ROUND('B-COS Results'!E9,-3)</f>
        <v>97110000</v>
      </c>
      <c r="D12" s="532">
        <f>ROUND('B-COS Results'!F9,-3)</f>
        <v>23834000</v>
      </c>
      <c r="E12" s="532">
        <f>ROUND('B-COS Results'!G9,-3)</f>
        <v>0</v>
      </c>
      <c r="F12" s="532">
        <f>ROUND('B-COS Results'!H9,-3)</f>
        <v>639000</v>
      </c>
      <c r="G12" s="532">
        <f>ROUND('B-COS Results'!I9,-3)</f>
        <v>3734000</v>
      </c>
      <c r="H12" s="612">
        <f>SUM(C12:G12)</f>
        <v>125317000</v>
      </c>
    </row>
    <row r="13" spans="2:10">
      <c r="B13" s="495" t="s">
        <v>1190</v>
      </c>
      <c r="C13" s="532">
        <f>C12-C11</f>
        <v>21144018.453928337</v>
      </c>
      <c r="D13" s="532">
        <f>D12-D11</f>
        <v>9517943.9088046644</v>
      </c>
      <c r="E13" s="532">
        <f>E12-E11</f>
        <v>0</v>
      </c>
      <c r="F13" s="532">
        <f>F12-F11</f>
        <v>284917.41198842804</v>
      </c>
      <c r="G13" s="532">
        <f>G12-G11</f>
        <v>608119.89483461436</v>
      </c>
      <c r="H13" s="612">
        <f t="shared" ref="H13:H15" si="0">SUM(C13:G13)</f>
        <v>31554999.669556044</v>
      </c>
    </row>
    <row r="14" spans="2:10">
      <c r="B14" s="495" t="s">
        <v>1191</v>
      </c>
      <c r="C14" s="532">
        <f>C10-C13</f>
        <v>12624812.944641761</v>
      </c>
      <c r="D14" s="532">
        <f>D10-D13</f>
        <v>-994657.05695702136</v>
      </c>
      <c r="E14" s="532">
        <f>E10-E13</f>
        <v>0</v>
      </c>
      <c r="F14" s="532">
        <f>F10-F13</f>
        <v>-73073.509006479027</v>
      </c>
      <c r="G14" s="532">
        <f>G10-G13</f>
        <v>1488917.9517656921</v>
      </c>
      <c r="H14" s="612">
        <f t="shared" si="0"/>
        <v>13046000.330443952</v>
      </c>
      <c r="I14" s="614">
        <f>Summary!M80</f>
        <v>0.75264900000000001</v>
      </c>
      <c r="J14" s="495" t="s">
        <v>1201</v>
      </c>
    </row>
    <row r="15" spans="2:10">
      <c r="B15" s="495" t="s">
        <v>1192</v>
      </c>
      <c r="C15" s="532">
        <f>C14/I14*I15</f>
        <v>793067.09505049826</v>
      </c>
      <c r="D15" s="532">
        <f>D14/I14*I15</f>
        <v>-62482.492706331868</v>
      </c>
      <c r="E15" s="532">
        <f>E14/I14*I15</f>
        <v>0</v>
      </c>
      <c r="F15" s="532">
        <f>F14/I14*I15</f>
        <v>-4590.3409236261905</v>
      </c>
      <c r="G15" s="532">
        <f>G14/I14*I15</f>
        <v>93531.036059945502</v>
      </c>
      <c r="H15" s="612">
        <f t="shared" si="0"/>
        <v>819525.29748048563</v>
      </c>
      <c r="I15" s="614">
        <f>SUM(Summary!L73:L75)</f>
        <v>4.7280000000000003E-2</v>
      </c>
      <c r="J15" s="495" t="s">
        <v>1201</v>
      </c>
    </row>
    <row r="16" spans="2:10">
      <c r="B16" s="495" t="s">
        <v>1193</v>
      </c>
      <c r="C16" s="532">
        <f>C14/I14*I16</f>
        <v>3355958.6881101574</v>
      </c>
      <c r="D16" s="532">
        <f>D14/I14*I16</f>
        <v>-264402.17424383509</v>
      </c>
      <c r="E16" s="532">
        <f>E14/I14*I16</f>
        <v>0</v>
      </c>
      <c r="F16" s="532">
        <f>F14/I14*I16</f>
        <v>-19424.579080601005</v>
      </c>
      <c r="G16" s="532">
        <f>G14/I14*I16</f>
        <v>395787.81547270215</v>
      </c>
      <c r="H16" s="612">
        <f>SUM(C16:G16)</f>
        <v>3467919.7502584229</v>
      </c>
      <c r="I16" s="614">
        <f>Summary!L77</f>
        <v>0.200071</v>
      </c>
      <c r="J16" s="495" t="s">
        <v>1201</v>
      </c>
    </row>
    <row r="17" spans="2:12">
      <c r="B17" s="495" t="s">
        <v>1194</v>
      </c>
      <c r="C17" s="532">
        <f>ROUND(C10+C11+C15+C16,-3)</f>
        <v>113884000</v>
      </c>
      <c r="D17" s="532">
        <f>ROUND(D10+D11+D15+D16,-3)</f>
        <v>22512000</v>
      </c>
      <c r="E17" s="532">
        <f t="shared" ref="E17" si="1">ROUND(E10+E11+E15+E16,-3)</f>
        <v>0</v>
      </c>
      <c r="F17" s="532">
        <f>ROUND(F10+F11+F15+F16,-3)</f>
        <v>542000</v>
      </c>
      <c r="G17" s="532">
        <f>ROUND(G10+G11+G15+G16,-3)</f>
        <v>5712000</v>
      </c>
      <c r="H17" s="612">
        <f>SUM(C17:G17)</f>
        <v>142650000</v>
      </c>
    </row>
    <row r="18" spans="2:12">
      <c r="C18" s="532"/>
      <c r="D18" s="532"/>
      <c r="E18" s="532"/>
      <c r="F18" s="532"/>
      <c r="G18" s="532"/>
    </row>
    <row r="19" spans="2:12">
      <c r="B19" s="495" t="s">
        <v>1195</v>
      </c>
      <c r="C19" s="615">
        <f>C12/C17</f>
        <v>0.85270977485862809</v>
      </c>
      <c r="D19" s="615">
        <f>D12/D17</f>
        <v>1.058724235963042</v>
      </c>
      <c r="E19" s="615">
        <v>0</v>
      </c>
      <c r="F19" s="615">
        <f>F12/F17</f>
        <v>1.1789667896678966</v>
      </c>
      <c r="G19" s="615">
        <f>G12/G17</f>
        <v>0.65371148459383754</v>
      </c>
      <c r="H19" s="615">
        <f>H12/H17</f>
        <v>0.8784928145811427</v>
      </c>
    </row>
    <row r="20" spans="2:12">
      <c r="B20" s="495" t="s">
        <v>1196</v>
      </c>
      <c r="C20" s="615">
        <f>C19/H19</f>
        <v>0.97065082457753771</v>
      </c>
      <c r="D20" s="615">
        <f>D19/H19</f>
        <v>1.2051598127957734</v>
      </c>
      <c r="E20" s="615">
        <v>0</v>
      </c>
      <c r="F20" s="615">
        <f>F19/H19</f>
        <v>1.34203350340437</v>
      </c>
      <c r="G20" s="615">
        <f>G19/H19</f>
        <v>0.74412843650351446</v>
      </c>
      <c r="H20" s="616">
        <f>H19/H19</f>
        <v>1</v>
      </c>
    </row>
    <row r="21" spans="2:12">
      <c r="C21" s="532"/>
      <c r="D21" s="532"/>
      <c r="E21" s="532"/>
      <c r="F21" s="532"/>
      <c r="G21" s="532"/>
    </row>
    <row r="22" spans="2:12">
      <c r="B22" s="495" t="s">
        <v>184</v>
      </c>
      <c r="C22" s="532">
        <f>Summary!D58</f>
        <v>13400000</v>
      </c>
      <c r="D22" s="532">
        <f>Summary!E58</f>
        <v>3289000</v>
      </c>
      <c r="E22" s="532">
        <f>Summary!F58</f>
        <v>0</v>
      </c>
      <c r="F22" s="532">
        <f>Summary!G58</f>
        <v>89000</v>
      </c>
      <c r="G22" s="532">
        <f>Summary!H58</f>
        <v>515000</v>
      </c>
      <c r="H22" s="612">
        <f>SUM(C22:G22)</f>
        <v>17293000</v>
      </c>
    </row>
    <row r="23" spans="2:12">
      <c r="C23" s="532"/>
      <c r="D23" s="532"/>
      <c r="E23" s="532"/>
      <c r="F23" s="532"/>
      <c r="G23" s="532"/>
    </row>
    <row r="24" spans="2:12">
      <c r="B24" s="495" t="s">
        <v>1197</v>
      </c>
      <c r="C24" s="532">
        <f>C12+C22</f>
        <v>110510000</v>
      </c>
      <c r="D24" s="532">
        <f>D12+D22</f>
        <v>27123000</v>
      </c>
      <c r="E24" s="532">
        <f>E12+E22</f>
        <v>0</v>
      </c>
      <c r="F24" s="532">
        <f>F12+F22</f>
        <v>728000</v>
      </c>
      <c r="G24" s="532">
        <f>G12+G22</f>
        <v>4249000</v>
      </c>
      <c r="H24" s="612">
        <f>SUM(C24:G24)</f>
        <v>142610000</v>
      </c>
    </row>
    <row r="25" spans="2:12">
      <c r="B25" s="495" t="s">
        <v>1198</v>
      </c>
      <c r="C25" s="532">
        <f>C24-C17</f>
        <v>-3374000</v>
      </c>
      <c r="D25" s="532">
        <f>D24-D17</f>
        <v>4611000</v>
      </c>
      <c r="E25" s="532">
        <f>E24-E17</f>
        <v>0</v>
      </c>
      <c r="F25" s="532">
        <f>F24-F17</f>
        <v>186000</v>
      </c>
      <c r="G25" s="532">
        <f>G24-G17</f>
        <v>-1463000</v>
      </c>
      <c r="H25" s="612">
        <f>SUM(C25:G25)</f>
        <v>-40000</v>
      </c>
      <c r="L25" s="612"/>
    </row>
    <row r="26" spans="2:12">
      <c r="C26" s="532"/>
      <c r="D26" s="532"/>
      <c r="E26" s="532"/>
      <c r="F26" s="532"/>
      <c r="G26" s="532"/>
    </row>
    <row r="27" spans="2:12">
      <c r="B27" s="495" t="s">
        <v>1199</v>
      </c>
      <c r="C27" s="617">
        <f>C24/C17</f>
        <v>0.97037336236872607</v>
      </c>
      <c r="D27" s="617">
        <f>D24/D17</f>
        <v>1.204824093816631</v>
      </c>
      <c r="E27" s="615">
        <v>0</v>
      </c>
      <c r="F27" s="617">
        <f>F24/F17</f>
        <v>1.3431734317343174</v>
      </c>
      <c r="G27" s="617">
        <f>G24/G17</f>
        <v>0.74387254901960786</v>
      </c>
      <c r="H27" s="617">
        <f>(H24)/H17</f>
        <v>0.99971959341044514</v>
      </c>
    </row>
    <row r="28" spans="2:12">
      <c r="B28" s="495" t="s">
        <v>1200</v>
      </c>
      <c r="C28" s="617">
        <f>C27/H27</f>
        <v>0.97064553777363982</v>
      </c>
      <c r="D28" s="617">
        <f>D27/H27</f>
        <v>1.2051620291910976</v>
      </c>
      <c r="E28" s="615">
        <v>0</v>
      </c>
      <c r="F28" s="617">
        <f>F27/H27</f>
        <v>1.3435501720559595</v>
      </c>
      <c r="G28" s="617">
        <f>G27/H27</f>
        <v>0.74408119428965058</v>
      </c>
      <c r="H28" s="617">
        <f>H27/H27</f>
        <v>1</v>
      </c>
    </row>
  </sheetData>
  <pageMargins left="0.7" right="0.7" top="0.75" bottom="0.75" header="0.3" footer="0.3"/>
  <pageSetup scale="9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autoPageBreaks="0" fitToPage="1"/>
  </sheetPr>
  <dimension ref="A1:CS450"/>
  <sheetViews>
    <sheetView topLeftCell="A160" zoomScale="85" zoomScaleNormal="85" workbookViewId="0">
      <selection activeCell="BR179" sqref="BR179"/>
    </sheetView>
  </sheetViews>
  <sheetFormatPr defaultRowHeight="12.75" outlineLevelCol="1"/>
  <cols>
    <col min="1" max="1" width="4.140625" style="50" bestFit="1" customWidth="1"/>
    <col min="2" max="2" width="8" customWidth="1"/>
    <col min="3" max="3" width="5.140625" style="36" customWidth="1"/>
    <col min="4" max="4" width="36.5703125" customWidth="1"/>
    <col min="5" max="5" width="12.7109375" customWidth="1"/>
    <col min="6" max="6" width="23.28515625" style="61" customWidth="1"/>
    <col min="7" max="7" width="22.28515625" style="61" bestFit="1" customWidth="1"/>
    <col min="8" max="14" width="12.7109375" customWidth="1" outlineLevel="1"/>
    <col min="15" max="15" width="0.85546875" customWidth="1" outlineLevel="1"/>
    <col min="16" max="16" width="29.28515625" customWidth="1" outlineLevel="1"/>
    <col min="17" max="17" width="3.7109375" customWidth="1" outlineLevel="1"/>
    <col min="18" max="18" width="12.42578125" bestFit="1" customWidth="1"/>
    <col min="19" max="19" width="9.42578125" customWidth="1"/>
    <col min="20" max="20" width="15.85546875" customWidth="1"/>
    <col min="21" max="21" width="8.7109375" customWidth="1"/>
    <col min="22" max="22" width="7.7109375" customWidth="1"/>
    <col min="23" max="23" width="18.7109375" bestFit="1" customWidth="1"/>
    <col min="24" max="24" width="10.7109375" customWidth="1"/>
    <col min="25" max="25" width="8.28515625" customWidth="1"/>
    <col min="26" max="34" width="7.7109375" customWidth="1"/>
    <col min="35" max="35" width="9.140625" style="36"/>
    <col min="36" max="36" width="1.7109375" customWidth="1"/>
    <col min="37" max="40" width="12.7109375" customWidth="1"/>
    <col min="41" max="41" width="13.85546875" customWidth="1"/>
    <col min="42" max="42" width="1.7109375" customWidth="1"/>
    <col min="43" max="43" width="29.28515625" customWidth="1"/>
    <col min="45" max="50" width="12.7109375" customWidth="1"/>
    <col min="51" max="51" width="12.7109375" hidden="1" customWidth="1"/>
    <col min="53" max="58" width="12.7109375" customWidth="1"/>
    <col min="59" max="59" width="12.7109375" hidden="1" customWidth="1"/>
    <col min="61" max="66" width="12.7109375" customWidth="1"/>
    <col min="67" max="67" width="12.7109375" hidden="1" customWidth="1"/>
    <col min="69" max="69" width="36.5703125" customWidth="1"/>
    <col min="70" max="70" width="12.7109375" style="49" customWidth="1"/>
    <col min="71" max="87" width="7.7109375" customWidth="1"/>
    <col min="88" max="88" width="1.7109375" customWidth="1"/>
    <col min="89" max="89" width="26.28515625" customWidth="1"/>
    <col min="90" max="96" width="12.7109375" customWidth="1"/>
  </cols>
  <sheetData>
    <row r="1" spans="1:96">
      <c r="A1" s="50" t="str">
        <f>ColHdr</f>
        <v>A</v>
      </c>
      <c r="B1" s="50" t="str">
        <f t="shared" ref="B1:BN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405" t="str">
        <f t="shared" si="0"/>
        <v>R</v>
      </c>
      <c r="S1" s="405" t="str">
        <f t="shared" si="0"/>
        <v>S</v>
      </c>
      <c r="T1" s="405" t="str">
        <f t="shared" si="0"/>
        <v>T</v>
      </c>
      <c r="U1" s="405" t="str">
        <f t="shared" si="0"/>
        <v>U</v>
      </c>
      <c r="V1" s="405" t="str">
        <f t="shared" si="0"/>
        <v>V</v>
      </c>
      <c r="W1" s="405" t="str">
        <f t="shared" si="0"/>
        <v>W</v>
      </c>
      <c r="X1" s="405" t="str">
        <f t="shared" si="0"/>
        <v>X</v>
      </c>
      <c r="Y1" s="405" t="str">
        <f t="shared" si="0"/>
        <v>Y</v>
      </c>
      <c r="Z1" s="405" t="str">
        <f t="shared" si="0"/>
        <v>Z</v>
      </c>
      <c r="AA1" s="405" t="str">
        <f t="shared" si="0"/>
        <v>AA</v>
      </c>
      <c r="AB1" s="405" t="str">
        <f t="shared" si="0"/>
        <v>AB</v>
      </c>
      <c r="AC1" s="405" t="str">
        <f t="shared" si="0"/>
        <v>AC</v>
      </c>
      <c r="AD1" s="405" t="str">
        <f t="shared" si="0"/>
        <v>AD</v>
      </c>
      <c r="AE1" s="405" t="str">
        <f t="shared" si="0"/>
        <v>AE</v>
      </c>
      <c r="AF1" s="405" t="str">
        <f t="shared" si="0"/>
        <v>AF</v>
      </c>
      <c r="AG1" s="405" t="str">
        <f t="shared" si="0"/>
        <v>AG</v>
      </c>
      <c r="AH1" s="405" t="str">
        <f t="shared" si="0"/>
        <v>AH</v>
      </c>
      <c r="AI1" s="50" t="str">
        <f t="shared" si="0"/>
        <v>AI</v>
      </c>
      <c r="AJ1" s="50" t="str">
        <f t="shared" si="0"/>
        <v>AJ</v>
      </c>
      <c r="AK1" s="50" t="str">
        <f t="shared" si="0"/>
        <v>AK</v>
      </c>
      <c r="AL1" s="50" t="str">
        <f t="shared" si="0"/>
        <v>AL</v>
      </c>
      <c r="AM1" s="50" t="str">
        <f t="shared" si="0"/>
        <v>AM</v>
      </c>
      <c r="AN1" s="50" t="str">
        <f t="shared" si="0"/>
        <v>AN</v>
      </c>
      <c r="AO1" s="50" t="str">
        <f t="shared" si="0"/>
        <v>AO</v>
      </c>
      <c r="AP1" s="50" t="str">
        <f t="shared" si="0"/>
        <v>AP</v>
      </c>
      <c r="AQ1" s="50" t="str">
        <f t="shared" si="0"/>
        <v>AQ</v>
      </c>
      <c r="AR1" s="50" t="str">
        <f t="shared" si="0"/>
        <v>AR</v>
      </c>
      <c r="AS1" s="50" t="str">
        <f t="shared" si="0"/>
        <v>AS</v>
      </c>
      <c r="AT1" s="50" t="str">
        <f t="shared" si="0"/>
        <v>AT</v>
      </c>
      <c r="AU1" s="50" t="str">
        <f t="shared" si="0"/>
        <v>AU</v>
      </c>
      <c r="AV1" s="50" t="str">
        <f t="shared" si="0"/>
        <v>AV</v>
      </c>
      <c r="AW1" s="50" t="str">
        <f t="shared" si="0"/>
        <v>AW</v>
      </c>
      <c r="AX1" s="50" t="str">
        <f t="shared" si="0"/>
        <v>AX</v>
      </c>
      <c r="AY1" s="50" t="str">
        <f t="shared" si="0"/>
        <v>AY</v>
      </c>
      <c r="AZ1" s="50" t="str">
        <f t="shared" si="0"/>
        <v>AZ</v>
      </c>
      <c r="BA1" s="50" t="str">
        <f t="shared" si="0"/>
        <v>BA</v>
      </c>
      <c r="BB1" s="50" t="str">
        <f t="shared" si="0"/>
        <v>BB</v>
      </c>
      <c r="BC1" s="50" t="str">
        <f t="shared" si="0"/>
        <v>BC</v>
      </c>
      <c r="BD1" s="50" t="str">
        <f t="shared" si="0"/>
        <v>BD</v>
      </c>
      <c r="BE1" s="50" t="str">
        <f t="shared" si="0"/>
        <v>BE</v>
      </c>
      <c r="BF1" s="50" t="str">
        <f t="shared" si="0"/>
        <v>BF</v>
      </c>
      <c r="BG1" s="50" t="str">
        <f t="shared" si="0"/>
        <v>BG</v>
      </c>
      <c r="BH1" s="50" t="str">
        <f t="shared" si="0"/>
        <v>BH</v>
      </c>
      <c r="BI1" s="50" t="str">
        <f t="shared" si="0"/>
        <v>BI</v>
      </c>
      <c r="BJ1" s="50" t="str">
        <f t="shared" si="0"/>
        <v>BJ</v>
      </c>
      <c r="BK1" s="50" t="str">
        <f t="shared" si="0"/>
        <v>BK</v>
      </c>
      <c r="BL1" s="50" t="str">
        <f t="shared" si="0"/>
        <v>BL</v>
      </c>
      <c r="BM1" s="50" t="str">
        <f t="shared" si="0"/>
        <v>BM</v>
      </c>
      <c r="BN1" s="50" t="str">
        <f t="shared" si="0"/>
        <v>BN</v>
      </c>
      <c r="BO1" s="50" t="str">
        <f t="shared" ref="BO1:CR1" si="1">ColHdr</f>
        <v>BO</v>
      </c>
      <c r="BP1" s="50" t="str">
        <f t="shared" si="1"/>
        <v>BP</v>
      </c>
      <c r="BQ1" s="50" t="str">
        <f t="shared" si="1"/>
        <v>BQ</v>
      </c>
      <c r="BR1" s="130" t="str">
        <f t="shared" si="1"/>
        <v>BR</v>
      </c>
      <c r="BS1" s="50" t="str">
        <f t="shared" si="1"/>
        <v>BS</v>
      </c>
      <c r="BT1" s="50" t="str">
        <f t="shared" si="1"/>
        <v>BT</v>
      </c>
      <c r="BU1" s="50" t="str">
        <f t="shared" si="1"/>
        <v>BU</v>
      </c>
      <c r="BV1" s="50" t="str">
        <f t="shared" si="1"/>
        <v>BV</v>
      </c>
      <c r="BW1" s="50" t="str">
        <f t="shared" si="1"/>
        <v>BW</v>
      </c>
      <c r="BX1" s="50" t="str">
        <f t="shared" si="1"/>
        <v>BX</v>
      </c>
      <c r="BY1" s="50" t="str">
        <f t="shared" si="1"/>
        <v>BY</v>
      </c>
      <c r="BZ1" s="50" t="str">
        <f t="shared" si="1"/>
        <v>BZ</v>
      </c>
      <c r="CA1" s="50" t="str">
        <f t="shared" si="1"/>
        <v>CA</v>
      </c>
      <c r="CB1" s="50" t="str">
        <f t="shared" si="1"/>
        <v>CB</v>
      </c>
      <c r="CC1" s="50" t="str">
        <f t="shared" si="1"/>
        <v>CC</v>
      </c>
      <c r="CD1" s="50" t="str">
        <f t="shared" si="1"/>
        <v>CD</v>
      </c>
      <c r="CE1" s="50" t="str">
        <f t="shared" si="1"/>
        <v>CE</v>
      </c>
      <c r="CF1" s="50" t="str">
        <f t="shared" si="1"/>
        <v>CF</v>
      </c>
      <c r="CG1" s="50" t="str">
        <f t="shared" si="1"/>
        <v>CG</v>
      </c>
      <c r="CH1" s="50" t="str">
        <f t="shared" si="1"/>
        <v>CH</v>
      </c>
      <c r="CI1" s="50" t="str">
        <f t="shared" si="1"/>
        <v>CI</v>
      </c>
      <c r="CJ1" s="50" t="str">
        <f t="shared" si="1"/>
        <v>CJ</v>
      </c>
      <c r="CK1" s="50" t="str">
        <f t="shared" si="1"/>
        <v>CK</v>
      </c>
      <c r="CL1" s="50" t="str">
        <f t="shared" si="1"/>
        <v>CL</v>
      </c>
      <c r="CM1" s="50" t="str">
        <f t="shared" si="1"/>
        <v>CM</v>
      </c>
      <c r="CN1" s="50" t="str">
        <f t="shared" si="1"/>
        <v>CN</v>
      </c>
      <c r="CO1" s="50" t="str">
        <f t="shared" si="1"/>
        <v>CO</v>
      </c>
      <c r="CP1" s="50" t="str">
        <f t="shared" si="1"/>
        <v>CP</v>
      </c>
      <c r="CQ1" s="50" t="str">
        <f t="shared" si="1"/>
        <v>CQ</v>
      </c>
      <c r="CR1" s="50" t="str">
        <f t="shared" si="1"/>
        <v>CR</v>
      </c>
    </row>
    <row r="2" spans="1:96">
      <c r="A2" s="50">
        <f t="shared" ref="A2:A66" si="2">RowHdr</f>
        <v>2</v>
      </c>
      <c r="E2" s="2"/>
      <c r="F2" s="60"/>
      <c r="G2" s="6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</row>
    <row r="3" spans="1:96">
      <c r="A3" s="50">
        <f t="shared" si="2"/>
        <v>3</v>
      </c>
      <c r="E3" s="36" t="s">
        <v>704</v>
      </c>
      <c r="F3" s="60"/>
      <c r="G3" s="60"/>
      <c r="R3" s="403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S3" t="s">
        <v>463</v>
      </c>
      <c r="BA3" t="s">
        <v>111</v>
      </c>
      <c r="BI3" t="s">
        <v>121</v>
      </c>
      <c r="CM3" s="36" t="s">
        <v>704</v>
      </c>
    </row>
    <row r="4" spans="1:96">
      <c r="A4" s="50">
        <f t="shared" si="2"/>
        <v>4</v>
      </c>
      <c r="E4" s="58" t="s">
        <v>986</v>
      </c>
      <c r="F4" s="60"/>
      <c r="G4" s="60"/>
      <c r="I4">
        <f>MATCH(I5,Factors!$C$58:$C$64,0)</f>
        <v>1</v>
      </c>
      <c r="J4">
        <f>MATCH(J5,Factors!$C$58:$C$64,0)</f>
        <v>2</v>
      </c>
      <c r="K4">
        <f>MATCH(K5,Factors!$C$58:$C$64,0)</f>
        <v>3</v>
      </c>
      <c r="L4">
        <f>MATCH(L5,Factors!$C$58:$C$64,0)</f>
        <v>4</v>
      </c>
      <c r="M4">
        <f>MATCH(M5,Factors!$C$58:$C$64,0)</f>
        <v>5</v>
      </c>
      <c r="N4">
        <f>MATCH(N5,Factors!$C$58:$C$64,0)</f>
        <v>6</v>
      </c>
      <c r="R4" s="400" t="s">
        <v>463</v>
      </c>
      <c r="S4" s="400" t="s">
        <v>463</v>
      </c>
      <c r="T4" s="400" t="s">
        <v>463</v>
      </c>
      <c r="U4" s="400" t="s">
        <v>463</v>
      </c>
      <c r="V4" s="400" t="s">
        <v>463</v>
      </c>
      <c r="W4" s="400" t="s">
        <v>111</v>
      </c>
      <c r="X4" s="400" t="s">
        <v>111</v>
      </c>
      <c r="Y4" s="400" t="s">
        <v>111</v>
      </c>
      <c r="Z4" s="400" t="s">
        <v>111</v>
      </c>
      <c r="AA4" s="400" t="s">
        <v>111</v>
      </c>
      <c r="AB4" s="400" t="s">
        <v>121</v>
      </c>
      <c r="AC4" s="400" t="s">
        <v>121</v>
      </c>
      <c r="AD4" s="400" t="s">
        <v>121</v>
      </c>
      <c r="AE4" s="400" t="s">
        <v>121</v>
      </c>
      <c r="AF4" s="400" t="s">
        <v>121</v>
      </c>
      <c r="AG4" s="400" t="s">
        <v>121</v>
      </c>
      <c r="AH4" s="400" t="s">
        <v>122</v>
      </c>
      <c r="AT4">
        <f>MATCH(AT5,Factors!$C$58:$C$64,0)</f>
        <v>1</v>
      </c>
      <c r="AU4">
        <f>MATCH(AU5,Factors!$C$58:$C$64,0)</f>
        <v>2</v>
      </c>
      <c r="AV4">
        <f>MATCH(AV5,Factors!$C$58:$C$64,0)</f>
        <v>3</v>
      </c>
      <c r="AW4">
        <f>MATCH(AW5,Factors!$C$58:$C$64,0)</f>
        <v>4</v>
      </c>
      <c r="AX4">
        <f>MATCH(AX5,Factors!$C$58:$C$64,0)</f>
        <v>5</v>
      </c>
      <c r="AY4">
        <f>MATCH(AY5,Factors!$C$58:$C$64,0)</f>
        <v>6</v>
      </c>
      <c r="BB4">
        <f>MATCH(BB5,Factors!$C$58:$C$64,0)</f>
        <v>1</v>
      </c>
      <c r="BC4">
        <f>MATCH(BC5,Factors!$C$58:$C$64,0)</f>
        <v>2</v>
      </c>
      <c r="BD4">
        <f>MATCH(BD5,Factors!$C$58:$C$64,0)</f>
        <v>3</v>
      </c>
      <c r="BE4">
        <f>MATCH(BE5,Factors!$C$58:$C$64,0)</f>
        <v>4</v>
      </c>
      <c r="BF4">
        <f>MATCH(BF5,Factors!$C$58:$C$64,0)</f>
        <v>5</v>
      </c>
      <c r="BG4">
        <f>MATCH(BG5,Factors!$C$58:$C$64,0)</f>
        <v>6</v>
      </c>
      <c r="BJ4">
        <f>MATCH(BJ5,Factors!$C$58:$C$64,0)</f>
        <v>1</v>
      </c>
      <c r="BK4">
        <f>MATCH(BK5,Factors!$C$58:$C$64,0)</f>
        <v>2</v>
      </c>
      <c r="BL4">
        <f>MATCH(BL5,Factors!$C$58:$C$64,0)</f>
        <v>3</v>
      </c>
      <c r="BM4">
        <f>MATCH(BM5,Factors!$C$58:$C$64,0)</f>
        <v>4</v>
      </c>
      <c r="BN4">
        <f>MATCH(BN5,Factors!$C$58:$C$64,0)</f>
        <v>5</v>
      </c>
      <c r="BO4">
        <f>MATCH(BO5,Factors!$C$58:$C$64,0)</f>
        <v>6</v>
      </c>
      <c r="BR4" s="443" t="s">
        <v>3</v>
      </c>
      <c r="CM4" s="58" t="s">
        <v>986</v>
      </c>
    </row>
    <row r="5" spans="1:96">
      <c r="A5" s="50">
        <f t="shared" si="2"/>
        <v>5</v>
      </c>
      <c r="B5" t="s">
        <v>218</v>
      </c>
      <c r="C5" s="36" t="s">
        <v>152</v>
      </c>
      <c r="D5" t="s">
        <v>4</v>
      </c>
      <c r="E5" s="58" t="s">
        <v>5</v>
      </c>
      <c r="F5" s="60" t="s">
        <v>216</v>
      </c>
      <c r="G5" s="60" t="s">
        <v>123</v>
      </c>
      <c r="H5" s="26" t="s">
        <v>120</v>
      </c>
      <c r="I5" s="26" t="s">
        <v>397</v>
      </c>
      <c r="J5" s="26" t="s">
        <v>398</v>
      </c>
      <c r="K5" s="26" t="s">
        <v>399</v>
      </c>
      <c r="L5" s="26" t="s">
        <v>400</v>
      </c>
      <c r="M5" s="26" t="s">
        <v>401</v>
      </c>
      <c r="N5" s="26" t="s">
        <v>281</v>
      </c>
      <c r="O5" s="26"/>
      <c r="P5" s="64" t="s">
        <v>229</v>
      </c>
      <c r="Q5" s="64"/>
      <c r="R5" s="400" t="s">
        <v>352</v>
      </c>
      <c r="S5" s="400" t="s">
        <v>405</v>
      </c>
      <c r="T5" s="406" t="s">
        <v>407</v>
      </c>
      <c r="U5" s="406" t="s">
        <v>428</v>
      </c>
      <c r="V5" s="406" t="s">
        <v>430</v>
      </c>
      <c r="W5" s="400" t="s">
        <v>409</v>
      </c>
      <c r="X5" s="400" t="s">
        <v>408</v>
      </c>
      <c r="Y5" s="400" t="s">
        <v>426</v>
      </c>
      <c r="Z5" s="400" t="s">
        <v>423</v>
      </c>
      <c r="AA5" s="400" t="s">
        <v>411</v>
      </c>
      <c r="AB5" s="400" t="s">
        <v>354</v>
      </c>
      <c r="AC5" s="400" t="s">
        <v>412</v>
      </c>
      <c r="AD5" s="400" t="s">
        <v>413</v>
      </c>
      <c r="AE5" s="400" t="s">
        <v>996</v>
      </c>
      <c r="AF5" s="400" t="s">
        <v>416</v>
      </c>
      <c r="AG5" s="400" t="s">
        <v>423</v>
      </c>
      <c r="AH5" s="400" t="s">
        <v>350</v>
      </c>
      <c r="AK5" s="26" t="s">
        <v>120</v>
      </c>
      <c r="AL5" s="26" t="s">
        <v>464</v>
      </c>
      <c r="AM5" s="26" t="s">
        <v>157</v>
      </c>
      <c r="AN5" s="26" t="s">
        <v>158</v>
      </c>
      <c r="AO5" s="26" t="s">
        <v>159</v>
      </c>
      <c r="AP5" s="26"/>
      <c r="AQ5" s="64" t="s">
        <v>229</v>
      </c>
      <c r="AS5" s="26" t="s">
        <v>120</v>
      </c>
      <c r="AT5" s="26" t="s">
        <v>397</v>
      </c>
      <c r="AU5" s="26" t="s">
        <v>398</v>
      </c>
      <c r="AV5" s="26" t="s">
        <v>399</v>
      </c>
      <c r="AW5" s="26" t="s">
        <v>400</v>
      </c>
      <c r="AX5" s="26" t="s">
        <v>401</v>
      </c>
      <c r="AY5" s="26" t="s">
        <v>281</v>
      </c>
      <c r="BA5" s="26" t="s">
        <v>120</v>
      </c>
      <c r="BB5" s="26" t="s">
        <v>397</v>
      </c>
      <c r="BC5" s="26" t="s">
        <v>398</v>
      </c>
      <c r="BD5" s="26" t="s">
        <v>399</v>
      </c>
      <c r="BE5" s="26" t="s">
        <v>400</v>
      </c>
      <c r="BF5" s="26" t="s">
        <v>401</v>
      </c>
      <c r="BG5" s="26" t="s">
        <v>281</v>
      </c>
      <c r="BI5" s="26" t="s">
        <v>120</v>
      </c>
      <c r="BJ5" s="26" t="s">
        <v>397</v>
      </c>
      <c r="BK5" s="26" t="s">
        <v>398</v>
      </c>
      <c r="BL5" s="26" t="s">
        <v>399</v>
      </c>
      <c r="BM5" s="26" t="s">
        <v>400</v>
      </c>
      <c r="BN5" s="26" t="s">
        <v>401</v>
      </c>
      <c r="BO5" s="26" t="s">
        <v>281</v>
      </c>
      <c r="BR5" s="443" t="s">
        <v>570</v>
      </c>
      <c r="CL5" s="26"/>
      <c r="CM5" s="36" t="s">
        <v>570</v>
      </c>
    </row>
    <row r="6" spans="1:96">
      <c r="A6" s="50">
        <f t="shared" si="2"/>
        <v>6</v>
      </c>
      <c r="E6" s="2"/>
      <c r="F6" s="60"/>
      <c r="G6" s="60"/>
      <c r="P6" s="61"/>
      <c r="Q6" s="61"/>
      <c r="R6" s="25" t="s">
        <v>396</v>
      </c>
      <c r="S6" s="25" t="s">
        <v>404</v>
      </c>
      <c r="T6" s="25" t="s">
        <v>406</v>
      </c>
      <c r="U6" s="25" t="s">
        <v>424</v>
      </c>
      <c r="V6" s="25" t="s">
        <v>429</v>
      </c>
      <c r="W6" s="25" t="s">
        <v>125</v>
      </c>
      <c r="X6" s="25" t="s">
        <v>112</v>
      </c>
      <c r="Y6" s="25" t="s">
        <v>427</v>
      </c>
      <c r="Z6" s="25" t="s">
        <v>126</v>
      </c>
      <c r="AA6" s="25" t="s">
        <v>127</v>
      </c>
      <c r="AB6" s="25" t="s">
        <v>114</v>
      </c>
      <c r="AC6" s="25" t="s">
        <v>128</v>
      </c>
      <c r="AD6" s="25" t="s">
        <v>129</v>
      </c>
      <c r="AE6" s="25" t="s">
        <v>130</v>
      </c>
      <c r="AF6" s="25" t="s">
        <v>131</v>
      </c>
      <c r="AG6" s="25" t="s">
        <v>422</v>
      </c>
      <c r="AH6" s="25" t="s">
        <v>113</v>
      </c>
      <c r="AQ6" s="61"/>
      <c r="BR6" s="443" t="s">
        <v>571</v>
      </c>
      <c r="CM6" s="36" t="s">
        <v>571</v>
      </c>
    </row>
    <row r="7" spans="1:96">
      <c r="A7" s="50">
        <f t="shared" si="2"/>
        <v>7</v>
      </c>
      <c r="C7" s="10"/>
      <c r="D7" s="1" t="s">
        <v>83</v>
      </c>
      <c r="E7" s="9"/>
      <c r="F7" s="60"/>
      <c r="G7" s="60"/>
      <c r="P7" s="61"/>
      <c r="Q7" s="6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76">
        <f t="shared" ref="AI7:AI39" si="3">IF(SUM(R7:AH7)&lt;&gt;0,(ROUND(SUM(R7:AH7),8)&lt;&gt;1)+0,0)</f>
        <v>0</v>
      </c>
      <c r="AQ7" s="61"/>
    </row>
    <row r="8" spans="1:96">
      <c r="A8" s="50">
        <f t="shared" si="2"/>
        <v>8</v>
      </c>
      <c r="C8" s="34"/>
      <c r="D8" s="1" t="s">
        <v>84</v>
      </c>
      <c r="E8" s="2"/>
      <c r="F8" s="60"/>
      <c r="G8" s="60"/>
      <c r="P8" s="61"/>
      <c r="Q8" s="61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76">
        <f t="shared" si="3"/>
        <v>0</v>
      </c>
      <c r="AQ8" s="61"/>
    </row>
    <row r="9" spans="1:96">
      <c r="A9" s="50">
        <f t="shared" si="2"/>
        <v>9</v>
      </c>
      <c r="D9" t="s">
        <v>85</v>
      </c>
      <c r="E9" s="2"/>
      <c r="F9" s="60"/>
      <c r="G9" s="60"/>
      <c r="P9" s="61"/>
      <c r="Q9" s="61"/>
      <c r="AI9" s="76">
        <f t="shared" si="3"/>
        <v>0</v>
      </c>
      <c r="AQ9" s="61"/>
    </row>
    <row r="10" spans="1:96">
      <c r="A10" s="50">
        <f t="shared" si="2"/>
        <v>10</v>
      </c>
      <c r="B10" s="51">
        <v>303</v>
      </c>
      <c r="C10" s="36" t="s">
        <v>154</v>
      </c>
      <c r="D10" s="28" t="s">
        <v>277</v>
      </c>
      <c r="E10" s="373">
        <f>PROFORMA!AY250</f>
        <v>1979000</v>
      </c>
      <c r="F10" s="61" t="str">
        <f>"as Distrib Plant ("&amp;A$41&amp;")"</f>
        <v>as Distrib Plant (41)</v>
      </c>
      <c r="G10" s="60"/>
      <c r="H10" s="2">
        <f>SUM(I10:N10)</f>
        <v>1979000.0000000005</v>
      </c>
      <c r="I10" s="2">
        <f>$E10*SUMPRODUCT($R10:$AH10,INDEX(AllocFactors,I$4,0))</f>
        <v>1485497.1321003232</v>
      </c>
      <c r="J10" s="2">
        <f t="shared" ref="J10:N12" si="4">$E10*SUMPRODUCT($R10:$AH10,INDEX(AllocFactors,J$4,0))</f>
        <v>379949.08392838226</v>
      </c>
      <c r="K10" s="2">
        <f t="shared" si="4"/>
        <v>0</v>
      </c>
      <c r="L10" s="2">
        <f t="shared" si="4"/>
        <v>9378.6312425235919</v>
      </c>
      <c r="M10" s="2">
        <f>$E10*SUMPRODUCT($R10:$AH10,INDEX(AllocFactors,M$4,0))</f>
        <v>104175.15272877128</v>
      </c>
      <c r="N10" s="2">
        <f t="shared" si="4"/>
        <v>0</v>
      </c>
      <c r="O10" s="2"/>
      <c r="P10" s="61" t="str">
        <f>E$1&amp;$A10&amp;"* Sum["&amp;$R$1&amp;$A10&amp;":"&amp;$AH$1&amp;$A10&amp;"* "&amp;Factors!D$1&amp;Factors!$A$58&amp;":"&amp;Factors!S$1&amp;Factors!$A$64&amp;"]"</f>
        <v>E10* Sum[R10:AH10* D1042:S1048]</v>
      </c>
      <c r="Q10" s="61"/>
      <c r="R10" s="14">
        <f>R$41</f>
        <v>0.1933876764871075</v>
      </c>
      <c r="S10" s="14">
        <f t="shared" ref="S10:AH10" si="5">S$41</f>
        <v>0</v>
      </c>
      <c r="T10" s="14">
        <f t="shared" si="5"/>
        <v>0</v>
      </c>
      <c r="U10" s="14">
        <f t="shared" si="5"/>
        <v>0</v>
      </c>
      <c r="V10" s="14">
        <f t="shared" si="5"/>
        <v>0</v>
      </c>
      <c r="W10" s="14">
        <f t="shared" si="5"/>
        <v>0.31084546333511004</v>
      </c>
      <c r="X10" s="14">
        <f t="shared" si="5"/>
        <v>0</v>
      </c>
      <c r="Y10" s="14">
        <f t="shared" si="5"/>
        <v>0</v>
      </c>
      <c r="Z10" s="14">
        <f t="shared" si="5"/>
        <v>0</v>
      </c>
      <c r="AA10" s="14">
        <f t="shared" si="5"/>
        <v>0</v>
      </c>
      <c r="AB10" s="14">
        <f t="shared" si="5"/>
        <v>0</v>
      </c>
      <c r="AC10" s="14">
        <f t="shared" si="5"/>
        <v>0.35888972828992466</v>
      </c>
      <c r="AD10" s="14">
        <f t="shared" si="5"/>
        <v>0.13220566312906262</v>
      </c>
      <c r="AE10" s="14">
        <f t="shared" si="5"/>
        <v>0</v>
      </c>
      <c r="AF10" s="14">
        <f t="shared" si="5"/>
        <v>4.6714687587951949E-3</v>
      </c>
      <c r="AG10" s="14">
        <f t="shared" si="5"/>
        <v>0</v>
      </c>
      <c r="AH10" s="14">
        <f t="shared" si="5"/>
        <v>0</v>
      </c>
      <c r="AI10" s="76">
        <f t="shared" si="3"/>
        <v>0</v>
      </c>
      <c r="AK10" s="2">
        <f>SUM(AL10:AO10)</f>
        <v>1979000</v>
      </c>
      <c r="AL10" s="2">
        <f t="shared" ref="AL10:AO12" si="6">SUMIF($R$4:$AH$4,AL$5,$R10:$AH10)*$E10</f>
        <v>382714.21176798572</v>
      </c>
      <c r="AM10" s="2">
        <f t="shared" si="6"/>
        <v>615163.1719401828</v>
      </c>
      <c r="AN10" s="2">
        <f t="shared" si="6"/>
        <v>981122.6162918316</v>
      </c>
      <c r="AO10" s="2">
        <f t="shared" si="6"/>
        <v>0</v>
      </c>
      <c r="AP10" s="2"/>
      <c r="AQ10" s="61" t="str">
        <f>E$1&amp;$A10&amp;"*["&amp;R$1&amp;$A10&amp;":"&amp;$AH$1&amp;$A10&amp;" when "&amp;R$1&amp;$A$4&amp;":"&amp;$AH$1&amp;$A$4&amp;" = E,D,C,or R]"</f>
        <v>E10*[R10:AH10 when R4:AH4 = E,D,C,or R]</v>
      </c>
      <c r="AS10" s="2">
        <f>SUM(AT10:AY10)</f>
        <v>382714.21176798583</v>
      </c>
      <c r="AT10" s="2">
        <f t="shared" ref="AT10:AY12" si="7">$E10*SUMPRODUCT($R10:$V10,INDEX(AllocFactors_E,AT$4,0))</f>
        <v>219845.79070794414</v>
      </c>
      <c r="AU10" s="2">
        <f t="shared" si="7"/>
        <v>106518.61289143961</v>
      </c>
      <c r="AV10" s="2">
        <f t="shared" si="7"/>
        <v>0</v>
      </c>
      <c r="AW10" s="2">
        <f t="shared" si="7"/>
        <v>4349.6405253169796</v>
      </c>
      <c r="AX10" s="2">
        <f t="shared" si="7"/>
        <v>52000.167643285051</v>
      </c>
      <c r="AY10" s="2">
        <f t="shared" si="7"/>
        <v>0</v>
      </c>
      <c r="BA10" s="2">
        <f>SUM(BB10:BG10)</f>
        <v>615163.17194018268</v>
      </c>
      <c r="BB10" s="2">
        <f t="shared" ref="BB10:BG12" si="8">$E10*SUMPRODUCT($W10:$AA10,INDEX(AllocFactors_D,BB$4,0))</f>
        <v>347783.40423561423</v>
      </c>
      <c r="BC10" s="2">
        <f t="shared" si="8"/>
        <v>214635.14519223679</v>
      </c>
      <c r="BD10" s="2">
        <f t="shared" si="8"/>
        <v>0</v>
      </c>
      <c r="BE10" s="2">
        <f t="shared" si="8"/>
        <v>4624.6736778525228</v>
      </c>
      <c r="BF10" s="2">
        <f t="shared" si="8"/>
        <v>48119.948834479168</v>
      </c>
      <c r="BG10" s="2">
        <f t="shared" si="8"/>
        <v>0</v>
      </c>
      <c r="BI10" s="2">
        <f>SUM(BJ10:BO10)</f>
        <v>981122.6162918316</v>
      </c>
      <c r="BJ10" s="2">
        <f t="shared" ref="BJ10:BO12" si="9">$E10*SUMPRODUCT($AB10:$AG10,INDEX(AllocFactors_C,BJ$4,0))</f>
        <v>917867.93715676456</v>
      </c>
      <c r="BK10" s="2">
        <f t="shared" si="9"/>
        <v>58795.325844705832</v>
      </c>
      <c r="BL10" s="2">
        <f t="shared" si="9"/>
        <v>0</v>
      </c>
      <c r="BM10" s="2">
        <f t="shared" si="9"/>
        <v>404.31703935408962</v>
      </c>
      <c r="BN10" s="2">
        <f t="shared" si="9"/>
        <v>4055.0362510070763</v>
      </c>
      <c r="BO10" s="2">
        <f t="shared" si="9"/>
        <v>0</v>
      </c>
    </row>
    <row r="11" spans="1:96">
      <c r="A11" s="50">
        <f t="shared" si="2"/>
        <v>11</v>
      </c>
      <c r="B11" s="51">
        <v>303.10000000000002</v>
      </c>
      <c r="C11" s="36" t="s">
        <v>151</v>
      </c>
      <c r="D11" s="28" t="s">
        <v>86</v>
      </c>
      <c r="E11" s="373">
        <f>PROFORMA!AY251</f>
        <v>43063000</v>
      </c>
      <c r="F11" s="61" t="s">
        <v>996</v>
      </c>
      <c r="G11" s="60"/>
      <c r="H11" s="2">
        <f>SUM(I11:N11)</f>
        <v>43063000.000000007</v>
      </c>
      <c r="I11" s="2">
        <f>$E11*SUMPRODUCT($R11:$AH11,INDEX(AllocFactors,I$4,0))</f>
        <v>36247038.631907783</v>
      </c>
      <c r="J11" s="2">
        <f t="shared" si="4"/>
        <v>5500658.2625386762</v>
      </c>
      <c r="K11" s="2">
        <f t="shared" si="4"/>
        <v>0</v>
      </c>
      <c r="L11" s="2">
        <f t="shared" si="4"/>
        <v>132744.12540877445</v>
      </c>
      <c r="M11" s="2">
        <f t="shared" si="4"/>
        <v>1182558.9801447673</v>
      </c>
      <c r="N11" s="2">
        <f t="shared" si="4"/>
        <v>0</v>
      </c>
      <c r="O11" s="2"/>
      <c r="P11" s="61" t="s">
        <v>997</v>
      </c>
      <c r="Q11" s="61"/>
      <c r="R11" s="14">
        <f>(R$116*0.25)+(R$255*0.25)+(BS$254*0.25)</f>
        <v>9.9370957155623774E-2</v>
      </c>
      <c r="S11" s="14">
        <f>(S$116*0.25)+(S$255*0.25)+(BT$254*0.25)</f>
        <v>1.5218388550417537E-2</v>
      </c>
      <c r="T11" s="14">
        <f>(T$116*0.25)+(T$255*0.25)+(BU$254*0.25)</f>
        <v>8.699877677308605E-3</v>
      </c>
      <c r="U11" s="14">
        <f t="shared" ref="U11:AH11" si="10">(U$116*0.25)+(U$255*0.25)+(BV$254*0.25)</f>
        <v>5.822225830198835E-2</v>
      </c>
      <c r="V11" s="14">
        <f t="shared" si="10"/>
        <v>0</v>
      </c>
      <c r="W11" s="14">
        <f t="shared" si="10"/>
        <v>0.15327818313927072</v>
      </c>
      <c r="X11" s="14">
        <f t="shared" si="10"/>
        <v>0</v>
      </c>
      <c r="Y11" s="14">
        <f t="shared" si="10"/>
        <v>0</v>
      </c>
      <c r="Z11" s="14">
        <f t="shared" si="10"/>
        <v>0</v>
      </c>
      <c r="AA11" s="14">
        <f t="shared" si="10"/>
        <v>0</v>
      </c>
      <c r="AB11" s="14">
        <f>(AB$116*0.25)+(AB$255*0.25)+(CC$254*0.25)+0.25</f>
        <v>0.41313387731559803</v>
      </c>
      <c r="AC11" s="14">
        <f t="shared" si="10"/>
        <v>0.17108548237195526</v>
      </c>
      <c r="AD11" s="14">
        <f t="shared" si="10"/>
        <v>7.9473703927617212E-2</v>
      </c>
      <c r="AE11" s="14">
        <f t="shared" si="10"/>
        <v>0</v>
      </c>
      <c r="AF11" s="14">
        <f t="shared" si="10"/>
        <v>1.5172715602204624E-3</v>
      </c>
      <c r="AG11" s="14">
        <f t="shared" si="10"/>
        <v>0</v>
      </c>
      <c r="AH11" s="14">
        <f t="shared" si="10"/>
        <v>-1.4146429571039994E-18</v>
      </c>
      <c r="AI11" s="76">
        <f t="shared" si="3"/>
        <v>0</v>
      </c>
      <c r="AK11" s="2">
        <f>SUM(AL11:AO11)</f>
        <v>43063000</v>
      </c>
      <c r="AL11" s="2">
        <f t="shared" si="6"/>
        <v>7816428.9358157218</v>
      </c>
      <c r="AM11" s="2">
        <f t="shared" si="6"/>
        <v>6600618.4005264146</v>
      </c>
      <c r="AN11" s="2">
        <f t="shared" si="6"/>
        <v>28645952.663657863</v>
      </c>
      <c r="AO11" s="2">
        <f t="shared" si="6"/>
        <v>-6.0918769661769527E-11</v>
      </c>
      <c r="AP11" s="2"/>
      <c r="AQ11" s="61" t="str">
        <f>E$1&amp;$A11&amp;"*      """</f>
        <v>E11*      "</v>
      </c>
      <c r="AS11" s="2">
        <f>SUM(AT11:AY11)</f>
        <v>7816428.9358157227</v>
      </c>
      <c r="AT11" s="2">
        <f t="shared" si="7"/>
        <v>4951281.4363165842</v>
      </c>
      <c r="AU11" s="2">
        <f t="shared" si="7"/>
        <v>2169386.6152733993</v>
      </c>
      <c r="AV11" s="2">
        <f t="shared" si="7"/>
        <v>0</v>
      </c>
      <c r="AW11" s="2">
        <f t="shared" si="7"/>
        <v>78147.160177644662</v>
      </c>
      <c r="AX11" s="2">
        <f t="shared" si="7"/>
        <v>617613.72404809517</v>
      </c>
      <c r="AY11" s="2">
        <f t="shared" si="7"/>
        <v>0</v>
      </c>
      <c r="BA11" s="2">
        <f>SUM(BB11:BG11)</f>
        <v>6600618.4005264137</v>
      </c>
      <c r="BB11" s="2">
        <f t="shared" si="8"/>
        <v>3731669.3230434959</v>
      </c>
      <c r="BC11" s="2">
        <f t="shared" si="8"/>
        <v>2303006.345921658</v>
      </c>
      <c r="BD11" s="2">
        <f t="shared" si="8"/>
        <v>0</v>
      </c>
      <c r="BE11" s="2">
        <f t="shared" si="8"/>
        <v>49622.128838089469</v>
      </c>
      <c r="BF11" s="2">
        <f t="shared" si="8"/>
        <v>516320.60272317094</v>
      </c>
      <c r="BG11" s="2">
        <f t="shared" si="8"/>
        <v>0</v>
      </c>
      <c r="BI11" s="2">
        <f>SUM(BJ11:BO11)</f>
        <v>28645952.663657863</v>
      </c>
      <c r="BJ11" s="2">
        <f t="shared" si="9"/>
        <v>27564087.872547701</v>
      </c>
      <c r="BK11" s="2">
        <f t="shared" si="9"/>
        <v>1028265.3013436195</v>
      </c>
      <c r="BL11" s="2">
        <f t="shared" si="9"/>
        <v>0</v>
      </c>
      <c r="BM11" s="2">
        <f t="shared" si="9"/>
        <v>4974.8363930402993</v>
      </c>
      <c r="BN11" s="2">
        <f t="shared" si="9"/>
        <v>48624.653373501416</v>
      </c>
      <c r="BO11" s="2">
        <f t="shared" si="9"/>
        <v>0</v>
      </c>
    </row>
    <row r="12" spans="1:96">
      <c r="A12" s="50">
        <v>12</v>
      </c>
      <c r="B12" s="51">
        <v>303.12</v>
      </c>
      <c r="C12" s="38" t="s">
        <v>151</v>
      </c>
      <c r="D12" s="427" t="s">
        <v>1251</v>
      </c>
      <c r="E12" s="373">
        <f>PROFORMA!AY252</f>
        <v>4260000</v>
      </c>
      <c r="F12" s="61" t="s">
        <v>996</v>
      </c>
      <c r="G12" s="60"/>
      <c r="H12" s="2">
        <f>SUM(I12:N12)</f>
        <v>4260000</v>
      </c>
      <c r="I12" s="2">
        <f>$E12*SUMPRODUCT($R12:$AH12,INDEX(AllocFactors,I$4,0))</f>
        <v>3585732.1731399847</v>
      </c>
      <c r="J12" s="2">
        <f t="shared" si="4"/>
        <v>544151.68934850709</v>
      </c>
      <c r="K12" s="2">
        <f t="shared" si="4"/>
        <v>0</v>
      </c>
      <c r="L12" s="2">
        <f t="shared" si="4"/>
        <v>13131.690180465344</v>
      </c>
      <c r="M12" s="2">
        <f t="shared" si="4"/>
        <v>116984.44733104311</v>
      </c>
      <c r="N12" s="2">
        <f t="shared" si="4"/>
        <v>0</v>
      </c>
      <c r="O12" s="2"/>
      <c r="P12" s="61" t="s">
        <v>997</v>
      </c>
      <c r="Q12" s="61"/>
      <c r="R12" s="14">
        <f>(R$116*0.25)+(R$255*0.25)+(BS$254*0.25)</f>
        <v>9.9370957155623774E-2</v>
      </c>
      <c r="S12" s="14">
        <f>(S$116*0.25)+(S$255*0.25)+(BT$254*0.25)</f>
        <v>1.5218388550417537E-2</v>
      </c>
      <c r="T12" s="14">
        <f t="shared" ref="T12" si="11">(T$116*0.25)+(T$255*0.25)+(BU$254*0.25)</f>
        <v>8.699877677308605E-3</v>
      </c>
      <c r="U12" s="14">
        <f t="shared" ref="U12" si="12">(U$116*0.25)+(U$255*0.25)+(BV$254*0.25)</f>
        <v>5.822225830198835E-2</v>
      </c>
      <c r="V12" s="14">
        <f t="shared" ref="V12" si="13">(V$116*0.25)+(V$255*0.25)+(BW$254*0.25)</f>
        <v>0</v>
      </c>
      <c r="W12" s="14">
        <f t="shared" ref="W12" si="14">(W$116*0.25)+(W$255*0.25)+(BX$254*0.25)</f>
        <v>0.15327818313927072</v>
      </c>
      <c r="X12" s="14">
        <f t="shared" ref="X12" si="15">(X$116*0.25)+(X$255*0.25)+(BY$254*0.25)</f>
        <v>0</v>
      </c>
      <c r="Y12" s="14">
        <f t="shared" ref="Y12" si="16">(Y$116*0.25)+(Y$255*0.25)+(BZ$254*0.25)</f>
        <v>0</v>
      </c>
      <c r="Z12" s="14">
        <f t="shared" ref="Z12" si="17">(Z$116*0.25)+(Z$255*0.25)+(CA$254*0.25)</f>
        <v>0</v>
      </c>
      <c r="AA12" s="14">
        <f t="shared" ref="AA12" si="18">(AA$116*0.25)+(AA$255*0.25)+(CB$254*0.25)</f>
        <v>0</v>
      </c>
      <c r="AB12" s="14">
        <f>(AB$116*0.25)+(AB$255*0.25)+(CC$254*0.25)+0.25</f>
        <v>0.41313387731559803</v>
      </c>
      <c r="AC12" s="14">
        <f t="shared" ref="AC12" si="19">(AC$116*0.25)+(AC$255*0.25)+(CD$254*0.25)</f>
        <v>0.17108548237195526</v>
      </c>
      <c r="AD12" s="14">
        <f t="shared" ref="AD12" si="20">(AD$116*0.25)+(AD$255*0.25)+(CE$254*0.25)</f>
        <v>7.9473703927617212E-2</v>
      </c>
      <c r="AE12" s="14">
        <f t="shared" ref="AE12" si="21">(AE$116*0.25)+(AE$255*0.25)+(CF$254*0.25)</f>
        <v>0</v>
      </c>
      <c r="AF12" s="14">
        <f t="shared" ref="AF12" si="22">(AF$116*0.25)+(AF$255*0.25)+(CG$254*0.25)</f>
        <v>1.5172715602204624E-3</v>
      </c>
      <c r="AG12" s="14">
        <f t="shared" ref="AG12" si="23">(AG$116*0.25)+(AG$255*0.25)+(CH$254*0.25)</f>
        <v>0</v>
      </c>
      <c r="AH12" s="14">
        <f t="shared" ref="AH12" si="24">(AH$116*0.25)+(AH$255*0.25)+(CI$254*0.25)</f>
        <v>-1.4146429571039994E-18</v>
      </c>
      <c r="AI12" s="76">
        <f t="shared" ref="AI12" si="25">IF(SUM(R12:AH12)&lt;&gt;0,(ROUND(SUM(R12:AH12),8)&lt;&gt;1)+0,0)</f>
        <v>0</v>
      </c>
      <c r="AK12" s="2">
        <f>SUM(AL12:AO12)</f>
        <v>4260000</v>
      </c>
      <c r="AL12" s="2">
        <f t="shared" si="6"/>
        <v>773238.91197954095</v>
      </c>
      <c r="AM12" s="2">
        <f t="shared" si="6"/>
        <v>652965.06017329323</v>
      </c>
      <c r="AN12" s="2">
        <f t="shared" si="6"/>
        <v>2833796.0278471657</v>
      </c>
      <c r="AO12" s="2">
        <f t="shared" si="6"/>
        <v>-6.0263789972630373E-12</v>
      </c>
      <c r="AP12" s="2"/>
      <c r="AQ12" s="61" t="str">
        <f>E$1&amp;$A12&amp;"*      """</f>
        <v>E12*      "</v>
      </c>
      <c r="AS12" s="2">
        <f>SUM(AT12:AY12)</f>
        <v>773238.91197954118</v>
      </c>
      <c r="AT12" s="2">
        <f t="shared" si="7"/>
        <v>489804.6796254011</v>
      </c>
      <c r="AU12" s="2">
        <f t="shared" si="7"/>
        <v>214606.20442293107</v>
      </c>
      <c r="AV12" s="2">
        <f t="shared" si="7"/>
        <v>0</v>
      </c>
      <c r="AW12" s="2">
        <f t="shared" si="7"/>
        <v>7730.6946185069846</v>
      </c>
      <c r="AX12" s="2">
        <f t="shared" si="7"/>
        <v>61097.33331270198</v>
      </c>
      <c r="AY12" s="2"/>
      <c r="BA12" s="2">
        <f>SUM(BB12:BG12)</f>
        <v>652965.06017329311</v>
      </c>
      <c r="BB12" s="2">
        <f t="shared" si="8"/>
        <v>369154.75735934079</v>
      </c>
      <c r="BC12" s="2">
        <f t="shared" si="8"/>
        <v>227824.51370378892</v>
      </c>
      <c r="BD12" s="2">
        <f t="shared" si="8"/>
        <v>0</v>
      </c>
      <c r="BE12" s="2">
        <f t="shared" si="8"/>
        <v>4908.8607122184039</v>
      </c>
      <c r="BF12" s="2">
        <f t="shared" si="8"/>
        <v>51076.928397945063</v>
      </c>
      <c r="BG12" s="2"/>
      <c r="BI12" s="2">
        <f>SUM(BJ12:BO12)</f>
        <v>2833796.0278471652</v>
      </c>
      <c r="BJ12" s="2">
        <f t="shared" si="9"/>
        <v>2726772.7361552427</v>
      </c>
      <c r="BK12" s="2">
        <f t="shared" si="9"/>
        <v>101720.97122178713</v>
      </c>
      <c r="BL12" s="2">
        <f t="shared" si="9"/>
        <v>0</v>
      </c>
      <c r="BM12" s="2">
        <f t="shared" si="9"/>
        <v>492.13484973995486</v>
      </c>
      <c r="BN12" s="2">
        <f t="shared" si="9"/>
        <v>4810.1856203960715</v>
      </c>
      <c r="BO12" s="2"/>
    </row>
    <row r="13" spans="1:96">
      <c r="A13" s="50">
        <f t="shared" si="2"/>
        <v>13</v>
      </c>
      <c r="B13" s="51"/>
      <c r="D13" s="52" t="s">
        <v>87</v>
      </c>
      <c r="E13" s="4">
        <f>SUM(E9:E12)</f>
        <v>49302000</v>
      </c>
      <c r="F13" s="60"/>
      <c r="G13" s="60"/>
      <c r="H13" s="4">
        <f>IF(ROUND(SUM(H10:H12),3)&lt;&gt;ROUND(SUM(I13:N13),3),#VALUE!,SUM(H10:H12))</f>
        <v>49302000.000000007</v>
      </c>
      <c r="I13" s="4">
        <f>SUM(I10:I12)</f>
        <v>41318267.937148087</v>
      </c>
      <c r="J13" s="4">
        <f t="shared" ref="J13:M13" si="26">SUM(J10:J12)</f>
        <v>6424759.0358155649</v>
      </c>
      <c r="K13" s="4">
        <f t="shared" si="26"/>
        <v>0</v>
      </c>
      <c r="L13" s="4">
        <f t="shared" si="26"/>
        <v>155254.44683176337</v>
      </c>
      <c r="M13" s="4">
        <f t="shared" si="26"/>
        <v>1403718.5802045818</v>
      </c>
      <c r="N13" s="4">
        <f t="shared" ref="N13" si="27">SUM(N10:N11)</f>
        <v>0</v>
      </c>
      <c r="O13" s="5"/>
      <c r="P13" s="61" t="str">
        <f>A10&amp;":"&amp;A11</f>
        <v>10:11</v>
      </c>
      <c r="Q13" s="61"/>
      <c r="R13" s="13">
        <f>SUMPRODUCT($E10:$E12,R$10:R$12)/$E13</f>
        <v>0.10314482206084073</v>
      </c>
      <c r="S13" s="13">
        <f t="shared" ref="S13:AF13" si="28">SUMPRODUCT($E10:$E12,S$10:S$12)/$E13</f>
        <v>1.46075169642491E-2</v>
      </c>
      <c r="T13" s="13">
        <f t="shared" si="28"/>
        <v>8.3506614604534311E-3</v>
      </c>
      <c r="U13" s="13">
        <f t="shared" si="28"/>
        <v>5.5885195927649879E-2</v>
      </c>
      <c r="V13" s="13">
        <f t="shared" si="28"/>
        <v>0</v>
      </c>
      <c r="W13" s="13">
        <f t="shared" si="28"/>
        <v>0.15960299039876458</v>
      </c>
      <c r="X13" s="13">
        <f t="shared" si="28"/>
        <v>0</v>
      </c>
      <c r="Y13" s="13">
        <f t="shared" si="28"/>
        <v>0</v>
      </c>
      <c r="Z13" s="13">
        <f t="shared" si="28"/>
        <v>0</v>
      </c>
      <c r="AA13" s="13">
        <f t="shared" si="28"/>
        <v>0</v>
      </c>
      <c r="AB13" s="13">
        <f t="shared" si="28"/>
        <v>0.39655053499261783</v>
      </c>
      <c r="AC13" s="13">
        <f t="shared" si="28"/>
        <v>0.17862401230322905</v>
      </c>
      <c r="AD13" s="13">
        <f t="shared" si="28"/>
        <v>8.1590383722750487E-2</v>
      </c>
      <c r="AE13" s="13">
        <f t="shared" si="28"/>
        <v>0</v>
      </c>
      <c r="AF13" s="13">
        <f t="shared" si="28"/>
        <v>1.6438821694448225E-3</v>
      </c>
      <c r="AG13" s="13">
        <f t="shared" ref="AG13:AH13" si="29">SUMPRODUCT($E10:$E11,AG$10:AG$11)/$E13</f>
        <v>0</v>
      </c>
      <c r="AH13" s="13">
        <f t="shared" si="29"/>
        <v>-1.2356247142462685E-18</v>
      </c>
      <c r="AI13" s="76">
        <f t="shared" si="3"/>
        <v>0</v>
      </c>
      <c r="AK13" s="4">
        <f>IF(ROUND(SUM(AK10:AK12),3)&lt;&gt;ROUND(SUM(AL13:AO13),3),#VALUE!,SUM(AK10:AK12))</f>
        <v>49302000</v>
      </c>
      <c r="AL13" s="4">
        <f>SUM(AL10:AL12)</f>
        <v>8972382.0595632475</v>
      </c>
      <c r="AM13" s="4">
        <f>SUM(AM10:AM12)</f>
        <v>7868746.6326398905</v>
      </c>
      <c r="AN13" s="4">
        <f t="shared" ref="AN13:AO13" si="30">SUM(AN10:AN12)</f>
        <v>32460871.307796862</v>
      </c>
      <c r="AO13" s="4">
        <f t="shared" si="30"/>
        <v>-6.6945148659032568E-11</v>
      </c>
      <c r="AP13" s="5"/>
      <c r="AQ13" s="61" t="str">
        <f>$A10&amp;":"&amp;$A11</f>
        <v>10:11</v>
      </c>
      <c r="AS13" s="4">
        <f>IF(ROUND(SUM(AS10:AS12),3)&lt;&gt;ROUND(SUM(AT13:AY13),3),#VALUE!,SUM(AS10:AS12))</f>
        <v>8972382.0595632493</v>
      </c>
      <c r="AT13" s="4">
        <f>SUM(AT10:AT12)</f>
        <v>5660931.9066499295</v>
      </c>
      <c r="AU13" s="4">
        <f t="shared" ref="AU13:AX13" si="31">SUM(AU10:AU12)</f>
        <v>2490511.4325877703</v>
      </c>
      <c r="AV13" s="4">
        <f t="shared" si="31"/>
        <v>0</v>
      </c>
      <c r="AW13" s="4">
        <f t="shared" si="31"/>
        <v>90227.495321468625</v>
      </c>
      <c r="AX13" s="4">
        <f t="shared" si="31"/>
        <v>730711.2250040822</v>
      </c>
      <c r="AY13" s="4">
        <f t="shared" ref="AY13" si="32">SUM(AY10:AY11)</f>
        <v>0</v>
      </c>
      <c r="BA13" s="4">
        <f>IF(ROUND(SUM(BA10:BA12),3)&lt;&gt;ROUND(SUM(BB13:BG13),3),#VALUE!,SUM(BA10:BA12))</f>
        <v>7868746.6326398887</v>
      </c>
      <c r="BB13" s="4">
        <f>SUM(BB10:BB12)</f>
        <v>4448607.4846384507</v>
      </c>
      <c r="BC13" s="4">
        <f t="shared" ref="BC13:BF13" si="33">SUM(BC10:BC12)</f>
        <v>2745466.0048176837</v>
      </c>
      <c r="BD13" s="4">
        <f t="shared" si="33"/>
        <v>0</v>
      </c>
      <c r="BE13" s="4">
        <f t="shared" si="33"/>
        <v>59155.663228160396</v>
      </c>
      <c r="BF13" s="4">
        <f t="shared" si="33"/>
        <v>615517.4799555951</v>
      </c>
      <c r="BG13" s="4">
        <f t="shared" ref="BG13" si="34">SUM(BG10:BG11)</f>
        <v>0</v>
      </c>
      <c r="BI13" s="4">
        <f>IF(ROUND(SUM(BI10:BI12),3)&lt;&gt;ROUND(SUM(BJ13:BO13),3),#VALUE!,SUM(BI10:BI12))</f>
        <v>32460871.307796858</v>
      </c>
      <c r="BJ13" s="4">
        <f>SUM(BJ10:BJ12)</f>
        <v>31208728.545859706</v>
      </c>
      <c r="BK13" s="4">
        <f t="shared" ref="BK13:BM13" si="35">SUM(BK10:BK12)</f>
        <v>1188781.5984101126</v>
      </c>
      <c r="BL13" s="4">
        <f t="shared" si="35"/>
        <v>0</v>
      </c>
      <c r="BM13" s="4">
        <f t="shared" si="35"/>
        <v>5871.2882821343437</v>
      </c>
      <c r="BN13" s="4">
        <f>SUM(BN10:BN12)</f>
        <v>57489.875244904564</v>
      </c>
      <c r="BO13" s="4">
        <f t="shared" ref="BO13" si="36">SUM(BO10:BO11)</f>
        <v>0</v>
      </c>
    </row>
    <row r="14" spans="1:96">
      <c r="A14" s="50">
        <f t="shared" si="2"/>
        <v>14</v>
      </c>
      <c r="B14" s="51" t="s">
        <v>987</v>
      </c>
      <c r="E14" s="2"/>
      <c r="F14" s="60"/>
      <c r="G14" s="60"/>
      <c r="P14" s="61"/>
      <c r="Q14" s="61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76">
        <f t="shared" si="3"/>
        <v>0</v>
      </c>
      <c r="AQ14" s="61"/>
    </row>
    <row r="15" spans="1:96">
      <c r="A15" s="50">
        <f t="shared" si="2"/>
        <v>15</v>
      </c>
      <c r="B15" s="51"/>
      <c r="D15" t="s">
        <v>236</v>
      </c>
      <c r="E15" s="2"/>
      <c r="F15" s="60"/>
      <c r="G15" s="60"/>
      <c r="P15" s="61"/>
      <c r="Q15" s="61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76">
        <f t="shared" si="3"/>
        <v>0</v>
      </c>
      <c r="AQ15" s="61"/>
    </row>
    <row r="16" spans="1:96">
      <c r="A16" s="50">
        <f t="shared" si="2"/>
        <v>16</v>
      </c>
      <c r="B16" s="51">
        <v>350</v>
      </c>
      <c r="C16" s="36" t="s">
        <v>394</v>
      </c>
      <c r="D16" s="28" t="s">
        <v>88</v>
      </c>
      <c r="E16" s="369">
        <f>PROFORMA!AY256</f>
        <v>1016000</v>
      </c>
      <c r="F16" s="60" t="s">
        <v>549</v>
      </c>
      <c r="G16" s="8"/>
      <c r="H16" s="2">
        <f t="shared" ref="H16:H23" si="37">SUM(I16:N16)</f>
        <v>1016000.0000000001</v>
      </c>
      <c r="I16" s="2">
        <f>$E16*SUMPRODUCT($R16:$AH16,INDEX(AllocFactors,I$4,0))</f>
        <v>725365.11687528447</v>
      </c>
      <c r="J16" s="2">
        <f t="shared" ref="I16:N23" si="38">$E16*SUMPRODUCT($R16:$AH16,INDEX(AllocFactors,J$4,0))</f>
        <v>270510.67839150876</v>
      </c>
      <c r="K16" s="2">
        <f t="shared" si="38"/>
        <v>0</v>
      </c>
      <c r="L16" s="2">
        <f t="shared" si="38"/>
        <v>7365.9998856883876</v>
      </c>
      <c r="M16" s="2">
        <f t="shared" si="38"/>
        <v>12758.204847518449</v>
      </c>
      <c r="N16" s="2">
        <f t="shared" si="38"/>
        <v>0</v>
      </c>
      <c r="O16" s="2"/>
      <c r="P16" s="61" t="str">
        <f>E$1&amp;$A16&amp;"* Sum["&amp;$R$1&amp;$A16&amp;":"&amp;$AH$1&amp;$A16&amp;"* "&amp;Factors!D$1&amp;Factors!$A$58&amp;":"&amp;Factors!S$1&amp;Factors!$A$64&amp;"]"</f>
        <v>E16* Sum[R16:AH16* D1042:S1048]</v>
      </c>
      <c r="Q16" s="61"/>
      <c r="R16" s="79"/>
      <c r="S16" s="79"/>
      <c r="T16" s="79">
        <v>0.13</v>
      </c>
      <c r="U16" s="79">
        <v>0.87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76">
        <f t="shared" si="3"/>
        <v>0</v>
      </c>
      <c r="AK16" s="2">
        <f t="shared" ref="AK16:AK23" si="39">SUM(AL16:AO16)</f>
        <v>1016000</v>
      </c>
      <c r="AL16" s="2">
        <f t="shared" ref="AL16:AO23" si="40">SUMIF($R$4:$AH$4,AL$5,$R16:$AH16)*$E16</f>
        <v>1016000</v>
      </c>
      <c r="AM16" s="2">
        <f t="shared" si="40"/>
        <v>0</v>
      </c>
      <c r="AN16" s="2">
        <f t="shared" si="40"/>
        <v>0</v>
      </c>
      <c r="AO16" s="2">
        <f t="shared" si="40"/>
        <v>0</v>
      </c>
      <c r="AP16" s="2"/>
      <c r="AQ16" s="61" t="str">
        <f>E$1&amp;$A16&amp;"*["&amp;R$1&amp;$A16&amp;":"&amp;$AH$1&amp;$A16&amp;" when "&amp;R$1&amp;$A$4&amp;":"&amp;$AH$1&amp;$A$4&amp;" = E,D,C,or R]"</f>
        <v>E16*[R16:AH16 when R4:AH4 = E,D,C,or R]</v>
      </c>
      <c r="AS16" s="2">
        <f t="shared" ref="AS16:AS23" si="41">SUM(AT16:AY16)</f>
        <v>1016000.0000000001</v>
      </c>
      <c r="AT16" s="2">
        <f t="shared" ref="AT16:AY23" si="42">$E16*SUMPRODUCT($R16:$V16,INDEX(AllocFactors_E,AT$4,0))</f>
        <v>725365.11687528447</v>
      </c>
      <c r="AU16" s="2">
        <f t="shared" si="42"/>
        <v>270510.67839150876</v>
      </c>
      <c r="AV16" s="2">
        <f t="shared" si="42"/>
        <v>0</v>
      </c>
      <c r="AW16" s="2">
        <f t="shared" si="42"/>
        <v>7365.9998856883876</v>
      </c>
      <c r="AX16" s="2">
        <f t="shared" si="42"/>
        <v>12758.204847518449</v>
      </c>
      <c r="AY16" s="2">
        <f t="shared" si="42"/>
        <v>0</v>
      </c>
      <c r="BA16" s="2">
        <f t="shared" ref="BA16:BA23" si="43">SUM(BB16:BG16)</f>
        <v>0</v>
      </c>
      <c r="BB16" s="2">
        <f t="shared" ref="BB16:BG23" si="44">$E16*SUMPRODUCT($W16:$AA16,INDEX(AllocFactors_D,BB$4,0))</f>
        <v>0</v>
      </c>
      <c r="BC16" s="2">
        <f t="shared" si="44"/>
        <v>0</v>
      </c>
      <c r="BD16" s="2">
        <f t="shared" si="44"/>
        <v>0</v>
      </c>
      <c r="BE16" s="2">
        <f t="shared" si="44"/>
        <v>0</v>
      </c>
      <c r="BF16" s="2">
        <f t="shared" si="44"/>
        <v>0</v>
      </c>
      <c r="BG16" s="2">
        <f t="shared" si="44"/>
        <v>0</v>
      </c>
      <c r="BI16" s="2">
        <f t="shared" ref="BI16:BI23" si="45">SUM(BJ16:BO16)</f>
        <v>0</v>
      </c>
      <c r="BJ16" s="2">
        <f t="shared" ref="BJ16:BO23" si="46">$E16*SUMPRODUCT($AB16:$AG16,INDEX(AllocFactors_C,BJ$4,0))</f>
        <v>0</v>
      </c>
      <c r="BK16" s="2">
        <f t="shared" si="46"/>
        <v>0</v>
      </c>
      <c r="BL16" s="2">
        <f t="shared" si="46"/>
        <v>0</v>
      </c>
      <c r="BM16" s="2">
        <f t="shared" si="46"/>
        <v>0</v>
      </c>
      <c r="BN16" s="2">
        <f t="shared" si="46"/>
        <v>0</v>
      </c>
      <c r="BO16" s="2">
        <f t="shared" si="46"/>
        <v>0</v>
      </c>
    </row>
    <row r="17" spans="1:67">
      <c r="A17" s="50">
        <f t="shared" si="2"/>
        <v>17</v>
      </c>
      <c r="B17" s="51">
        <v>351</v>
      </c>
      <c r="C17" s="36" t="s">
        <v>394</v>
      </c>
      <c r="D17" s="28" t="s">
        <v>89</v>
      </c>
      <c r="E17" s="369">
        <f>PROFORMA!AY257</f>
        <v>2146000</v>
      </c>
      <c r="F17" s="60" t="s">
        <v>549</v>
      </c>
      <c r="G17" s="8"/>
      <c r="H17" s="2">
        <f t="shared" si="37"/>
        <v>2146000</v>
      </c>
      <c r="I17" s="2">
        <f t="shared" si="38"/>
        <v>1532119.626785788</v>
      </c>
      <c r="J17" s="2">
        <f t="shared" si="38"/>
        <v>571373.93290174974</v>
      </c>
      <c r="K17" s="2">
        <f t="shared" si="38"/>
        <v>0</v>
      </c>
      <c r="L17" s="2">
        <f t="shared" si="38"/>
        <v>15558.499758550472</v>
      </c>
      <c r="M17" s="2">
        <f t="shared" si="38"/>
        <v>26947.940553912002</v>
      </c>
      <c r="N17" s="2">
        <f t="shared" si="38"/>
        <v>0</v>
      </c>
      <c r="O17" s="2"/>
      <c r="P17" s="61" t="str">
        <f t="shared" ref="P17:P23" si="47">E$1&amp;$A17&amp;"*     """</f>
        <v>E17*     "</v>
      </c>
      <c r="Q17" s="61"/>
      <c r="R17" s="79"/>
      <c r="S17" s="79"/>
      <c r="T17" s="79">
        <v>0.13</v>
      </c>
      <c r="U17" s="79">
        <v>0.87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76">
        <f t="shared" si="3"/>
        <v>0</v>
      </c>
      <c r="AK17" s="2">
        <f t="shared" si="39"/>
        <v>2146000</v>
      </c>
      <c r="AL17" s="2">
        <f t="shared" si="40"/>
        <v>2146000</v>
      </c>
      <c r="AM17" s="2">
        <f t="shared" si="40"/>
        <v>0</v>
      </c>
      <c r="AN17" s="2">
        <f t="shared" si="40"/>
        <v>0</v>
      </c>
      <c r="AO17" s="2">
        <f t="shared" si="40"/>
        <v>0</v>
      </c>
      <c r="AP17" s="2"/>
      <c r="AQ17" s="61" t="str">
        <f t="shared" ref="AQ17:AQ23" si="48">E$1&amp;$A17&amp;"*      """</f>
        <v>E17*      "</v>
      </c>
      <c r="AS17" s="2">
        <f t="shared" si="41"/>
        <v>2146000</v>
      </c>
      <c r="AT17" s="2">
        <f t="shared" si="42"/>
        <v>1532119.626785788</v>
      </c>
      <c r="AU17" s="2">
        <f t="shared" si="42"/>
        <v>571373.93290174974</v>
      </c>
      <c r="AV17" s="2">
        <f t="shared" si="42"/>
        <v>0</v>
      </c>
      <c r="AW17" s="2">
        <f t="shared" si="42"/>
        <v>15558.499758550472</v>
      </c>
      <c r="AX17" s="2">
        <f t="shared" si="42"/>
        <v>26947.940553912002</v>
      </c>
      <c r="AY17" s="2">
        <f t="shared" si="42"/>
        <v>0</v>
      </c>
      <c r="BA17" s="2">
        <f t="shared" si="43"/>
        <v>0</v>
      </c>
      <c r="BB17" s="2">
        <f t="shared" si="44"/>
        <v>0</v>
      </c>
      <c r="BC17" s="2">
        <f t="shared" si="44"/>
        <v>0</v>
      </c>
      <c r="BD17" s="2">
        <f t="shared" si="44"/>
        <v>0</v>
      </c>
      <c r="BE17" s="2">
        <f t="shared" si="44"/>
        <v>0</v>
      </c>
      <c r="BF17" s="2">
        <f t="shared" si="44"/>
        <v>0</v>
      </c>
      <c r="BG17" s="2">
        <f t="shared" si="44"/>
        <v>0</v>
      </c>
      <c r="BI17" s="2">
        <f t="shared" si="45"/>
        <v>0</v>
      </c>
      <c r="BJ17" s="2">
        <f t="shared" si="46"/>
        <v>0</v>
      </c>
      <c r="BK17" s="2">
        <f t="shared" si="46"/>
        <v>0</v>
      </c>
      <c r="BL17" s="2">
        <f t="shared" si="46"/>
        <v>0</v>
      </c>
      <c r="BM17" s="2">
        <f t="shared" si="46"/>
        <v>0</v>
      </c>
      <c r="BN17" s="2">
        <f t="shared" si="46"/>
        <v>0</v>
      </c>
      <c r="BO17" s="2">
        <f t="shared" si="46"/>
        <v>0</v>
      </c>
    </row>
    <row r="18" spans="1:67">
      <c r="A18" s="50">
        <f t="shared" si="2"/>
        <v>18</v>
      </c>
      <c r="B18" s="51">
        <v>352</v>
      </c>
      <c r="C18" s="36" t="s">
        <v>394</v>
      </c>
      <c r="D18" s="28" t="s">
        <v>237</v>
      </c>
      <c r="E18" s="369">
        <f>PROFORMA!AY258</f>
        <v>17874000</v>
      </c>
      <c r="F18" s="60" t="s">
        <v>549</v>
      </c>
      <c r="G18" s="60"/>
      <c r="H18" s="2">
        <f t="shared" si="37"/>
        <v>17874000</v>
      </c>
      <c r="I18" s="2">
        <f t="shared" si="38"/>
        <v>12761000.097469326</v>
      </c>
      <c r="J18" s="2">
        <f t="shared" si="38"/>
        <v>4758964.4346159715</v>
      </c>
      <c r="K18" s="2">
        <f t="shared" si="38"/>
        <v>0</v>
      </c>
      <c r="L18" s="2">
        <f t="shared" si="38"/>
        <v>129586.4979889707</v>
      </c>
      <c r="M18" s="2">
        <f t="shared" si="38"/>
        <v>224448.96992573305</v>
      </c>
      <c r="N18" s="2">
        <f t="shared" si="38"/>
        <v>0</v>
      </c>
      <c r="O18" s="2"/>
      <c r="P18" s="61" t="str">
        <f t="shared" si="47"/>
        <v>E18*     "</v>
      </c>
      <c r="Q18" s="61"/>
      <c r="R18" s="79"/>
      <c r="S18" s="79"/>
      <c r="T18" s="79">
        <v>0.13</v>
      </c>
      <c r="U18" s="79">
        <v>0.87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76">
        <f t="shared" si="3"/>
        <v>0</v>
      </c>
      <c r="AK18" s="2">
        <f t="shared" si="39"/>
        <v>17874000</v>
      </c>
      <c r="AL18" s="2">
        <f t="shared" si="40"/>
        <v>17874000</v>
      </c>
      <c r="AM18" s="2">
        <f t="shared" si="40"/>
        <v>0</v>
      </c>
      <c r="AN18" s="2">
        <f t="shared" si="40"/>
        <v>0</v>
      </c>
      <c r="AO18" s="2">
        <f t="shared" si="40"/>
        <v>0</v>
      </c>
      <c r="AP18" s="2"/>
      <c r="AQ18" s="61" t="str">
        <f t="shared" si="48"/>
        <v>E18*      "</v>
      </c>
      <c r="AS18" s="2">
        <f t="shared" si="41"/>
        <v>17874000</v>
      </c>
      <c r="AT18" s="2">
        <f t="shared" si="42"/>
        <v>12761000.097469326</v>
      </c>
      <c r="AU18" s="2">
        <f t="shared" si="42"/>
        <v>4758964.4346159715</v>
      </c>
      <c r="AV18" s="2">
        <f t="shared" si="42"/>
        <v>0</v>
      </c>
      <c r="AW18" s="2">
        <f t="shared" si="42"/>
        <v>129586.4979889707</v>
      </c>
      <c r="AX18" s="2">
        <f t="shared" si="42"/>
        <v>224448.96992573305</v>
      </c>
      <c r="AY18" s="2">
        <f t="shared" si="42"/>
        <v>0</v>
      </c>
      <c r="BA18" s="2">
        <f t="shared" si="43"/>
        <v>0</v>
      </c>
      <c r="BB18" s="2">
        <f t="shared" si="44"/>
        <v>0</v>
      </c>
      <c r="BC18" s="2">
        <f t="shared" si="44"/>
        <v>0</v>
      </c>
      <c r="BD18" s="2">
        <f t="shared" si="44"/>
        <v>0</v>
      </c>
      <c r="BE18" s="2">
        <f t="shared" si="44"/>
        <v>0</v>
      </c>
      <c r="BF18" s="2">
        <f t="shared" si="44"/>
        <v>0</v>
      </c>
      <c r="BG18" s="2">
        <f t="shared" si="44"/>
        <v>0</v>
      </c>
      <c r="BI18" s="2">
        <f t="shared" si="45"/>
        <v>0</v>
      </c>
      <c r="BJ18" s="2">
        <f t="shared" si="46"/>
        <v>0</v>
      </c>
      <c r="BK18" s="2">
        <f t="shared" si="46"/>
        <v>0</v>
      </c>
      <c r="BL18" s="2">
        <f t="shared" si="46"/>
        <v>0</v>
      </c>
      <c r="BM18" s="2">
        <f t="shared" si="46"/>
        <v>0</v>
      </c>
      <c r="BN18" s="2">
        <f t="shared" si="46"/>
        <v>0</v>
      </c>
      <c r="BO18" s="2">
        <f t="shared" si="46"/>
        <v>0</v>
      </c>
    </row>
    <row r="19" spans="1:67">
      <c r="A19" s="50">
        <f t="shared" si="2"/>
        <v>19</v>
      </c>
      <c r="B19" s="51">
        <v>353</v>
      </c>
      <c r="C19" s="36" t="s">
        <v>394</v>
      </c>
      <c r="D19" s="28" t="s">
        <v>238</v>
      </c>
      <c r="E19" s="369">
        <f>PROFORMA!AY259</f>
        <v>1570000</v>
      </c>
      <c r="F19" s="60" t="s">
        <v>549</v>
      </c>
      <c r="G19" s="60"/>
      <c r="H19" s="2">
        <f t="shared" si="37"/>
        <v>1570000</v>
      </c>
      <c r="I19" s="2">
        <f t="shared" si="38"/>
        <v>1120889.0093446816</v>
      </c>
      <c r="J19" s="2">
        <f t="shared" si="38"/>
        <v>418013.54830183933</v>
      </c>
      <c r="K19" s="2">
        <f t="shared" si="38"/>
        <v>0</v>
      </c>
      <c r="L19" s="2">
        <f t="shared" si="38"/>
        <v>11382.499823357055</v>
      </c>
      <c r="M19" s="2">
        <f t="shared" si="38"/>
        <v>19714.942530122014</v>
      </c>
      <c r="N19" s="2">
        <f t="shared" si="38"/>
        <v>0</v>
      </c>
      <c r="O19" s="2"/>
      <c r="P19" s="61" t="str">
        <f t="shared" si="47"/>
        <v>E19*     "</v>
      </c>
      <c r="Q19" s="61"/>
      <c r="R19" s="79"/>
      <c r="S19" s="79"/>
      <c r="T19" s="79">
        <v>0.13</v>
      </c>
      <c r="U19" s="79">
        <v>0.87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76">
        <f t="shared" si="3"/>
        <v>0</v>
      </c>
      <c r="AK19" s="2">
        <f t="shared" si="39"/>
        <v>1570000</v>
      </c>
      <c r="AL19" s="2">
        <f t="shared" si="40"/>
        <v>1570000</v>
      </c>
      <c r="AM19" s="2">
        <f t="shared" si="40"/>
        <v>0</v>
      </c>
      <c r="AN19" s="2">
        <f t="shared" si="40"/>
        <v>0</v>
      </c>
      <c r="AO19" s="2">
        <f t="shared" si="40"/>
        <v>0</v>
      </c>
      <c r="AP19" s="2"/>
      <c r="AQ19" s="61" t="str">
        <f t="shared" si="48"/>
        <v>E19*      "</v>
      </c>
      <c r="AS19" s="2">
        <f t="shared" si="41"/>
        <v>1570000</v>
      </c>
      <c r="AT19" s="2">
        <f t="shared" si="42"/>
        <v>1120889.0093446816</v>
      </c>
      <c r="AU19" s="2">
        <f t="shared" si="42"/>
        <v>418013.54830183933</v>
      </c>
      <c r="AV19" s="2">
        <f t="shared" si="42"/>
        <v>0</v>
      </c>
      <c r="AW19" s="2">
        <f t="shared" si="42"/>
        <v>11382.499823357055</v>
      </c>
      <c r="AX19" s="2">
        <f t="shared" si="42"/>
        <v>19714.942530122014</v>
      </c>
      <c r="AY19" s="2">
        <f t="shared" si="42"/>
        <v>0</v>
      </c>
      <c r="BA19" s="2">
        <f t="shared" si="43"/>
        <v>0</v>
      </c>
      <c r="BB19" s="2">
        <f t="shared" si="44"/>
        <v>0</v>
      </c>
      <c r="BC19" s="2">
        <f t="shared" si="44"/>
        <v>0</v>
      </c>
      <c r="BD19" s="2">
        <f t="shared" si="44"/>
        <v>0</v>
      </c>
      <c r="BE19" s="2">
        <f t="shared" si="44"/>
        <v>0</v>
      </c>
      <c r="BF19" s="2">
        <f t="shared" si="44"/>
        <v>0</v>
      </c>
      <c r="BG19" s="2">
        <f t="shared" si="44"/>
        <v>0</v>
      </c>
      <c r="BI19" s="2">
        <f t="shared" si="45"/>
        <v>0</v>
      </c>
      <c r="BJ19" s="2">
        <f t="shared" si="46"/>
        <v>0</v>
      </c>
      <c r="BK19" s="2">
        <f t="shared" si="46"/>
        <v>0</v>
      </c>
      <c r="BL19" s="2">
        <f t="shared" si="46"/>
        <v>0</v>
      </c>
      <c r="BM19" s="2">
        <f t="shared" si="46"/>
        <v>0</v>
      </c>
      <c r="BN19" s="2">
        <f t="shared" si="46"/>
        <v>0</v>
      </c>
      <c r="BO19" s="2">
        <f t="shared" si="46"/>
        <v>0</v>
      </c>
    </row>
    <row r="20" spans="1:67">
      <c r="A20" s="50">
        <f t="shared" si="2"/>
        <v>20</v>
      </c>
      <c r="B20" s="51">
        <v>354</v>
      </c>
      <c r="C20" s="36" t="s">
        <v>394</v>
      </c>
      <c r="D20" s="28" t="s">
        <v>239</v>
      </c>
      <c r="E20" s="369">
        <f>PROFORMA!AY260</f>
        <v>11690000</v>
      </c>
      <c r="F20" s="60" t="s">
        <v>549</v>
      </c>
      <c r="G20" s="60"/>
      <c r="H20" s="2">
        <f t="shared" si="37"/>
        <v>11690000</v>
      </c>
      <c r="I20" s="2">
        <f t="shared" si="38"/>
        <v>8345982.4963307828</v>
      </c>
      <c r="J20" s="2">
        <f t="shared" si="38"/>
        <v>3112470.3055085996</v>
      </c>
      <c r="K20" s="2">
        <f t="shared" si="38"/>
        <v>0</v>
      </c>
      <c r="L20" s="2">
        <f t="shared" si="38"/>
        <v>84752.498684741382</v>
      </c>
      <c r="M20" s="2">
        <f t="shared" si="38"/>
        <v>146794.69947587664</v>
      </c>
      <c r="N20" s="2">
        <f t="shared" si="38"/>
        <v>0</v>
      </c>
      <c r="O20" s="2"/>
      <c r="P20" s="61" t="str">
        <f t="shared" si="47"/>
        <v>E20*     "</v>
      </c>
      <c r="Q20" s="61"/>
      <c r="R20" s="79"/>
      <c r="S20" s="79"/>
      <c r="T20" s="79">
        <v>0.13</v>
      </c>
      <c r="U20" s="79">
        <v>0.87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76">
        <f t="shared" si="3"/>
        <v>0</v>
      </c>
      <c r="AK20" s="2">
        <f t="shared" si="39"/>
        <v>11690000</v>
      </c>
      <c r="AL20" s="2">
        <f t="shared" si="40"/>
        <v>11690000</v>
      </c>
      <c r="AM20" s="2">
        <f t="shared" si="40"/>
        <v>0</v>
      </c>
      <c r="AN20" s="2">
        <f t="shared" si="40"/>
        <v>0</v>
      </c>
      <c r="AO20" s="2">
        <f t="shared" si="40"/>
        <v>0</v>
      </c>
      <c r="AP20" s="2"/>
      <c r="AQ20" s="61" t="str">
        <f t="shared" si="48"/>
        <v>E20*      "</v>
      </c>
      <c r="AS20" s="2">
        <f t="shared" si="41"/>
        <v>11690000</v>
      </c>
      <c r="AT20" s="2">
        <f t="shared" si="42"/>
        <v>8345982.4963307828</v>
      </c>
      <c r="AU20" s="2">
        <f t="shared" si="42"/>
        <v>3112470.3055085996</v>
      </c>
      <c r="AV20" s="2">
        <f t="shared" si="42"/>
        <v>0</v>
      </c>
      <c r="AW20" s="2">
        <f t="shared" si="42"/>
        <v>84752.498684741382</v>
      </c>
      <c r="AX20" s="2">
        <f t="shared" si="42"/>
        <v>146794.69947587664</v>
      </c>
      <c r="AY20" s="2">
        <f t="shared" si="42"/>
        <v>0</v>
      </c>
      <c r="BA20" s="2">
        <f t="shared" si="43"/>
        <v>0</v>
      </c>
      <c r="BB20" s="2">
        <f t="shared" si="44"/>
        <v>0</v>
      </c>
      <c r="BC20" s="2">
        <f t="shared" si="44"/>
        <v>0</v>
      </c>
      <c r="BD20" s="2">
        <f t="shared" si="44"/>
        <v>0</v>
      </c>
      <c r="BE20" s="2">
        <f t="shared" si="44"/>
        <v>0</v>
      </c>
      <c r="BF20" s="2">
        <f t="shared" si="44"/>
        <v>0</v>
      </c>
      <c r="BG20" s="2">
        <f t="shared" si="44"/>
        <v>0</v>
      </c>
      <c r="BI20" s="2">
        <f t="shared" si="45"/>
        <v>0</v>
      </c>
      <c r="BJ20" s="2">
        <f t="shared" si="46"/>
        <v>0</v>
      </c>
      <c r="BK20" s="2">
        <f t="shared" si="46"/>
        <v>0</v>
      </c>
      <c r="BL20" s="2">
        <f t="shared" si="46"/>
        <v>0</v>
      </c>
      <c r="BM20" s="2">
        <f t="shared" si="46"/>
        <v>0</v>
      </c>
      <c r="BN20" s="2">
        <f t="shared" si="46"/>
        <v>0</v>
      </c>
      <c r="BO20" s="2">
        <f t="shared" si="46"/>
        <v>0</v>
      </c>
    </row>
    <row r="21" spans="1:67">
      <c r="A21" s="50">
        <f t="shared" si="2"/>
        <v>21</v>
      </c>
      <c r="B21" s="51">
        <v>355</v>
      </c>
      <c r="C21" s="36" t="s">
        <v>394</v>
      </c>
      <c r="D21" s="28" t="s">
        <v>240</v>
      </c>
      <c r="E21" s="369">
        <f>PROFORMA!AY261</f>
        <v>1477000</v>
      </c>
      <c r="F21" s="60" t="s">
        <v>549</v>
      </c>
      <c r="G21" s="60"/>
      <c r="H21" s="2">
        <f t="shared" si="37"/>
        <v>1477000.0000000002</v>
      </c>
      <c r="I21" s="2">
        <f t="shared" si="38"/>
        <v>1054492.3992370032</v>
      </c>
      <c r="J21" s="2">
        <f t="shared" si="38"/>
        <v>393252.23620497878</v>
      </c>
      <c r="K21" s="2">
        <f t="shared" si="38"/>
        <v>0</v>
      </c>
      <c r="L21" s="2">
        <f t="shared" si="38"/>
        <v>10708.249833820619</v>
      </c>
      <c r="M21" s="2">
        <f t="shared" si="38"/>
        <v>18547.114724197589</v>
      </c>
      <c r="N21" s="2">
        <f t="shared" si="38"/>
        <v>0</v>
      </c>
      <c r="O21" s="2"/>
      <c r="P21" s="61" t="str">
        <f t="shared" si="47"/>
        <v>E21*     "</v>
      </c>
      <c r="Q21" s="61"/>
      <c r="R21" s="79"/>
      <c r="S21" s="79"/>
      <c r="T21" s="79">
        <v>0.13</v>
      </c>
      <c r="U21" s="79">
        <v>0.87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76">
        <f t="shared" si="3"/>
        <v>0</v>
      </c>
      <c r="AK21" s="2">
        <f t="shared" si="39"/>
        <v>1477000</v>
      </c>
      <c r="AL21" s="2">
        <f t="shared" si="40"/>
        <v>1477000</v>
      </c>
      <c r="AM21" s="2">
        <f t="shared" si="40"/>
        <v>0</v>
      </c>
      <c r="AN21" s="2">
        <f t="shared" si="40"/>
        <v>0</v>
      </c>
      <c r="AO21" s="2">
        <f t="shared" si="40"/>
        <v>0</v>
      </c>
      <c r="AP21" s="2"/>
      <c r="AQ21" s="61" t="str">
        <f t="shared" si="48"/>
        <v>E21*      "</v>
      </c>
      <c r="AS21" s="2">
        <f t="shared" si="41"/>
        <v>1477000.0000000002</v>
      </c>
      <c r="AT21" s="2">
        <f t="shared" si="42"/>
        <v>1054492.3992370032</v>
      </c>
      <c r="AU21" s="2">
        <f t="shared" si="42"/>
        <v>393252.23620497878</v>
      </c>
      <c r="AV21" s="2">
        <f t="shared" si="42"/>
        <v>0</v>
      </c>
      <c r="AW21" s="2">
        <f t="shared" si="42"/>
        <v>10708.249833820619</v>
      </c>
      <c r="AX21" s="2">
        <f t="shared" si="42"/>
        <v>18547.114724197589</v>
      </c>
      <c r="AY21" s="2">
        <f t="shared" si="42"/>
        <v>0</v>
      </c>
      <c r="BA21" s="2">
        <f t="shared" si="43"/>
        <v>0</v>
      </c>
      <c r="BB21" s="2">
        <f t="shared" si="44"/>
        <v>0</v>
      </c>
      <c r="BC21" s="2">
        <f t="shared" si="44"/>
        <v>0</v>
      </c>
      <c r="BD21" s="2">
        <f t="shared" si="44"/>
        <v>0</v>
      </c>
      <c r="BE21" s="2">
        <f t="shared" si="44"/>
        <v>0</v>
      </c>
      <c r="BF21" s="2">
        <f t="shared" si="44"/>
        <v>0</v>
      </c>
      <c r="BG21" s="2">
        <f t="shared" si="44"/>
        <v>0</v>
      </c>
      <c r="BI21" s="2">
        <f t="shared" si="45"/>
        <v>0</v>
      </c>
      <c r="BJ21" s="2">
        <f t="shared" si="46"/>
        <v>0</v>
      </c>
      <c r="BK21" s="2">
        <f t="shared" si="46"/>
        <v>0</v>
      </c>
      <c r="BL21" s="2">
        <f t="shared" si="46"/>
        <v>0</v>
      </c>
      <c r="BM21" s="2">
        <f t="shared" si="46"/>
        <v>0</v>
      </c>
      <c r="BN21" s="2">
        <f t="shared" si="46"/>
        <v>0</v>
      </c>
      <c r="BO21" s="2">
        <f t="shared" si="46"/>
        <v>0</v>
      </c>
    </row>
    <row r="22" spans="1:67">
      <c r="A22" s="50">
        <f t="shared" si="2"/>
        <v>22</v>
      </c>
      <c r="B22" s="51">
        <v>356</v>
      </c>
      <c r="C22" s="36" t="s">
        <v>394</v>
      </c>
      <c r="D22" s="28" t="s">
        <v>241</v>
      </c>
      <c r="E22" s="369">
        <f>PROFORMA!AY262</f>
        <v>415000</v>
      </c>
      <c r="F22" s="60" t="s">
        <v>549</v>
      </c>
      <c r="G22" s="60"/>
      <c r="H22" s="2">
        <f t="shared" si="37"/>
        <v>415000</v>
      </c>
      <c r="I22" s="2">
        <f>$E22*SUMPRODUCT($R22:$AH22,INDEX(AllocFactors,I$4,0))</f>
        <v>296285.94832996366</v>
      </c>
      <c r="J22" s="2">
        <f t="shared" si="38"/>
        <v>110494.02709889383</v>
      </c>
      <c r="K22" s="2">
        <f t="shared" si="38"/>
        <v>0</v>
      </c>
      <c r="L22" s="2">
        <f t="shared" si="38"/>
        <v>3008.7499533077566</v>
      </c>
      <c r="M22" s="2">
        <f t="shared" si="38"/>
        <v>5211.2746178347998</v>
      </c>
      <c r="N22" s="2">
        <f t="shared" si="38"/>
        <v>0</v>
      </c>
      <c r="O22" s="2"/>
      <c r="P22" s="61" t="str">
        <f t="shared" si="47"/>
        <v>E22*     "</v>
      </c>
      <c r="Q22" s="61"/>
      <c r="R22" s="79"/>
      <c r="S22" s="79"/>
      <c r="T22" s="79">
        <v>0.13</v>
      </c>
      <c r="U22" s="79">
        <v>0.87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76">
        <f t="shared" si="3"/>
        <v>0</v>
      </c>
      <c r="AK22" s="2">
        <f t="shared" si="39"/>
        <v>415000</v>
      </c>
      <c r="AL22" s="2">
        <f t="shared" si="40"/>
        <v>415000</v>
      </c>
      <c r="AM22" s="2">
        <f t="shared" si="40"/>
        <v>0</v>
      </c>
      <c r="AN22" s="2">
        <f t="shared" si="40"/>
        <v>0</v>
      </c>
      <c r="AO22" s="2">
        <f t="shared" si="40"/>
        <v>0</v>
      </c>
      <c r="AP22" s="2"/>
      <c r="AQ22" s="61" t="str">
        <f t="shared" si="48"/>
        <v>E22*      "</v>
      </c>
      <c r="AS22" s="2">
        <f t="shared" si="41"/>
        <v>415000</v>
      </c>
      <c r="AT22" s="2">
        <f t="shared" si="42"/>
        <v>296285.94832996366</v>
      </c>
      <c r="AU22" s="2">
        <f t="shared" si="42"/>
        <v>110494.02709889383</v>
      </c>
      <c r="AV22" s="2">
        <f t="shared" si="42"/>
        <v>0</v>
      </c>
      <c r="AW22" s="2">
        <f t="shared" si="42"/>
        <v>3008.7499533077566</v>
      </c>
      <c r="AX22" s="2">
        <f t="shared" si="42"/>
        <v>5211.2746178347998</v>
      </c>
      <c r="AY22" s="2">
        <f t="shared" si="42"/>
        <v>0</v>
      </c>
      <c r="BA22" s="2">
        <f t="shared" si="43"/>
        <v>0</v>
      </c>
      <c r="BB22" s="2">
        <f t="shared" si="44"/>
        <v>0</v>
      </c>
      <c r="BC22" s="2">
        <f t="shared" si="44"/>
        <v>0</v>
      </c>
      <c r="BD22" s="2">
        <f t="shared" si="44"/>
        <v>0</v>
      </c>
      <c r="BE22" s="2">
        <f t="shared" si="44"/>
        <v>0</v>
      </c>
      <c r="BF22" s="2">
        <f t="shared" si="44"/>
        <v>0</v>
      </c>
      <c r="BG22" s="2">
        <f t="shared" si="44"/>
        <v>0</v>
      </c>
      <c r="BI22" s="2">
        <f t="shared" si="45"/>
        <v>0</v>
      </c>
      <c r="BJ22" s="2">
        <f t="shared" si="46"/>
        <v>0</v>
      </c>
      <c r="BK22" s="2">
        <f t="shared" si="46"/>
        <v>0</v>
      </c>
      <c r="BL22" s="2">
        <f t="shared" si="46"/>
        <v>0</v>
      </c>
      <c r="BM22" s="2">
        <f t="shared" si="46"/>
        <v>0</v>
      </c>
      <c r="BN22" s="2">
        <f t="shared" si="46"/>
        <v>0</v>
      </c>
      <c r="BO22" s="2">
        <f t="shared" si="46"/>
        <v>0</v>
      </c>
    </row>
    <row r="23" spans="1:67">
      <c r="A23" s="50">
        <f t="shared" si="2"/>
        <v>23</v>
      </c>
      <c r="B23" s="51">
        <v>357</v>
      </c>
      <c r="C23" s="36" t="s">
        <v>394</v>
      </c>
      <c r="D23" s="28" t="s">
        <v>242</v>
      </c>
      <c r="E23" s="369">
        <f>PROFORMA!AY263</f>
        <v>2250000</v>
      </c>
      <c r="F23" s="60" t="s">
        <v>549</v>
      </c>
      <c r="G23" s="60"/>
      <c r="H23" s="2">
        <f t="shared" si="37"/>
        <v>2250000</v>
      </c>
      <c r="I23" s="2">
        <f t="shared" si="38"/>
        <v>1606369.5993793209</v>
      </c>
      <c r="J23" s="2">
        <f t="shared" si="38"/>
        <v>599064.00234340027</v>
      </c>
      <c r="K23" s="2">
        <f t="shared" si="38"/>
        <v>0</v>
      </c>
      <c r="L23" s="2">
        <f t="shared" si="38"/>
        <v>16312.499746849284</v>
      </c>
      <c r="M23" s="2">
        <f t="shared" si="38"/>
        <v>28253.898530429637</v>
      </c>
      <c r="N23" s="2">
        <f t="shared" si="38"/>
        <v>0</v>
      </c>
      <c r="O23" s="2"/>
      <c r="P23" s="61" t="str">
        <f t="shared" si="47"/>
        <v>E23*     "</v>
      </c>
      <c r="Q23" s="61"/>
      <c r="R23" s="79"/>
      <c r="S23" s="79"/>
      <c r="T23" s="79">
        <v>0.13</v>
      </c>
      <c r="U23" s="79">
        <v>0.87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76">
        <f t="shared" si="3"/>
        <v>0</v>
      </c>
      <c r="AK23" s="2">
        <f t="shared" si="39"/>
        <v>2250000</v>
      </c>
      <c r="AL23" s="2">
        <f t="shared" si="40"/>
        <v>2250000</v>
      </c>
      <c r="AM23" s="2">
        <f t="shared" si="40"/>
        <v>0</v>
      </c>
      <c r="AN23" s="2">
        <f t="shared" si="40"/>
        <v>0</v>
      </c>
      <c r="AO23" s="2">
        <f t="shared" si="40"/>
        <v>0</v>
      </c>
      <c r="AP23" s="2"/>
      <c r="AQ23" s="61" t="str">
        <f t="shared" si="48"/>
        <v>E23*      "</v>
      </c>
      <c r="AS23" s="2">
        <f t="shared" si="41"/>
        <v>2250000</v>
      </c>
      <c r="AT23" s="2">
        <f t="shared" si="42"/>
        <v>1606369.5993793209</v>
      </c>
      <c r="AU23" s="2">
        <f t="shared" si="42"/>
        <v>599064.00234340027</v>
      </c>
      <c r="AV23" s="2">
        <f t="shared" si="42"/>
        <v>0</v>
      </c>
      <c r="AW23" s="2">
        <f t="shared" si="42"/>
        <v>16312.499746849284</v>
      </c>
      <c r="AX23" s="2">
        <f t="shared" si="42"/>
        <v>28253.898530429637</v>
      </c>
      <c r="AY23" s="2">
        <f t="shared" si="42"/>
        <v>0</v>
      </c>
      <c r="BA23" s="2">
        <f t="shared" si="43"/>
        <v>0</v>
      </c>
      <c r="BB23" s="2">
        <f t="shared" si="44"/>
        <v>0</v>
      </c>
      <c r="BC23" s="2">
        <f t="shared" si="44"/>
        <v>0</v>
      </c>
      <c r="BD23" s="2">
        <f t="shared" si="44"/>
        <v>0</v>
      </c>
      <c r="BE23" s="2">
        <f t="shared" si="44"/>
        <v>0</v>
      </c>
      <c r="BF23" s="2">
        <f t="shared" si="44"/>
        <v>0</v>
      </c>
      <c r="BG23" s="2">
        <f t="shared" si="44"/>
        <v>0</v>
      </c>
      <c r="BI23" s="2">
        <f t="shared" si="45"/>
        <v>0</v>
      </c>
      <c r="BJ23" s="2">
        <f t="shared" si="46"/>
        <v>0</v>
      </c>
      <c r="BK23" s="2">
        <f t="shared" si="46"/>
        <v>0</v>
      </c>
      <c r="BL23" s="2">
        <f t="shared" si="46"/>
        <v>0</v>
      </c>
      <c r="BM23" s="2">
        <f t="shared" si="46"/>
        <v>0</v>
      </c>
      <c r="BN23" s="2">
        <f t="shared" si="46"/>
        <v>0</v>
      </c>
      <c r="BO23" s="2">
        <f t="shared" si="46"/>
        <v>0</v>
      </c>
    </row>
    <row r="24" spans="1:67">
      <c r="A24" s="50">
        <f t="shared" si="2"/>
        <v>24</v>
      </c>
      <c r="B24" s="51"/>
      <c r="D24" s="52" t="s">
        <v>243</v>
      </c>
      <c r="E24" s="4">
        <f>SUM(E16:E23)</f>
        <v>38438000</v>
      </c>
      <c r="F24" s="60"/>
      <c r="G24" s="60" t="s">
        <v>418</v>
      </c>
      <c r="H24" s="4">
        <f>IF(ROUND(SUM(H15:H23),3)&lt;&gt;ROUND(SUM(I24:N24),3),#VALUE!,SUM(H15:H23))</f>
        <v>38438000</v>
      </c>
      <c r="I24" s="4">
        <f>SUM(I15:I23)</f>
        <v>27442504.293752149</v>
      </c>
      <c r="J24" s="4">
        <f t="shared" ref="J24:N24" si="49">SUM(J15:J23)</f>
        <v>10234143.16536694</v>
      </c>
      <c r="K24" s="4">
        <f t="shared" si="49"/>
        <v>0</v>
      </c>
      <c r="L24" s="4">
        <f t="shared" si="49"/>
        <v>278675.4956752857</v>
      </c>
      <c r="M24" s="4">
        <f t="shared" si="49"/>
        <v>482677.04520562413</v>
      </c>
      <c r="N24" s="4">
        <f t="shared" si="49"/>
        <v>0</v>
      </c>
      <c r="O24" s="5"/>
      <c r="P24" s="61" t="str">
        <f>$A15&amp;":"&amp;A23</f>
        <v>15:23</v>
      </c>
      <c r="Q24" s="61"/>
      <c r="R24" s="115">
        <f t="shared" ref="R24:AH24" si="50">SUMPRODUCT($E16:$E23,R$16:R$23)/$E24</f>
        <v>0</v>
      </c>
      <c r="S24" s="115">
        <f t="shared" si="50"/>
        <v>0</v>
      </c>
      <c r="T24" s="13">
        <f t="shared" si="50"/>
        <v>0.13</v>
      </c>
      <c r="U24" s="13">
        <f t="shared" si="50"/>
        <v>0.87</v>
      </c>
      <c r="V24" s="13">
        <f t="shared" si="50"/>
        <v>0</v>
      </c>
      <c r="W24" s="13">
        <f t="shared" si="50"/>
        <v>0</v>
      </c>
      <c r="X24" s="13">
        <f t="shared" si="50"/>
        <v>0</v>
      </c>
      <c r="Y24" s="13">
        <f t="shared" si="50"/>
        <v>0</v>
      </c>
      <c r="Z24" s="13">
        <f t="shared" si="50"/>
        <v>0</v>
      </c>
      <c r="AA24" s="13">
        <f t="shared" si="50"/>
        <v>0</v>
      </c>
      <c r="AB24" s="13">
        <f t="shared" si="50"/>
        <v>0</v>
      </c>
      <c r="AC24" s="13">
        <f t="shared" si="50"/>
        <v>0</v>
      </c>
      <c r="AD24" s="13">
        <f t="shared" si="50"/>
        <v>0</v>
      </c>
      <c r="AE24" s="13">
        <f t="shared" si="50"/>
        <v>0</v>
      </c>
      <c r="AF24" s="13">
        <f t="shared" si="50"/>
        <v>0</v>
      </c>
      <c r="AG24" s="13">
        <f t="shared" si="50"/>
        <v>0</v>
      </c>
      <c r="AH24" s="13">
        <f t="shared" si="50"/>
        <v>0</v>
      </c>
      <c r="AI24" s="76">
        <f t="shared" si="3"/>
        <v>0</v>
      </c>
      <c r="AK24" s="4">
        <f>IF(ROUND(SUM(AK15:AK23),3)&lt;&gt;ROUND(SUM(AL24:AO24),3),#VALUE!,SUM(AK15:AK23))</f>
        <v>38438000</v>
      </c>
      <c r="AL24" s="4">
        <f>SUM(AL15:AL23)</f>
        <v>38438000</v>
      </c>
      <c r="AM24" s="4">
        <f>SUM(AM15:AM23)</f>
        <v>0</v>
      </c>
      <c r="AN24" s="4">
        <f>SUM(AN15:AN23)</f>
        <v>0</v>
      </c>
      <c r="AO24" s="4">
        <f>SUM(AO15:AO23)</f>
        <v>0</v>
      </c>
      <c r="AP24" s="5"/>
      <c r="AQ24" s="61" t="str">
        <f>$A15&amp;":"&amp;$A23</f>
        <v>15:23</v>
      </c>
      <c r="AS24" s="4">
        <f>IF(ROUND(SUM(AS15:AS23),3)&lt;&gt;ROUND(SUM(AT24:AY24),3),#VALUE!,SUM(AS15:AS23))</f>
        <v>38438000</v>
      </c>
      <c r="AT24" s="4">
        <f t="shared" ref="AT24:AY24" si="51">SUM(AT15:AT23)</f>
        <v>27442504.293752149</v>
      </c>
      <c r="AU24" s="4">
        <f t="shared" si="51"/>
        <v>10234143.16536694</v>
      </c>
      <c r="AV24" s="4">
        <f t="shared" si="51"/>
        <v>0</v>
      </c>
      <c r="AW24" s="4">
        <f t="shared" si="51"/>
        <v>278675.4956752857</v>
      </c>
      <c r="AX24" s="4">
        <f t="shared" si="51"/>
        <v>482677.04520562413</v>
      </c>
      <c r="AY24" s="4">
        <f t="shared" si="51"/>
        <v>0</v>
      </c>
      <c r="BA24" s="4">
        <f>IF(ROUND(SUM(BA15:BA23),3)&lt;&gt;ROUND(SUM(BB24:BG24),3),#VALUE!,SUM(BA15:BA23))</f>
        <v>0</v>
      </c>
      <c r="BB24" s="4">
        <f t="shared" ref="BB24:BG24" si="52">SUM(BB15:BB23)</f>
        <v>0</v>
      </c>
      <c r="BC24" s="4">
        <f t="shared" si="52"/>
        <v>0</v>
      </c>
      <c r="BD24" s="4">
        <f t="shared" si="52"/>
        <v>0</v>
      </c>
      <c r="BE24" s="4">
        <f t="shared" si="52"/>
        <v>0</v>
      </c>
      <c r="BF24" s="4">
        <f t="shared" si="52"/>
        <v>0</v>
      </c>
      <c r="BG24" s="4">
        <f t="shared" si="52"/>
        <v>0</v>
      </c>
      <c r="BI24" s="4">
        <f>IF(ROUND(SUM(BI15:BI23),3)&lt;&gt;ROUND(SUM(BJ24:BO24),3),#VALUE!,SUM(BI15:BI23))</f>
        <v>0</v>
      </c>
      <c r="BJ24" s="4">
        <f t="shared" ref="BJ24:BO24" si="53">SUM(BJ15:BJ23)</f>
        <v>0</v>
      </c>
      <c r="BK24" s="4">
        <f t="shared" si="53"/>
        <v>0</v>
      </c>
      <c r="BL24" s="4">
        <f t="shared" si="53"/>
        <v>0</v>
      </c>
      <c r="BM24" s="4">
        <f t="shared" si="53"/>
        <v>0</v>
      </c>
      <c r="BN24" s="4">
        <f t="shared" si="53"/>
        <v>0</v>
      </c>
      <c r="BO24" s="4">
        <f t="shared" si="53"/>
        <v>0</v>
      </c>
    </row>
    <row r="25" spans="1:67">
      <c r="A25" s="50">
        <f t="shared" si="2"/>
        <v>25</v>
      </c>
      <c r="B25" s="51"/>
      <c r="E25" s="2"/>
      <c r="F25" s="60"/>
      <c r="G25" s="60"/>
      <c r="P25" s="61"/>
      <c r="Q25" s="61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76">
        <f t="shared" si="3"/>
        <v>0</v>
      </c>
      <c r="AQ25" s="61"/>
    </row>
    <row r="26" spans="1:67">
      <c r="A26" s="50">
        <f t="shared" si="2"/>
        <v>26</v>
      </c>
      <c r="B26" s="51"/>
      <c r="D26" t="s">
        <v>90</v>
      </c>
      <c r="E26" s="9"/>
      <c r="F26" s="60"/>
      <c r="G26" s="60"/>
      <c r="P26" s="61"/>
      <c r="Q26" s="61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76">
        <f t="shared" si="3"/>
        <v>0</v>
      </c>
      <c r="AQ26" s="61"/>
    </row>
    <row r="27" spans="1:67">
      <c r="A27" s="50">
        <f t="shared" si="2"/>
        <v>27</v>
      </c>
      <c r="B27" s="51">
        <v>374</v>
      </c>
      <c r="C27" s="36" t="s">
        <v>154</v>
      </c>
      <c r="D27" s="28" t="s">
        <v>88</v>
      </c>
      <c r="E27" s="369">
        <f>PROFORMA!AY267</f>
        <v>657000</v>
      </c>
      <c r="F27" s="60" t="str">
        <f>"as other Dist Plt ("&amp;A$29&amp;"-"&amp;A$39&amp;")"</f>
        <v>as other Dist Plt (29-39)</v>
      </c>
      <c r="G27" s="60"/>
      <c r="H27" s="2">
        <f t="shared" ref="H27:H40" si="54">SUM(I27:N27)</f>
        <v>657000</v>
      </c>
      <c r="I27" s="2">
        <f t="shared" ref="I27:N40" si="55">$E27*SUMPRODUCT($R27:$AH27,INDEX(AllocFactors,I$4,0))</f>
        <v>493164.03021218401</v>
      </c>
      <c r="J27" s="2">
        <f t="shared" si="55"/>
        <v>126137.72013185808</v>
      </c>
      <c r="K27" s="2">
        <f t="shared" si="55"/>
        <v>0</v>
      </c>
      <c r="L27" s="2">
        <f t="shared" si="55"/>
        <v>3113.5728783921172</v>
      </c>
      <c r="M27" s="2">
        <f t="shared" si="55"/>
        <v>34584.676777565808</v>
      </c>
      <c r="N27" s="2">
        <f t="shared" si="55"/>
        <v>0</v>
      </c>
      <c r="O27" s="2"/>
      <c r="P27" s="61" t="str">
        <f>E$1&amp;$A27&amp;"* Sum["&amp;$R$1&amp;$A27&amp;":"&amp;$AH$1&amp;$A27&amp;"* "&amp;Factors!D$1&amp;Factors!$A$58&amp;":"&amp;Factors!S$1&amp;Factors!$A$64&amp;"]"</f>
        <v>E27* Sum[R27:AH27* D1042:S1048]</v>
      </c>
      <c r="Q27" s="61"/>
      <c r="R27" s="15">
        <f t="shared" ref="R27:AA28" si="56">SUMPRODUCT($E$29:$E$39,R$29:R$39)/SUM($E$29:$E$39)</f>
        <v>0.1933876764871075</v>
      </c>
      <c r="S27" s="15">
        <f t="shared" si="56"/>
        <v>0</v>
      </c>
      <c r="T27" s="15">
        <f>SUMPRODUCT($E$29:$E$39,T$29:T$39)/SUM($E$29:$E$39)</f>
        <v>0</v>
      </c>
      <c r="U27" s="15">
        <f t="shared" si="56"/>
        <v>0</v>
      </c>
      <c r="V27" s="15">
        <f t="shared" si="56"/>
        <v>0</v>
      </c>
      <c r="W27" s="15">
        <f t="shared" si="56"/>
        <v>0.31084546333511004</v>
      </c>
      <c r="X27" s="15">
        <f t="shared" si="56"/>
        <v>0</v>
      </c>
      <c r="Y27" s="15">
        <f t="shared" si="56"/>
        <v>0</v>
      </c>
      <c r="Z27" s="15">
        <f t="shared" si="56"/>
        <v>0</v>
      </c>
      <c r="AA27" s="15">
        <f t="shared" si="56"/>
        <v>0</v>
      </c>
      <c r="AB27" s="15">
        <f t="shared" ref="AB27:AH28" si="57">SUMPRODUCT($E$29:$E$39,AB$29:AB$39)/SUM($E$29:$E$39)</f>
        <v>0</v>
      </c>
      <c r="AC27" s="15">
        <f t="shared" si="57"/>
        <v>0.3588897282899246</v>
      </c>
      <c r="AD27" s="15">
        <f t="shared" si="57"/>
        <v>0.13220566312906262</v>
      </c>
      <c r="AE27" s="15">
        <f t="shared" si="57"/>
        <v>0</v>
      </c>
      <c r="AF27" s="15">
        <f t="shared" si="57"/>
        <v>4.6714687587951949E-3</v>
      </c>
      <c r="AG27" s="15">
        <f t="shared" si="57"/>
        <v>0</v>
      </c>
      <c r="AH27" s="15">
        <f t="shared" si="57"/>
        <v>0</v>
      </c>
      <c r="AI27" s="76">
        <f t="shared" si="3"/>
        <v>0</v>
      </c>
      <c r="AK27" s="2">
        <f t="shared" ref="AK27:AK40" si="58">SUM(AL27:AO27)</f>
        <v>657000</v>
      </c>
      <c r="AL27" s="2">
        <f t="shared" ref="AL27:AO40" si="59">SUMIF($R$4:$AH$4,AL$5,$R27:$AH27)*$E27</f>
        <v>127055.70345202963</v>
      </c>
      <c r="AM27" s="2">
        <f t="shared" si="59"/>
        <v>204225.46941116729</v>
      </c>
      <c r="AN27" s="2">
        <f t="shared" si="59"/>
        <v>325718.82713680307</v>
      </c>
      <c r="AO27" s="2">
        <f t="shared" si="59"/>
        <v>0</v>
      </c>
      <c r="AP27" s="2"/>
      <c r="AQ27" s="61" t="str">
        <f>E$1&amp;$A27&amp;"*["&amp;R$1&amp;$A27&amp;":"&amp;$AH$1&amp;$A27&amp;" when "&amp;R$1&amp;$A$4&amp;":"&amp;$AH$1&amp;$A$4&amp;" = E,D,C,or R]"</f>
        <v>E27*[R27:AH27 when R4:AH4 = E,D,C,or R]</v>
      </c>
      <c r="AS27" s="2">
        <f t="shared" ref="AS27:AS40" si="60">SUM(AT27:AY27)</f>
        <v>127055.70345202964</v>
      </c>
      <c r="AT27" s="2">
        <f t="shared" ref="AT27:AY40" si="61">$E27*SUMPRODUCT($R27:$V27,INDEX(AllocFactors_E,AT$4,0))</f>
        <v>72985.692013703534</v>
      </c>
      <c r="AU27" s="2">
        <f t="shared" si="61"/>
        <v>35362.67239498526</v>
      </c>
      <c r="AV27" s="2">
        <f t="shared" si="61"/>
        <v>0</v>
      </c>
      <c r="AW27" s="2">
        <f t="shared" si="61"/>
        <v>1444.0191132558139</v>
      </c>
      <c r="AX27" s="2">
        <f t="shared" si="61"/>
        <v>17263.319930085032</v>
      </c>
      <c r="AY27" s="2">
        <f t="shared" si="61"/>
        <v>0</v>
      </c>
      <c r="BA27" s="2">
        <f t="shared" ref="BA27:BA40" si="62">SUM(BB27:BG27)</f>
        <v>204225.46941116729</v>
      </c>
      <c r="BB27" s="2">
        <f t="shared" ref="BB27:BG40" si="63">$E27*SUMPRODUCT($W27:$AA27,INDEX(AllocFactors_D,BB$4,0))</f>
        <v>115459.16957190426</v>
      </c>
      <c r="BC27" s="2">
        <f t="shared" si="63"/>
        <v>71255.831425618788</v>
      </c>
      <c r="BD27" s="2">
        <f t="shared" si="63"/>
        <v>0</v>
      </c>
      <c r="BE27" s="2">
        <f t="shared" si="63"/>
        <v>1535.3262285745868</v>
      </c>
      <c r="BF27" s="2">
        <f t="shared" si="63"/>
        <v>15975.142185069637</v>
      </c>
      <c r="BG27" s="2">
        <f t="shared" si="63"/>
        <v>0</v>
      </c>
      <c r="BI27" s="2">
        <f t="shared" ref="BI27:BI40" si="64">SUM(BJ27:BO27)</f>
        <v>325718.82713680307</v>
      </c>
      <c r="BJ27" s="2">
        <f t="shared" ref="BJ27:BO40" si="65">$E27*SUMPRODUCT($AB27:$AG27,INDEX(AllocFactors_C,BJ$4,0))</f>
        <v>304719.1686265762</v>
      </c>
      <c r="BK27" s="2">
        <f t="shared" si="65"/>
        <v>19519.216311254033</v>
      </c>
      <c r="BL27" s="2">
        <f t="shared" si="65"/>
        <v>0</v>
      </c>
      <c r="BM27" s="2">
        <f t="shared" si="65"/>
        <v>134.22753656171645</v>
      </c>
      <c r="BN27" s="2">
        <f t="shared" si="65"/>
        <v>1346.2146624111415</v>
      </c>
      <c r="BO27" s="2">
        <f t="shared" si="65"/>
        <v>0</v>
      </c>
    </row>
    <row r="28" spans="1:67">
      <c r="A28" s="50">
        <f t="shared" si="2"/>
        <v>28</v>
      </c>
      <c r="B28" s="51">
        <v>375</v>
      </c>
      <c r="C28" s="36" t="s">
        <v>154</v>
      </c>
      <c r="D28" s="28" t="s">
        <v>89</v>
      </c>
      <c r="E28" s="369">
        <f>PROFORMA!AY268</f>
        <v>1065000</v>
      </c>
      <c r="F28" s="60" t="str">
        <f>"as other Dist Plt ("&amp;A$29&amp;"-"&amp;A$39&amp;")"</f>
        <v>as other Dist Plt (29-39)</v>
      </c>
      <c r="G28" s="60"/>
      <c r="H28" s="2">
        <f t="shared" si="54"/>
        <v>1065000</v>
      </c>
      <c r="I28" s="2">
        <f t="shared" si="55"/>
        <v>799421.14486449922</v>
      </c>
      <c r="J28" s="2">
        <f t="shared" si="55"/>
        <v>204469.82030506677</v>
      </c>
      <c r="K28" s="2">
        <f t="shared" si="55"/>
        <v>0</v>
      </c>
      <c r="L28" s="2">
        <f t="shared" si="55"/>
        <v>5047.1158531013771</v>
      </c>
      <c r="M28" s="2">
        <f t="shared" si="55"/>
        <v>56061.918977332702</v>
      </c>
      <c r="N28" s="2">
        <f t="shared" si="55"/>
        <v>0</v>
      </c>
      <c r="O28" s="2"/>
      <c r="P28" s="61" t="str">
        <f t="shared" ref="P28:P40" si="66">E$1&amp;$A28&amp;"*     """</f>
        <v>E28*     "</v>
      </c>
      <c r="Q28" s="61"/>
      <c r="R28" s="15">
        <f>SUMPRODUCT($E$29:$E$39,R$29:R$39)/SUM($E$29:$E$39)</f>
        <v>0.1933876764871075</v>
      </c>
      <c r="S28" s="15">
        <f t="shared" si="56"/>
        <v>0</v>
      </c>
      <c r="T28" s="15">
        <f>SUMPRODUCT($E$29:$E$39,T$29:T$39)/SUM($E$29:$E$39)</f>
        <v>0</v>
      </c>
      <c r="U28" s="15">
        <f t="shared" si="56"/>
        <v>0</v>
      </c>
      <c r="V28" s="15">
        <f t="shared" si="56"/>
        <v>0</v>
      </c>
      <c r="W28" s="15">
        <f t="shared" si="56"/>
        <v>0.31084546333511004</v>
      </c>
      <c r="X28" s="15">
        <f t="shared" si="56"/>
        <v>0</v>
      </c>
      <c r="Y28" s="15">
        <f t="shared" si="56"/>
        <v>0</v>
      </c>
      <c r="Z28" s="15">
        <f t="shared" si="56"/>
        <v>0</v>
      </c>
      <c r="AA28" s="15">
        <f t="shared" si="56"/>
        <v>0</v>
      </c>
      <c r="AB28" s="15">
        <f t="shared" si="57"/>
        <v>0</v>
      </c>
      <c r="AC28" s="15">
        <f t="shared" si="57"/>
        <v>0.3588897282899246</v>
      </c>
      <c r="AD28" s="15">
        <f t="shared" si="57"/>
        <v>0.13220566312906262</v>
      </c>
      <c r="AE28" s="15">
        <f t="shared" si="57"/>
        <v>0</v>
      </c>
      <c r="AF28" s="15">
        <f t="shared" si="57"/>
        <v>4.6714687587951949E-3</v>
      </c>
      <c r="AG28" s="15">
        <f t="shared" si="57"/>
        <v>0</v>
      </c>
      <c r="AH28" s="15">
        <f t="shared" si="57"/>
        <v>0</v>
      </c>
      <c r="AI28" s="76">
        <f t="shared" si="3"/>
        <v>0</v>
      </c>
      <c r="AK28" s="2">
        <f t="shared" si="58"/>
        <v>1065000</v>
      </c>
      <c r="AL28" s="2">
        <f t="shared" si="59"/>
        <v>205957.8754587695</v>
      </c>
      <c r="AM28" s="2">
        <f t="shared" si="59"/>
        <v>331050.41845189221</v>
      </c>
      <c r="AN28" s="2">
        <f t="shared" si="59"/>
        <v>527991.70608933829</v>
      </c>
      <c r="AO28" s="2">
        <f t="shared" si="59"/>
        <v>0</v>
      </c>
      <c r="AP28" s="2"/>
      <c r="AQ28" s="61" t="str">
        <f t="shared" ref="AQ28:AQ40" si="67">E$1&amp;$A28&amp;"*      """</f>
        <v>E28*      "</v>
      </c>
      <c r="AS28" s="2">
        <f t="shared" si="60"/>
        <v>205957.87545876953</v>
      </c>
      <c r="AT28" s="2">
        <f t="shared" si="61"/>
        <v>118310.1400222135</v>
      </c>
      <c r="AU28" s="2">
        <f t="shared" si="61"/>
        <v>57323.053425661034</v>
      </c>
      <c r="AV28" s="2">
        <f t="shared" si="61"/>
        <v>0</v>
      </c>
      <c r="AW28" s="2">
        <f t="shared" si="61"/>
        <v>2340.7615762822556</v>
      </c>
      <c r="AX28" s="2">
        <f t="shared" si="61"/>
        <v>27983.920434612723</v>
      </c>
      <c r="AY28" s="2">
        <f t="shared" si="61"/>
        <v>0</v>
      </c>
      <c r="BA28" s="2">
        <f t="shared" si="62"/>
        <v>331050.41845189215</v>
      </c>
      <c r="BB28" s="2">
        <f t="shared" si="63"/>
        <v>187159.84108687678</v>
      </c>
      <c r="BC28" s="2">
        <f t="shared" si="63"/>
        <v>115506.02811002132</v>
      </c>
      <c r="BD28" s="2">
        <f t="shared" si="63"/>
        <v>0</v>
      </c>
      <c r="BE28" s="2">
        <f t="shared" si="63"/>
        <v>2488.7708271414535</v>
      </c>
      <c r="BF28" s="2">
        <f t="shared" si="63"/>
        <v>25895.778427852609</v>
      </c>
      <c r="BG28" s="2">
        <f t="shared" si="63"/>
        <v>0</v>
      </c>
      <c r="BI28" s="2">
        <f t="shared" si="64"/>
        <v>527991.70608933829</v>
      </c>
      <c r="BJ28" s="2">
        <f t="shared" si="65"/>
        <v>493951.1637554089</v>
      </c>
      <c r="BK28" s="2">
        <f t="shared" si="65"/>
        <v>31640.738769384392</v>
      </c>
      <c r="BL28" s="2">
        <f t="shared" si="65"/>
        <v>0</v>
      </c>
      <c r="BM28" s="2">
        <f t="shared" si="65"/>
        <v>217.5834496776682</v>
      </c>
      <c r="BN28" s="2">
        <f t="shared" si="65"/>
        <v>2182.2201148673753</v>
      </c>
      <c r="BO28" s="2">
        <f t="shared" si="65"/>
        <v>0</v>
      </c>
    </row>
    <row r="29" spans="1:67" s="131" customFormat="1">
      <c r="A29" s="130">
        <f t="shared" si="2"/>
        <v>29</v>
      </c>
      <c r="B29" s="367" t="s">
        <v>988</v>
      </c>
      <c r="C29" s="132" t="s">
        <v>154</v>
      </c>
      <c r="D29" s="368" t="s">
        <v>244</v>
      </c>
      <c r="E29" s="369">
        <f>PROFORMA!AY269+PROFORMA!AY270</f>
        <v>366745000</v>
      </c>
      <c r="F29" s="119" t="s">
        <v>548</v>
      </c>
      <c r="G29" s="119" t="s">
        <v>437</v>
      </c>
      <c r="H29" s="82">
        <f t="shared" si="54"/>
        <v>366744999.99999994</v>
      </c>
      <c r="I29" s="82">
        <f t="shared" si="55"/>
        <v>208617985.03337619</v>
      </c>
      <c r="J29" s="82">
        <f t="shared" si="55"/>
        <v>118032071.80697401</v>
      </c>
      <c r="K29" s="82">
        <f t="shared" si="55"/>
        <v>0</v>
      </c>
      <c r="L29" s="82">
        <f t="shared" si="55"/>
        <v>3298285.8577381517</v>
      </c>
      <c r="M29" s="82">
        <f t="shared" si="55"/>
        <v>36796657.301911615</v>
      </c>
      <c r="N29" s="82">
        <f t="shared" si="55"/>
        <v>0</v>
      </c>
      <c r="O29" s="82"/>
      <c r="P29" s="133" t="str">
        <f t="shared" si="66"/>
        <v>E29*     "</v>
      </c>
      <c r="Q29" s="133"/>
      <c r="R29" s="108">
        <f>'Demand - Pk-Avg'!H28</f>
        <v>0.38352829517570403</v>
      </c>
      <c r="S29" s="108"/>
      <c r="T29" s="108">
        <v>0</v>
      </c>
      <c r="U29" s="108"/>
      <c r="V29" s="108"/>
      <c r="W29" s="108">
        <f>'Demand - Pk-Avg'!H27</f>
        <v>0.61647170482429592</v>
      </c>
      <c r="X29" s="108"/>
      <c r="Y29" s="108"/>
      <c r="Z29" s="108">
        <v>0</v>
      </c>
      <c r="AA29" s="108"/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34">
        <f t="shared" si="3"/>
        <v>0</v>
      </c>
      <c r="AK29" s="82">
        <f t="shared" si="58"/>
        <v>366745000</v>
      </c>
      <c r="AL29" s="82">
        <f t="shared" si="59"/>
        <v>140657084.61421359</v>
      </c>
      <c r="AM29" s="82">
        <f t="shared" si="59"/>
        <v>226087915.38578641</v>
      </c>
      <c r="AN29" s="82">
        <f t="shared" si="59"/>
        <v>0</v>
      </c>
      <c r="AO29" s="82">
        <f t="shared" si="59"/>
        <v>0</v>
      </c>
      <c r="AP29" s="82"/>
      <c r="AQ29" s="133" t="str">
        <f t="shared" si="67"/>
        <v>E29*      "</v>
      </c>
      <c r="AS29" s="82">
        <f t="shared" si="60"/>
        <v>140657084.61421359</v>
      </c>
      <c r="AT29" s="82">
        <f t="shared" si="61"/>
        <v>80798849.467425764</v>
      </c>
      <c r="AU29" s="82">
        <f t="shared" si="61"/>
        <v>39148265.430871531</v>
      </c>
      <c r="AV29" s="82">
        <f t="shared" si="61"/>
        <v>0</v>
      </c>
      <c r="AW29" s="82">
        <f t="shared" si="61"/>
        <v>1598602.1333898657</v>
      </c>
      <c r="AX29" s="82">
        <f t="shared" si="61"/>
        <v>19111367.582526423</v>
      </c>
      <c r="AY29" s="82">
        <f t="shared" si="61"/>
        <v>0</v>
      </c>
      <c r="BA29" s="82">
        <f t="shared" si="62"/>
        <v>226087915.38578635</v>
      </c>
      <c r="BB29" s="82">
        <f t="shared" si="63"/>
        <v>127819135.56595044</v>
      </c>
      <c r="BC29" s="82">
        <f t="shared" si="63"/>
        <v>78883806.376102477</v>
      </c>
      <c r="BD29" s="82">
        <f t="shared" si="63"/>
        <v>0</v>
      </c>
      <c r="BE29" s="82">
        <f t="shared" si="63"/>
        <v>1699683.7243482857</v>
      </c>
      <c r="BF29" s="82">
        <f t="shared" si="63"/>
        <v>17685289.719385188</v>
      </c>
      <c r="BG29" s="82">
        <f t="shared" si="63"/>
        <v>0</v>
      </c>
      <c r="BI29" s="82">
        <f t="shared" si="64"/>
        <v>0</v>
      </c>
      <c r="BJ29" s="82">
        <f t="shared" si="65"/>
        <v>0</v>
      </c>
      <c r="BK29" s="82">
        <f t="shared" si="65"/>
        <v>0</v>
      </c>
      <c r="BL29" s="82">
        <f t="shared" si="65"/>
        <v>0</v>
      </c>
      <c r="BM29" s="82">
        <f t="shared" si="65"/>
        <v>0</v>
      </c>
      <c r="BN29" s="82">
        <f t="shared" si="65"/>
        <v>0</v>
      </c>
      <c r="BO29" s="82">
        <f t="shared" si="65"/>
        <v>0</v>
      </c>
    </row>
    <row r="30" spans="1:67" s="131" customFormat="1">
      <c r="A30" s="130">
        <f t="shared" si="2"/>
        <v>30</v>
      </c>
      <c r="B30" s="367">
        <v>376</v>
      </c>
      <c r="C30" s="132" t="s">
        <v>154</v>
      </c>
      <c r="D30" s="368" t="s">
        <v>244</v>
      </c>
      <c r="E30" s="369"/>
      <c r="F30" s="119" t="s">
        <v>550</v>
      </c>
      <c r="G30" s="119" t="s">
        <v>437</v>
      </c>
      <c r="H30" s="82">
        <f>SUM(I30:N30)</f>
        <v>0</v>
      </c>
      <c r="I30" s="82">
        <f t="shared" si="55"/>
        <v>0</v>
      </c>
      <c r="J30" s="82">
        <f t="shared" si="55"/>
        <v>0</v>
      </c>
      <c r="K30" s="82">
        <f t="shared" si="55"/>
        <v>0</v>
      </c>
      <c r="L30" s="82">
        <f t="shared" si="55"/>
        <v>0</v>
      </c>
      <c r="M30" s="82">
        <f t="shared" si="55"/>
        <v>0</v>
      </c>
      <c r="N30" s="82">
        <f t="shared" si="55"/>
        <v>0</v>
      </c>
      <c r="O30" s="82"/>
      <c r="P30" s="133" t="str">
        <f>E$1&amp;$A30&amp;"*     """</f>
        <v>E30*     "</v>
      </c>
      <c r="Q30" s="133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34">
        <f t="shared" si="3"/>
        <v>0</v>
      </c>
      <c r="AK30" s="82">
        <f>SUM(AL30:AO30)</f>
        <v>0</v>
      </c>
      <c r="AL30" s="82">
        <f t="shared" si="59"/>
        <v>0</v>
      </c>
      <c r="AM30" s="82">
        <f t="shared" si="59"/>
        <v>0</v>
      </c>
      <c r="AN30" s="82">
        <f t="shared" si="59"/>
        <v>0</v>
      </c>
      <c r="AO30" s="82">
        <f t="shared" si="59"/>
        <v>0</v>
      </c>
      <c r="AP30" s="82"/>
      <c r="AQ30" s="133" t="str">
        <f t="shared" si="67"/>
        <v>E30*      "</v>
      </c>
      <c r="AS30" s="82">
        <f>SUM(AT30:AY30)</f>
        <v>0</v>
      </c>
      <c r="AT30" s="82">
        <f t="shared" si="61"/>
        <v>0</v>
      </c>
      <c r="AU30" s="82">
        <f t="shared" si="61"/>
        <v>0</v>
      </c>
      <c r="AV30" s="82">
        <f t="shared" si="61"/>
        <v>0</v>
      </c>
      <c r="AW30" s="82">
        <f t="shared" si="61"/>
        <v>0</v>
      </c>
      <c r="AX30" s="82">
        <f t="shared" si="61"/>
        <v>0</v>
      </c>
      <c r="AY30" s="82">
        <f t="shared" si="61"/>
        <v>0</v>
      </c>
      <c r="BA30" s="82">
        <f>SUM(BB30:BG30)</f>
        <v>0</v>
      </c>
      <c r="BB30" s="82">
        <f t="shared" si="63"/>
        <v>0</v>
      </c>
      <c r="BC30" s="82">
        <f t="shared" si="63"/>
        <v>0</v>
      </c>
      <c r="BD30" s="82">
        <f t="shared" si="63"/>
        <v>0</v>
      </c>
      <c r="BE30" s="82">
        <f t="shared" si="63"/>
        <v>0</v>
      </c>
      <c r="BF30" s="82">
        <f t="shared" si="63"/>
        <v>0</v>
      </c>
      <c r="BG30" s="82">
        <f t="shared" si="63"/>
        <v>0</v>
      </c>
      <c r="BI30" s="82">
        <f>SUM(BJ30:BO30)</f>
        <v>0</v>
      </c>
      <c r="BJ30" s="82">
        <f t="shared" si="65"/>
        <v>0</v>
      </c>
      <c r="BK30" s="82">
        <f t="shared" si="65"/>
        <v>0</v>
      </c>
      <c r="BL30" s="82">
        <f t="shared" si="65"/>
        <v>0</v>
      </c>
      <c r="BM30" s="82">
        <f t="shared" si="65"/>
        <v>0</v>
      </c>
      <c r="BN30" s="82">
        <f t="shared" si="65"/>
        <v>0</v>
      </c>
      <c r="BO30" s="82">
        <f t="shared" si="65"/>
        <v>0</v>
      </c>
    </row>
    <row r="31" spans="1:67">
      <c r="A31" s="50">
        <f t="shared" si="2"/>
        <v>31</v>
      </c>
      <c r="B31" s="51">
        <v>376</v>
      </c>
      <c r="C31" s="36" t="s">
        <v>154</v>
      </c>
      <c r="D31" s="28" t="s">
        <v>244</v>
      </c>
      <c r="E31" s="369"/>
      <c r="F31" s="60" t="s">
        <v>550</v>
      </c>
      <c r="G31" s="60" t="s">
        <v>437</v>
      </c>
      <c r="H31" s="2">
        <f t="shared" si="54"/>
        <v>0</v>
      </c>
      <c r="I31" s="2">
        <f t="shared" si="55"/>
        <v>0</v>
      </c>
      <c r="J31" s="2">
        <f t="shared" si="55"/>
        <v>0</v>
      </c>
      <c r="K31" s="2">
        <f t="shared" si="55"/>
        <v>0</v>
      </c>
      <c r="L31" s="2">
        <f t="shared" si="55"/>
        <v>0</v>
      </c>
      <c r="M31" s="2">
        <f t="shared" si="55"/>
        <v>0</v>
      </c>
      <c r="N31" s="2">
        <f t="shared" si="55"/>
        <v>0</v>
      </c>
      <c r="O31" s="2"/>
      <c r="P31" s="61" t="str">
        <f t="shared" si="66"/>
        <v>E31*     "</v>
      </c>
      <c r="Q31" s="61"/>
      <c r="R31" s="108"/>
      <c r="S31" s="108"/>
      <c r="T31" s="108"/>
      <c r="U31" s="79"/>
      <c r="V31" s="79"/>
      <c r="W31" s="108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6">
        <f t="shared" si="3"/>
        <v>0</v>
      </c>
      <c r="AK31" s="2">
        <f t="shared" si="58"/>
        <v>0</v>
      </c>
      <c r="AL31" s="2">
        <f t="shared" si="59"/>
        <v>0</v>
      </c>
      <c r="AM31" s="2">
        <f t="shared" si="59"/>
        <v>0</v>
      </c>
      <c r="AN31" s="2">
        <f t="shared" si="59"/>
        <v>0</v>
      </c>
      <c r="AO31" s="2">
        <f t="shared" si="59"/>
        <v>0</v>
      </c>
      <c r="AP31" s="2"/>
      <c r="AQ31" s="61" t="str">
        <f t="shared" si="67"/>
        <v>E31*      "</v>
      </c>
      <c r="AS31" s="2">
        <f t="shared" si="60"/>
        <v>0</v>
      </c>
      <c r="AT31" s="2">
        <f t="shared" si="61"/>
        <v>0</v>
      </c>
      <c r="AU31" s="2">
        <f t="shared" si="61"/>
        <v>0</v>
      </c>
      <c r="AV31" s="2">
        <f t="shared" si="61"/>
        <v>0</v>
      </c>
      <c r="AW31" s="2">
        <f t="shared" si="61"/>
        <v>0</v>
      </c>
      <c r="AX31" s="2">
        <f t="shared" si="61"/>
        <v>0</v>
      </c>
      <c r="AY31" s="2">
        <f t="shared" si="61"/>
        <v>0</v>
      </c>
      <c r="BA31" s="2">
        <f t="shared" si="62"/>
        <v>0</v>
      </c>
      <c r="BB31" s="2">
        <f t="shared" si="63"/>
        <v>0</v>
      </c>
      <c r="BC31" s="2">
        <f t="shared" si="63"/>
        <v>0</v>
      </c>
      <c r="BD31" s="2">
        <f t="shared" si="63"/>
        <v>0</v>
      </c>
      <c r="BE31" s="2">
        <f t="shared" si="63"/>
        <v>0</v>
      </c>
      <c r="BF31" s="2">
        <f t="shared" si="63"/>
        <v>0</v>
      </c>
      <c r="BG31" s="2">
        <f t="shared" si="63"/>
        <v>0</v>
      </c>
      <c r="BI31" s="2">
        <f t="shared" si="64"/>
        <v>0</v>
      </c>
      <c r="BJ31" s="2">
        <f t="shared" si="65"/>
        <v>0</v>
      </c>
      <c r="BK31" s="2">
        <f t="shared" si="65"/>
        <v>0</v>
      </c>
      <c r="BL31" s="2">
        <f t="shared" si="65"/>
        <v>0</v>
      </c>
      <c r="BM31" s="2">
        <f t="shared" si="65"/>
        <v>0</v>
      </c>
      <c r="BN31" s="2">
        <f t="shared" si="65"/>
        <v>0</v>
      </c>
      <c r="BO31" s="2">
        <f t="shared" si="65"/>
        <v>0</v>
      </c>
    </row>
    <row r="32" spans="1:67">
      <c r="A32" s="50">
        <f t="shared" si="2"/>
        <v>32</v>
      </c>
      <c r="B32" s="51">
        <v>378</v>
      </c>
      <c r="C32" s="36" t="s">
        <v>154</v>
      </c>
      <c r="D32" s="28" t="s">
        <v>245</v>
      </c>
      <c r="E32" s="369">
        <f>PROFORMA!AY271</f>
        <v>5469000</v>
      </c>
      <c r="F32" s="60" t="s">
        <v>548</v>
      </c>
      <c r="G32" s="60" t="s">
        <v>431</v>
      </c>
      <c r="H32" s="2">
        <f t="shared" si="54"/>
        <v>5469000</v>
      </c>
      <c r="I32" s="2">
        <f t="shared" si="55"/>
        <v>3110967.4573546592</v>
      </c>
      <c r="J32" s="2">
        <f t="shared" si="55"/>
        <v>1760125.9750299004</v>
      </c>
      <c r="K32" s="2">
        <f t="shared" si="55"/>
        <v>0</v>
      </c>
      <c r="L32" s="2">
        <f t="shared" si="55"/>
        <v>49184.925100464767</v>
      </c>
      <c r="M32" s="2">
        <f t="shared" si="55"/>
        <v>548721.64251497528</v>
      </c>
      <c r="N32" s="2">
        <f t="shared" si="55"/>
        <v>0</v>
      </c>
      <c r="O32" s="2"/>
      <c r="P32" s="61" t="str">
        <f t="shared" si="66"/>
        <v>E32*     "</v>
      </c>
      <c r="Q32" s="61"/>
      <c r="R32" s="15">
        <f>PkAvg_E</f>
        <v>0.38352829517570403</v>
      </c>
      <c r="S32" s="79"/>
      <c r="T32" s="79"/>
      <c r="U32" s="79"/>
      <c r="V32" s="79"/>
      <c r="W32" s="15">
        <f>PkAvg_D</f>
        <v>0.61647170482429592</v>
      </c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6">
        <f t="shared" si="3"/>
        <v>0</v>
      </c>
      <c r="AK32" s="2">
        <f t="shared" si="58"/>
        <v>5469000</v>
      </c>
      <c r="AL32" s="2">
        <f t="shared" si="59"/>
        <v>2097516.2463159254</v>
      </c>
      <c r="AM32" s="2">
        <f t="shared" si="59"/>
        <v>3371483.7536840742</v>
      </c>
      <c r="AN32" s="2">
        <f t="shared" si="59"/>
        <v>0</v>
      </c>
      <c r="AO32" s="2">
        <f t="shared" si="59"/>
        <v>0</v>
      </c>
      <c r="AP32" s="2"/>
      <c r="AQ32" s="61" t="str">
        <f t="shared" si="67"/>
        <v>E32*      "</v>
      </c>
      <c r="AS32" s="2">
        <f t="shared" si="60"/>
        <v>2097516.2463159254</v>
      </c>
      <c r="AT32" s="2">
        <f t="shared" si="61"/>
        <v>1204894.1573500703</v>
      </c>
      <c r="AU32" s="2">
        <f t="shared" si="61"/>
        <v>583789.45491127728</v>
      </c>
      <c r="AV32" s="2">
        <f t="shared" si="61"/>
        <v>0</v>
      </c>
      <c r="AW32" s="2">
        <f t="shared" si="61"/>
        <v>23838.784625582284</v>
      </c>
      <c r="AX32" s="2">
        <f t="shared" si="61"/>
        <v>284993.84942899569</v>
      </c>
      <c r="AY32" s="2">
        <f t="shared" si="61"/>
        <v>0</v>
      </c>
      <c r="BA32" s="2">
        <f t="shared" si="62"/>
        <v>3371483.7536840742</v>
      </c>
      <c r="BB32" s="2">
        <f t="shared" si="63"/>
        <v>1906073.3000045889</v>
      </c>
      <c r="BC32" s="2">
        <f t="shared" si="63"/>
        <v>1176336.520118623</v>
      </c>
      <c r="BD32" s="2">
        <f t="shared" si="63"/>
        <v>0</v>
      </c>
      <c r="BE32" s="2">
        <f t="shared" si="63"/>
        <v>25346.140474882479</v>
      </c>
      <c r="BF32" s="2">
        <f t="shared" si="63"/>
        <v>263727.79308597965</v>
      </c>
      <c r="BG32" s="2">
        <f t="shared" si="63"/>
        <v>0</v>
      </c>
      <c r="BI32" s="2">
        <f t="shared" si="64"/>
        <v>0</v>
      </c>
      <c r="BJ32" s="2">
        <f t="shared" si="65"/>
        <v>0</v>
      </c>
      <c r="BK32" s="2">
        <f t="shared" si="65"/>
        <v>0</v>
      </c>
      <c r="BL32" s="2">
        <f t="shared" si="65"/>
        <v>0</v>
      </c>
      <c r="BM32" s="2">
        <f t="shared" si="65"/>
        <v>0</v>
      </c>
      <c r="BN32" s="2">
        <f t="shared" si="65"/>
        <v>0</v>
      </c>
      <c r="BO32" s="2">
        <f t="shared" si="65"/>
        <v>0</v>
      </c>
    </row>
    <row r="33" spans="1:67">
      <c r="A33" s="50">
        <f t="shared" si="2"/>
        <v>33</v>
      </c>
      <c r="B33" s="51">
        <v>379</v>
      </c>
      <c r="C33" s="36" t="s">
        <v>154</v>
      </c>
      <c r="D33" s="28" t="s">
        <v>246</v>
      </c>
      <c r="E33" s="369">
        <f>PROFORMA!AY272</f>
        <v>2226000</v>
      </c>
      <c r="F33" s="60" t="s">
        <v>548</v>
      </c>
      <c r="G33" s="60" t="s">
        <v>432</v>
      </c>
      <c r="H33" s="2">
        <f t="shared" si="54"/>
        <v>2226000</v>
      </c>
      <c r="I33" s="2">
        <f t="shared" si="55"/>
        <v>1266230.3090275135</v>
      </c>
      <c r="J33" s="2">
        <f t="shared" si="55"/>
        <v>716408.92675380479</v>
      </c>
      <c r="K33" s="2">
        <f t="shared" si="55"/>
        <v>0</v>
      </c>
      <c r="L33" s="2">
        <f t="shared" si="55"/>
        <v>20019.316744127733</v>
      </c>
      <c r="M33" s="2">
        <f t="shared" si="55"/>
        <v>223341.44747455386</v>
      </c>
      <c r="N33" s="2">
        <f t="shared" si="55"/>
        <v>0</v>
      </c>
      <c r="O33" s="2"/>
      <c r="P33" s="61" t="str">
        <f t="shared" si="66"/>
        <v>E33*     "</v>
      </c>
      <c r="Q33" s="61"/>
      <c r="R33" s="15">
        <f>PkAvg_E</f>
        <v>0.38352829517570403</v>
      </c>
      <c r="S33" s="79"/>
      <c r="T33" s="79"/>
      <c r="U33" s="79"/>
      <c r="V33" s="79"/>
      <c r="W33" s="15">
        <f>PkAvg_D</f>
        <v>0.61647170482429592</v>
      </c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6">
        <f t="shared" si="3"/>
        <v>0</v>
      </c>
      <c r="AK33" s="2">
        <f t="shared" si="58"/>
        <v>2226000</v>
      </c>
      <c r="AL33" s="2">
        <f t="shared" si="59"/>
        <v>853733.98506111722</v>
      </c>
      <c r="AM33" s="2">
        <f t="shared" si="59"/>
        <v>1372266.0149388828</v>
      </c>
      <c r="AN33" s="2">
        <f t="shared" si="59"/>
        <v>0</v>
      </c>
      <c r="AO33" s="2">
        <f t="shared" si="59"/>
        <v>0</v>
      </c>
      <c r="AP33" s="2"/>
      <c r="AQ33" s="61" t="str">
        <f t="shared" si="67"/>
        <v>E33*      "</v>
      </c>
      <c r="AS33" s="2">
        <f t="shared" si="60"/>
        <v>853733.98506111722</v>
      </c>
      <c r="AT33" s="2">
        <f t="shared" si="61"/>
        <v>490417.69871297426</v>
      </c>
      <c r="AU33" s="2">
        <f t="shared" si="61"/>
        <v>237614.79733635092</v>
      </c>
      <c r="AV33" s="2">
        <f t="shared" si="61"/>
        <v>0</v>
      </c>
      <c r="AW33" s="2">
        <f t="shared" si="61"/>
        <v>9702.8953330675013</v>
      </c>
      <c r="AX33" s="2">
        <f t="shared" si="61"/>
        <v>115998.59367872452</v>
      </c>
      <c r="AY33" s="2">
        <f t="shared" si="61"/>
        <v>0</v>
      </c>
      <c r="BA33" s="2">
        <f t="shared" si="62"/>
        <v>1372266.0149388826</v>
      </c>
      <c r="BB33" s="2">
        <f t="shared" si="63"/>
        <v>775812.61031453917</v>
      </c>
      <c r="BC33" s="2">
        <f t="shared" si="63"/>
        <v>478794.12941745383</v>
      </c>
      <c r="BD33" s="2">
        <f t="shared" si="63"/>
        <v>0</v>
      </c>
      <c r="BE33" s="2">
        <f t="shared" si="63"/>
        <v>10316.42141106023</v>
      </c>
      <c r="BF33" s="2">
        <f t="shared" si="63"/>
        <v>107342.85379582933</v>
      </c>
      <c r="BG33" s="2">
        <f t="shared" si="63"/>
        <v>0</v>
      </c>
      <c r="BI33" s="2">
        <f t="shared" si="64"/>
        <v>0</v>
      </c>
      <c r="BJ33" s="2">
        <f t="shared" si="65"/>
        <v>0</v>
      </c>
      <c r="BK33" s="2">
        <f t="shared" si="65"/>
        <v>0</v>
      </c>
      <c r="BL33" s="2">
        <f t="shared" si="65"/>
        <v>0</v>
      </c>
      <c r="BM33" s="2">
        <f t="shared" si="65"/>
        <v>0</v>
      </c>
      <c r="BN33" s="2">
        <f t="shared" si="65"/>
        <v>0</v>
      </c>
      <c r="BO33" s="2">
        <f t="shared" si="65"/>
        <v>0</v>
      </c>
    </row>
    <row r="34" spans="1:67">
      <c r="A34" s="50">
        <f t="shared" si="2"/>
        <v>34</v>
      </c>
      <c r="B34" s="51">
        <v>380</v>
      </c>
      <c r="C34" s="36" t="s">
        <v>154</v>
      </c>
      <c r="D34" s="28" t="s">
        <v>91</v>
      </c>
      <c r="E34" s="369">
        <f>PROFORMA!AY273</f>
        <v>266509000</v>
      </c>
      <c r="F34" s="60" t="s">
        <v>446</v>
      </c>
      <c r="G34" s="60" t="s">
        <v>438</v>
      </c>
      <c r="H34" s="2">
        <f t="shared" si="54"/>
        <v>266509000</v>
      </c>
      <c r="I34" s="2">
        <f t="shared" si="55"/>
        <v>260518281.08693209</v>
      </c>
      <c r="J34" s="2">
        <f t="shared" si="55"/>
        <v>5214489.1553355884</v>
      </c>
      <c r="K34" s="2">
        <f t="shared" si="55"/>
        <v>0</v>
      </c>
      <c r="L34" s="2">
        <f t="shared" si="55"/>
        <v>20039.973729281319</v>
      </c>
      <c r="M34" s="2">
        <f t="shared" si="55"/>
        <v>756189.78400305321</v>
      </c>
      <c r="N34" s="2">
        <f t="shared" si="55"/>
        <v>0</v>
      </c>
      <c r="O34" s="2"/>
      <c r="P34" s="61" t="str">
        <f t="shared" si="66"/>
        <v>E34*     "</v>
      </c>
      <c r="Q34" s="61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>
        <v>1</v>
      </c>
      <c r="AD34" s="79"/>
      <c r="AE34" s="79"/>
      <c r="AF34" s="79"/>
      <c r="AG34" s="79"/>
      <c r="AH34" s="79"/>
      <c r="AI34" s="76">
        <f t="shared" si="3"/>
        <v>0</v>
      </c>
      <c r="AK34" s="2">
        <f t="shared" si="58"/>
        <v>266509000</v>
      </c>
      <c r="AL34" s="2">
        <f t="shared" si="59"/>
        <v>0</v>
      </c>
      <c r="AM34" s="2">
        <f t="shared" si="59"/>
        <v>0</v>
      </c>
      <c r="AN34" s="2">
        <f t="shared" si="59"/>
        <v>266509000</v>
      </c>
      <c r="AO34" s="2">
        <f t="shared" si="59"/>
        <v>0</v>
      </c>
      <c r="AP34" s="2"/>
      <c r="AQ34" s="61" t="str">
        <f t="shared" si="67"/>
        <v>E34*      "</v>
      </c>
      <c r="AS34" s="2">
        <f t="shared" si="60"/>
        <v>0</v>
      </c>
      <c r="AT34" s="2">
        <f t="shared" si="61"/>
        <v>0</v>
      </c>
      <c r="AU34" s="2">
        <f t="shared" si="61"/>
        <v>0</v>
      </c>
      <c r="AV34" s="2">
        <f t="shared" si="61"/>
        <v>0</v>
      </c>
      <c r="AW34" s="2">
        <f t="shared" si="61"/>
        <v>0</v>
      </c>
      <c r="AX34" s="2">
        <f t="shared" si="61"/>
        <v>0</v>
      </c>
      <c r="AY34" s="2">
        <f t="shared" si="61"/>
        <v>0</v>
      </c>
      <c r="BA34" s="2">
        <f t="shared" si="62"/>
        <v>0</v>
      </c>
      <c r="BB34" s="2">
        <f t="shared" si="63"/>
        <v>0</v>
      </c>
      <c r="BC34" s="2">
        <f t="shared" si="63"/>
        <v>0</v>
      </c>
      <c r="BD34" s="2">
        <f t="shared" si="63"/>
        <v>0</v>
      </c>
      <c r="BE34" s="2">
        <f t="shared" si="63"/>
        <v>0</v>
      </c>
      <c r="BF34" s="2">
        <f t="shared" si="63"/>
        <v>0</v>
      </c>
      <c r="BG34" s="2">
        <f t="shared" si="63"/>
        <v>0</v>
      </c>
      <c r="BI34" s="2">
        <f t="shared" si="64"/>
        <v>266509000</v>
      </c>
      <c r="BJ34" s="2">
        <f t="shared" si="65"/>
        <v>260518281.08693209</v>
      </c>
      <c r="BK34" s="2">
        <f t="shared" si="65"/>
        <v>5214489.1553355884</v>
      </c>
      <c r="BL34" s="2">
        <f t="shared" si="65"/>
        <v>0</v>
      </c>
      <c r="BM34" s="2">
        <f t="shared" si="65"/>
        <v>20039.973729281319</v>
      </c>
      <c r="BN34" s="2">
        <f t="shared" si="65"/>
        <v>756189.78400305321</v>
      </c>
      <c r="BO34" s="2">
        <f t="shared" si="65"/>
        <v>0</v>
      </c>
    </row>
    <row r="35" spans="1:67">
      <c r="A35" s="50">
        <f t="shared" si="2"/>
        <v>35</v>
      </c>
      <c r="B35" s="51">
        <v>381</v>
      </c>
      <c r="C35" s="36" t="s">
        <v>154</v>
      </c>
      <c r="D35" s="28" t="s">
        <v>8</v>
      </c>
      <c r="E35" s="369">
        <f>PROFORMA!AY274</f>
        <v>98175000</v>
      </c>
      <c r="F35" s="60" t="s">
        <v>447</v>
      </c>
      <c r="G35" s="60" t="s">
        <v>434</v>
      </c>
      <c r="H35" s="2">
        <f t="shared" si="54"/>
        <v>98175000</v>
      </c>
      <c r="I35" s="2">
        <f t="shared" si="55"/>
        <v>83899255.576561198</v>
      </c>
      <c r="J35" s="2">
        <f t="shared" si="55"/>
        <v>13588970.539312162</v>
      </c>
      <c r="K35" s="2">
        <f t="shared" si="55"/>
        <v>0</v>
      </c>
      <c r="L35" s="2">
        <f t="shared" si="55"/>
        <v>100679.29808237152</v>
      </c>
      <c r="M35" s="2">
        <f t="shared" si="55"/>
        <v>586094.58604426787</v>
      </c>
      <c r="N35" s="2">
        <f t="shared" si="55"/>
        <v>0</v>
      </c>
      <c r="O35" s="2"/>
      <c r="P35" s="61" t="str">
        <f t="shared" si="66"/>
        <v>E35*     "</v>
      </c>
      <c r="Q35" s="61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>
        <v>1</v>
      </c>
      <c r="AE35" s="79"/>
      <c r="AF35" s="79"/>
      <c r="AG35" s="79"/>
      <c r="AH35" s="79"/>
      <c r="AI35" s="76">
        <f t="shared" si="3"/>
        <v>0</v>
      </c>
      <c r="AK35" s="2">
        <f t="shared" si="58"/>
        <v>98175000</v>
      </c>
      <c r="AL35" s="2">
        <f t="shared" si="59"/>
        <v>0</v>
      </c>
      <c r="AM35" s="2">
        <f t="shared" si="59"/>
        <v>0</v>
      </c>
      <c r="AN35" s="2">
        <f t="shared" si="59"/>
        <v>98175000</v>
      </c>
      <c r="AO35" s="2">
        <f t="shared" si="59"/>
        <v>0</v>
      </c>
      <c r="AP35" s="2"/>
      <c r="AQ35" s="61" t="str">
        <f t="shared" si="67"/>
        <v>E35*      "</v>
      </c>
      <c r="AS35" s="2">
        <f t="shared" si="60"/>
        <v>0</v>
      </c>
      <c r="AT35" s="2">
        <f t="shared" si="61"/>
        <v>0</v>
      </c>
      <c r="AU35" s="2">
        <f t="shared" si="61"/>
        <v>0</v>
      </c>
      <c r="AV35" s="2">
        <f t="shared" si="61"/>
        <v>0</v>
      </c>
      <c r="AW35" s="2">
        <f t="shared" si="61"/>
        <v>0</v>
      </c>
      <c r="AX35" s="2">
        <f t="shared" si="61"/>
        <v>0</v>
      </c>
      <c r="AY35" s="2">
        <f t="shared" si="61"/>
        <v>0</v>
      </c>
      <c r="BA35" s="2">
        <f t="shared" si="62"/>
        <v>0</v>
      </c>
      <c r="BB35" s="2">
        <f t="shared" si="63"/>
        <v>0</v>
      </c>
      <c r="BC35" s="2">
        <f t="shared" si="63"/>
        <v>0</v>
      </c>
      <c r="BD35" s="2">
        <f t="shared" si="63"/>
        <v>0</v>
      </c>
      <c r="BE35" s="2">
        <f t="shared" si="63"/>
        <v>0</v>
      </c>
      <c r="BF35" s="2">
        <f t="shared" si="63"/>
        <v>0</v>
      </c>
      <c r="BG35" s="2">
        <f t="shared" si="63"/>
        <v>0</v>
      </c>
      <c r="BI35" s="2">
        <f t="shared" si="64"/>
        <v>98175000</v>
      </c>
      <c r="BJ35" s="2">
        <f t="shared" si="65"/>
        <v>83899255.576561198</v>
      </c>
      <c r="BK35" s="2">
        <f t="shared" si="65"/>
        <v>13588970.539312162</v>
      </c>
      <c r="BL35" s="2">
        <f t="shared" si="65"/>
        <v>0</v>
      </c>
      <c r="BM35" s="2">
        <f t="shared" si="65"/>
        <v>100679.29808237152</v>
      </c>
      <c r="BN35" s="2">
        <f t="shared" si="65"/>
        <v>586094.58604426787</v>
      </c>
      <c r="BO35" s="2">
        <f t="shared" si="65"/>
        <v>0</v>
      </c>
    </row>
    <row r="36" spans="1:67">
      <c r="A36" s="50">
        <f t="shared" si="2"/>
        <v>36</v>
      </c>
      <c r="B36" s="51">
        <v>382</v>
      </c>
      <c r="C36" s="36" t="s">
        <v>154</v>
      </c>
      <c r="D36" s="28" t="s">
        <v>247</v>
      </c>
      <c r="E36" s="369">
        <f>PROFORMA!AY275</f>
        <v>0</v>
      </c>
      <c r="F36" s="60" t="s">
        <v>445</v>
      </c>
      <c r="G36" s="60" t="s">
        <v>434</v>
      </c>
      <c r="H36" s="2">
        <f t="shared" si="54"/>
        <v>0</v>
      </c>
      <c r="I36" s="2">
        <f t="shared" si="55"/>
        <v>0</v>
      </c>
      <c r="J36" s="2">
        <f t="shared" si="55"/>
        <v>0</v>
      </c>
      <c r="K36" s="2">
        <f t="shared" si="55"/>
        <v>0</v>
      </c>
      <c r="L36" s="2">
        <f t="shared" si="55"/>
        <v>0</v>
      </c>
      <c r="M36" s="2">
        <f t="shared" si="55"/>
        <v>0</v>
      </c>
      <c r="N36" s="2">
        <f t="shared" si="55"/>
        <v>0</v>
      </c>
      <c r="O36" s="2"/>
      <c r="P36" s="61" t="str">
        <f t="shared" si="66"/>
        <v>E36*     "</v>
      </c>
      <c r="Q36" s="61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>
        <v>1</v>
      </c>
      <c r="AC36" s="79"/>
      <c r="AD36" s="79"/>
      <c r="AE36" s="79"/>
      <c r="AF36" s="79"/>
      <c r="AG36" s="79"/>
      <c r="AH36" s="79"/>
      <c r="AI36" s="76">
        <f t="shared" si="3"/>
        <v>0</v>
      </c>
      <c r="AK36" s="2">
        <f t="shared" si="58"/>
        <v>0</v>
      </c>
      <c r="AL36" s="2">
        <f t="shared" si="59"/>
        <v>0</v>
      </c>
      <c r="AM36" s="2">
        <f t="shared" si="59"/>
        <v>0</v>
      </c>
      <c r="AN36" s="2">
        <f t="shared" si="59"/>
        <v>0</v>
      </c>
      <c r="AO36" s="2">
        <f t="shared" si="59"/>
        <v>0</v>
      </c>
      <c r="AP36" s="2"/>
      <c r="AQ36" s="61" t="str">
        <f t="shared" si="67"/>
        <v>E36*      "</v>
      </c>
      <c r="AS36" s="2">
        <f t="shared" si="60"/>
        <v>0</v>
      </c>
      <c r="AT36" s="2">
        <f t="shared" si="61"/>
        <v>0</v>
      </c>
      <c r="AU36" s="2">
        <f t="shared" si="61"/>
        <v>0</v>
      </c>
      <c r="AV36" s="2">
        <f t="shared" si="61"/>
        <v>0</v>
      </c>
      <c r="AW36" s="2">
        <f t="shared" si="61"/>
        <v>0</v>
      </c>
      <c r="AX36" s="2">
        <f t="shared" si="61"/>
        <v>0</v>
      </c>
      <c r="AY36" s="2">
        <f t="shared" si="61"/>
        <v>0</v>
      </c>
      <c r="BA36" s="2">
        <f t="shared" si="62"/>
        <v>0</v>
      </c>
      <c r="BB36" s="2">
        <f t="shared" si="63"/>
        <v>0</v>
      </c>
      <c r="BC36" s="2">
        <f t="shared" si="63"/>
        <v>0</v>
      </c>
      <c r="BD36" s="2">
        <f t="shared" si="63"/>
        <v>0</v>
      </c>
      <c r="BE36" s="2">
        <f t="shared" si="63"/>
        <v>0</v>
      </c>
      <c r="BF36" s="2">
        <f t="shared" si="63"/>
        <v>0</v>
      </c>
      <c r="BG36" s="2">
        <f t="shared" si="63"/>
        <v>0</v>
      </c>
      <c r="BI36" s="2">
        <f t="shared" si="64"/>
        <v>0</v>
      </c>
      <c r="BJ36" s="2">
        <f t="shared" si="65"/>
        <v>0</v>
      </c>
      <c r="BK36" s="2">
        <f t="shared" si="65"/>
        <v>0</v>
      </c>
      <c r="BL36" s="2">
        <f t="shared" si="65"/>
        <v>0</v>
      </c>
      <c r="BM36" s="2">
        <f t="shared" si="65"/>
        <v>0</v>
      </c>
      <c r="BN36" s="2">
        <f t="shared" si="65"/>
        <v>0</v>
      </c>
      <c r="BO36" s="2">
        <f t="shared" si="65"/>
        <v>0</v>
      </c>
    </row>
    <row r="37" spans="1:67">
      <c r="A37" s="50">
        <f t="shared" si="2"/>
        <v>37</v>
      </c>
      <c r="B37" s="51">
        <v>383</v>
      </c>
      <c r="C37" s="36" t="s">
        <v>154</v>
      </c>
      <c r="D37" s="28" t="s">
        <v>248</v>
      </c>
      <c r="E37" s="369">
        <f>PROFORMA!AY276</f>
        <v>0</v>
      </c>
      <c r="F37" s="60" t="s">
        <v>448</v>
      </c>
      <c r="G37" s="60" t="s">
        <v>434</v>
      </c>
      <c r="H37" s="2">
        <f t="shared" si="54"/>
        <v>0</v>
      </c>
      <c r="I37" s="2">
        <f t="shared" si="55"/>
        <v>0</v>
      </c>
      <c r="J37" s="2">
        <f t="shared" si="55"/>
        <v>0</v>
      </c>
      <c r="K37" s="2">
        <f t="shared" si="55"/>
        <v>0</v>
      </c>
      <c r="L37" s="2">
        <f t="shared" si="55"/>
        <v>0</v>
      </c>
      <c r="M37" s="2">
        <f t="shared" si="55"/>
        <v>0</v>
      </c>
      <c r="N37" s="2">
        <f t="shared" si="55"/>
        <v>0</v>
      </c>
      <c r="O37" s="2"/>
      <c r="P37" s="61" t="str">
        <f t="shared" si="66"/>
        <v>E37*     "</v>
      </c>
      <c r="Q37" s="61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6">
        <f t="shared" si="3"/>
        <v>0</v>
      </c>
      <c r="AK37" s="2">
        <f t="shared" si="58"/>
        <v>0</v>
      </c>
      <c r="AL37" s="2">
        <f t="shared" si="59"/>
        <v>0</v>
      </c>
      <c r="AM37" s="2">
        <f t="shared" si="59"/>
        <v>0</v>
      </c>
      <c r="AN37" s="2">
        <f t="shared" si="59"/>
        <v>0</v>
      </c>
      <c r="AO37" s="2">
        <f t="shared" si="59"/>
        <v>0</v>
      </c>
      <c r="AP37" s="2"/>
      <c r="AQ37" s="61" t="str">
        <f t="shared" si="67"/>
        <v>E37*      "</v>
      </c>
      <c r="AS37" s="2">
        <f t="shared" si="60"/>
        <v>0</v>
      </c>
      <c r="AT37" s="2">
        <f t="shared" si="61"/>
        <v>0</v>
      </c>
      <c r="AU37" s="2">
        <f t="shared" si="61"/>
        <v>0</v>
      </c>
      <c r="AV37" s="2">
        <f t="shared" si="61"/>
        <v>0</v>
      </c>
      <c r="AW37" s="2">
        <f t="shared" si="61"/>
        <v>0</v>
      </c>
      <c r="AX37" s="2">
        <f t="shared" si="61"/>
        <v>0</v>
      </c>
      <c r="AY37" s="2">
        <f t="shared" si="61"/>
        <v>0</v>
      </c>
      <c r="BA37" s="2">
        <f t="shared" si="62"/>
        <v>0</v>
      </c>
      <c r="BB37" s="2">
        <f t="shared" si="63"/>
        <v>0</v>
      </c>
      <c r="BC37" s="2">
        <f t="shared" si="63"/>
        <v>0</v>
      </c>
      <c r="BD37" s="2">
        <f t="shared" si="63"/>
        <v>0</v>
      </c>
      <c r="BE37" s="2">
        <f t="shared" si="63"/>
        <v>0</v>
      </c>
      <c r="BF37" s="2">
        <f t="shared" si="63"/>
        <v>0</v>
      </c>
      <c r="BG37" s="2">
        <f t="shared" si="63"/>
        <v>0</v>
      </c>
      <c r="BI37" s="2">
        <f t="shared" si="64"/>
        <v>0</v>
      </c>
      <c r="BJ37" s="2">
        <f t="shared" si="65"/>
        <v>0</v>
      </c>
      <c r="BK37" s="2">
        <f t="shared" si="65"/>
        <v>0</v>
      </c>
      <c r="BL37" s="2">
        <f t="shared" si="65"/>
        <v>0</v>
      </c>
      <c r="BM37" s="2">
        <f t="shared" si="65"/>
        <v>0</v>
      </c>
      <c r="BN37" s="2">
        <f t="shared" si="65"/>
        <v>0</v>
      </c>
      <c r="BO37" s="2">
        <f t="shared" si="65"/>
        <v>0</v>
      </c>
    </row>
    <row r="38" spans="1:67">
      <c r="A38" s="50">
        <f t="shared" si="2"/>
        <v>38</v>
      </c>
      <c r="B38" s="51">
        <v>384</v>
      </c>
      <c r="C38" s="36" t="s">
        <v>154</v>
      </c>
      <c r="D38" s="28" t="s">
        <v>249</v>
      </c>
      <c r="E38" s="369">
        <f>PROFORMA!AY277</f>
        <v>0</v>
      </c>
      <c r="F38" s="60" t="s">
        <v>445</v>
      </c>
      <c r="G38" s="60" t="s">
        <v>434</v>
      </c>
      <c r="H38" s="2">
        <f t="shared" si="54"/>
        <v>0</v>
      </c>
      <c r="I38" s="2">
        <f t="shared" si="55"/>
        <v>0</v>
      </c>
      <c r="J38" s="2">
        <f t="shared" si="55"/>
        <v>0</v>
      </c>
      <c r="K38" s="2">
        <f t="shared" si="55"/>
        <v>0</v>
      </c>
      <c r="L38" s="2">
        <f t="shared" si="55"/>
        <v>0</v>
      </c>
      <c r="M38" s="2">
        <f t="shared" si="55"/>
        <v>0</v>
      </c>
      <c r="N38" s="2">
        <f t="shared" si="55"/>
        <v>0</v>
      </c>
      <c r="O38" s="2"/>
      <c r="P38" s="61" t="str">
        <f t="shared" si="66"/>
        <v>E38*     "</v>
      </c>
      <c r="Q38" s="61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>
        <v>1</v>
      </c>
      <c r="AC38" s="79"/>
      <c r="AD38" s="79"/>
      <c r="AE38" s="79"/>
      <c r="AF38" s="79"/>
      <c r="AG38" s="79"/>
      <c r="AH38" s="79"/>
      <c r="AI38" s="76">
        <f t="shared" si="3"/>
        <v>0</v>
      </c>
      <c r="AK38" s="2">
        <f t="shared" si="58"/>
        <v>0</v>
      </c>
      <c r="AL38" s="2">
        <f t="shared" si="59"/>
        <v>0</v>
      </c>
      <c r="AM38" s="2">
        <f t="shared" si="59"/>
        <v>0</v>
      </c>
      <c r="AN38" s="2">
        <f t="shared" si="59"/>
        <v>0</v>
      </c>
      <c r="AO38" s="2">
        <f t="shared" si="59"/>
        <v>0</v>
      </c>
      <c r="AP38" s="2"/>
      <c r="AQ38" s="61" t="str">
        <f t="shared" si="67"/>
        <v>E38*      "</v>
      </c>
      <c r="AS38" s="2">
        <f t="shared" si="60"/>
        <v>0</v>
      </c>
      <c r="AT38" s="2">
        <f t="shared" si="61"/>
        <v>0</v>
      </c>
      <c r="AU38" s="2">
        <f t="shared" si="61"/>
        <v>0</v>
      </c>
      <c r="AV38" s="2">
        <f t="shared" si="61"/>
        <v>0</v>
      </c>
      <c r="AW38" s="2">
        <f t="shared" si="61"/>
        <v>0</v>
      </c>
      <c r="AX38" s="2">
        <f t="shared" si="61"/>
        <v>0</v>
      </c>
      <c r="AY38" s="2">
        <f t="shared" si="61"/>
        <v>0</v>
      </c>
      <c r="BA38" s="2">
        <f t="shared" si="62"/>
        <v>0</v>
      </c>
      <c r="BB38" s="2">
        <f t="shared" si="63"/>
        <v>0</v>
      </c>
      <c r="BC38" s="2">
        <f t="shared" si="63"/>
        <v>0</v>
      </c>
      <c r="BD38" s="2">
        <f t="shared" si="63"/>
        <v>0</v>
      </c>
      <c r="BE38" s="2">
        <f t="shared" si="63"/>
        <v>0</v>
      </c>
      <c r="BF38" s="2">
        <f t="shared" si="63"/>
        <v>0</v>
      </c>
      <c r="BG38" s="2">
        <f t="shared" si="63"/>
        <v>0</v>
      </c>
      <c r="BI38" s="2">
        <f t="shared" si="64"/>
        <v>0</v>
      </c>
      <c r="BJ38" s="2">
        <f t="shared" si="65"/>
        <v>0</v>
      </c>
      <c r="BK38" s="2">
        <f t="shared" si="65"/>
        <v>0</v>
      </c>
      <c r="BL38" s="2">
        <f t="shared" si="65"/>
        <v>0</v>
      </c>
      <c r="BM38" s="2">
        <f t="shared" si="65"/>
        <v>0</v>
      </c>
      <c r="BN38" s="2">
        <f t="shared" si="65"/>
        <v>0</v>
      </c>
      <c r="BO38" s="2">
        <f t="shared" si="65"/>
        <v>0</v>
      </c>
    </row>
    <row r="39" spans="1:67">
      <c r="A39" s="50">
        <f t="shared" si="2"/>
        <v>39</v>
      </c>
      <c r="B39" s="51">
        <v>385</v>
      </c>
      <c r="C39" s="36" t="s">
        <v>154</v>
      </c>
      <c r="D39" s="28" t="s">
        <v>250</v>
      </c>
      <c r="E39" s="369">
        <f>PROFORMA!AY278</f>
        <v>3469000</v>
      </c>
      <c r="F39" s="60" t="s">
        <v>449</v>
      </c>
      <c r="G39" s="60" t="s">
        <v>433</v>
      </c>
      <c r="H39" s="2">
        <f t="shared" si="54"/>
        <v>3469000</v>
      </c>
      <c r="I39" s="2">
        <f t="shared" si="55"/>
        <v>0</v>
      </c>
      <c r="J39" s="2">
        <f t="shared" si="55"/>
        <v>3258691.5964071453</v>
      </c>
      <c r="K39" s="2">
        <f t="shared" si="55"/>
        <v>0</v>
      </c>
      <c r="L39" s="2">
        <f t="shared" si="55"/>
        <v>30995.232081763756</v>
      </c>
      <c r="M39" s="2">
        <f t="shared" si="55"/>
        <v>179313.171511091</v>
      </c>
      <c r="N39" s="2">
        <f t="shared" si="55"/>
        <v>0</v>
      </c>
      <c r="O39" s="2"/>
      <c r="P39" s="61" t="str">
        <f t="shared" si="66"/>
        <v>E39*     "</v>
      </c>
      <c r="Q39" s="61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>
        <v>1</v>
      </c>
      <c r="AG39" s="79"/>
      <c r="AH39" s="79"/>
      <c r="AI39" s="76">
        <f t="shared" si="3"/>
        <v>0</v>
      </c>
      <c r="AK39" s="2">
        <f t="shared" si="58"/>
        <v>3469000</v>
      </c>
      <c r="AL39" s="2">
        <f t="shared" si="59"/>
        <v>0</v>
      </c>
      <c r="AM39" s="2">
        <f t="shared" si="59"/>
        <v>0</v>
      </c>
      <c r="AN39" s="2">
        <f t="shared" si="59"/>
        <v>3469000</v>
      </c>
      <c r="AO39" s="2">
        <f t="shared" si="59"/>
        <v>0</v>
      </c>
      <c r="AP39" s="2"/>
      <c r="AQ39" s="61" t="str">
        <f t="shared" si="67"/>
        <v>E39*      "</v>
      </c>
      <c r="AS39" s="2">
        <f t="shared" si="60"/>
        <v>0</v>
      </c>
      <c r="AT39" s="2">
        <f t="shared" si="61"/>
        <v>0</v>
      </c>
      <c r="AU39" s="2">
        <f t="shared" si="61"/>
        <v>0</v>
      </c>
      <c r="AV39" s="2">
        <f t="shared" si="61"/>
        <v>0</v>
      </c>
      <c r="AW39" s="2">
        <f t="shared" si="61"/>
        <v>0</v>
      </c>
      <c r="AX39" s="2">
        <f t="shared" si="61"/>
        <v>0</v>
      </c>
      <c r="AY39" s="2">
        <f t="shared" si="61"/>
        <v>0</v>
      </c>
      <c r="BA39" s="2">
        <f t="shared" si="62"/>
        <v>0</v>
      </c>
      <c r="BB39" s="2">
        <f t="shared" si="63"/>
        <v>0</v>
      </c>
      <c r="BC39" s="2">
        <f t="shared" si="63"/>
        <v>0</v>
      </c>
      <c r="BD39" s="2">
        <f t="shared" si="63"/>
        <v>0</v>
      </c>
      <c r="BE39" s="2">
        <f t="shared" si="63"/>
        <v>0</v>
      </c>
      <c r="BF39" s="2">
        <f t="shared" si="63"/>
        <v>0</v>
      </c>
      <c r="BG39" s="2">
        <f t="shared" si="63"/>
        <v>0</v>
      </c>
      <c r="BI39" s="2">
        <f t="shared" si="64"/>
        <v>3469000</v>
      </c>
      <c r="BJ39" s="2">
        <f t="shared" si="65"/>
        <v>0</v>
      </c>
      <c r="BK39" s="2">
        <f t="shared" si="65"/>
        <v>3258691.5964071453</v>
      </c>
      <c r="BL39" s="2">
        <f t="shared" si="65"/>
        <v>0</v>
      </c>
      <c r="BM39" s="2">
        <f t="shared" si="65"/>
        <v>30995.232081763756</v>
      </c>
      <c r="BN39" s="2">
        <f t="shared" si="65"/>
        <v>179313.171511091</v>
      </c>
      <c r="BO39" s="2">
        <f t="shared" si="65"/>
        <v>0</v>
      </c>
    </row>
    <row r="40" spans="1:67">
      <c r="A40" s="50">
        <f t="shared" si="2"/>
        <v>40</v>
      </c>
      <c r="B40" s="51">
        <v>387</v>
      </c>
      <c r="C40" s="36" t="s">
        <v>154</v>
      </c>
      <c r="D40" s="28" t="s">
        <v>242</v>
      </c>
      <c r="E40" s="369">
        <f>PROFORMA!AY279</f>
        <v>0</v>
      </c>
      <c r="F40" s="60" t="str">
        <f>"as other Dist Plt ("&amp;A$29&amp;"-"&amp;A$39&amp;")"</f>
        <v>as other Dist Plt (29-39)</v>
      </c>
      <c r="G40" s="60"/>
      <c r="H40" s="2">
        <f t="shared" si="54"/>
        <v>0</v>
      </c>
      <c r="I40" s="2">
        <f t="shared" si="55"/>
        <v>0</v>
      </c>
      <c r="J40" s="2">
        <f t="shared" si="55"/>
        <v>0</v>
      </c>
      <c r="K40" s="2">
        <f t="shared" si="55"/>
        <v>0</v>
      </c>
      <c r="L40" s="2">
        <f t="shared" si="55"/>
        <v>0</v>
      </c>
      <c r="M40" s="2">
        <f t="shared" si="55"/>
        <v>0</v>
      </c>
      <c r="N40" s="2">
        <f t="shared" si="55"/>
        <v>0</v>
      </c>
      <c r="O40" s="2"/>
      <c r="P40" s="61" t="str">
        <f t="shared" si="66"/>
        <v>E40*     "</v>
      </c>
      <c r="Q40" s="61"/>
      <c r="R40" s="15">
        <f>SUMPRODUCT($E$29:$E$39,R$29:R$39)/SUM($E$29:$E$39)</f>
        <v>0.1933876764871075</v>
      </c>
      <c r="S40" s="15">
        <f t="shared" ref="S40:AH40" si="68">SUMPRODUCT($E$29:$E$39,S$29:S$39)/SUM($E$29:$E$39)</f>
        <v>0</v>
      </c>
      <c r="T40" s="15">
        <f t="shared" si="68"/>
        <v>0</v>
      </c>
      <c r="U40" s="15">
        <f t="shared" si="68"/>
        <v>0</v>
      </c>
      <c r="V40" s="15">
        <f t="shared" si="68"/>
        <v>0</v>
      </c>
      <c r="W40" s="15">
        <f t="shared" si="68"/>
        <v>0.31084546333511004</v>
      </c>
      <c r="X40" s="15">
        <f t="shared" si="68"/>
        <v>0</v>
      </c>
      <c r="Y40" s="15">
        <f t="shared" si="68"/>
        <v>0</v>
      </c>
      <c r="Z40" s="15">
        <f t="shared" si="68"/>
        <v>0</v>
      </c>
      <c r="AA40" s="15">
        <f t="shared" si="68"/>
        <v>0</v>
      </c>
      <c r="AB40" s="15">
        <f t="shared" si="68"/>
        <v>0</v>
      </c>
      <c r="AC40" s="15">
        <f t="shared" si="68"/>
        <v>0.3588897282899246</v>
      </c>
      <c r="AD40" s="15">
        <f t="shared" si="68"/>
        <v>0.13220566312906262</v>
      </c>
      <c r="AE40" s="15">
        <f t="shared" si="68"/>
        <v>0</v>
      </c>
      <c r="AF40" s="15">
        <f t="shared" si="68"/>
        <v>4.6714687587951949E-3</v>
      </c>
      <c r="AG40" s="15">
        <f t="shared" si="68"/>
        <v>0</v>
      </c>
      <c r="AH40" s="15">
        <f t="shared" si="68"/>
        <v>0</v>
      </c>
      <c r="AI40" s="76">
        <f t="shared" ref="AI40:AI71" si="69">IF(SUM(R40:AH40)&lt;&gt;0,(ROUND(SUM(R40:AH40),8)&lt;&gt;1)+0,0)</f>
        <v>0</v>
      </c>
      <c r="AK40" s="2">
        <f t="shared" si="58"/>
        <v>0</v>
      </c>
      <c r="AL40" s="2">
        <f t="shared" si="59"/>
        <v>0</v>
      </c>
      <c r="AM40" s="2">
        <f t="shared" si="59"/>
        <v>0</v>
      </c>
      <c r="AN40" s="2">
        <f t="shared" si="59"/>
        <v>0</v>
      </c>
      <c r="AO40" s="2">
        <f t="shared" si="59"/>
        <v>0</v>
      </c>
      <c r="AP40" s="2"/>
      <c r="AQ40" s="61" t="str">
        <f t="shared" si="67"/>
        <v>E40*      "</v>
      </c>
      <c r="AS40" s="2">
        <f t="shared" si="60"/>
        <v>0</v>
      </c>
      <c r="AT40" s="2">
        <f t="shared" si="61"/>
        <v>0</v>
      </c>
      <c r="AU40" s="2">
        <f t="shared" si="61"/>
        <v>0</v>
      </c>
      <c r="AV40" s="2">
        <f t="shared" si="61"/>
        <v>0</v>
      </c>
      <c r="AW40" s="2">
        <f t="shared" si="61"/>
        <v>0</v>
      </c>
      <c r="AX40" s="2">
        <f t="shared" si="61"/>
        <v>0</v>
      </c>
      <c r="AY40" s="2">
        <f t="shared" si="61"/>
        <v>0</v>
      </c>
      <c r="BA40" s="2">
        <f t="shared" si="62"/>
        <v>0</v>
      </c>
      <c r="BB40" s="2">
        <f t="shared" si="63"/>
        <v>0</v>
      </c>
      <c r="BC40" s="2">
        <f t="shared" si="63"/>
        <v>0</v>
      </c>
      <c r="BD40" s="2">
        <f t="shared" si="63"/>
        <v>0</v>
      </c>
      <c r="BE40" s="2">
        <f t="shared" si="63"/>
        <v>0</v>
      </c>
      <c r="BF40" s="2">
        <f t="shared" si="63"/>
        <v>0</v>
      </c>
      <c r="BG40" s="2">
        <f t="shared" si="63"/>
        <v>0</v>
      </c>
      <c r="BI40" s="2">
        <f t="shared" si="64"/>
        <v>0</v>
      </c>
      <c r="BJ40" s="2">
        <f t="shared" si="65"/>
        <v>0</v>
      </c>
      <c r="BK40" s="2">
        <f t="shared" si="65"/>
        <v>0</v>
      </c>
      <c r="BL40" s="2">
        <f t="shared" si="65"/>
        <v>0</v>
      </c>
      <c r="BM40" s="2">
        <f t="shared" si="65"/>
        <v>0</v>
      </c>
      <c r="BN40" s="2">
        <f t="shared" si="65"/>
        <v>0</v>
      </c>
      <c r="BO40" s="2">
        <f t="shared" si="65"/>
        <v>0</v>
      </c>
    </row>
    <row r="41" spans="1:67">
      <c r="A41" s="50">
        <f t="shared" si="2"/>
        <v>41</v>
      </c>
      <c r="B41" s="51"/>
      <c r="D41" s="52" t="s">
        <v>92</v>
      </c>
      <c r="E41" s="4">
        <f>SUM(E27:E40)</f>
        <v>744315000</v>
      </c>
      <c r="F41" s="60"/>
      <c r="G41" s="60" t="s">
        <v>419</v>
      </c>
      <c r="H41" s="4">
        <f>IF(ROUND(SUM(H26:H40),3)&lt;&gt;ROUND(SUM(I41:N41),3),#VALUE!,SUM(H26:H40))</f>
        <v>744315000</v>
      </c>
      <c r="I41" s="4">
        <f t="shared" ref="I41:N41" si="70">SUM(I26:I40)</f>
        <v>558705304.63832831</v>
      </c>
      <c r="J41" s="4">
        <f t="shared" si="70"/>
        <v>142901365.54024953</v>
      </c>
      <c r="K41" s="4">
        <f t="shared" si="70"/>
        <v>0</v>
      </c>
      <c r="L41" s="4">
        <f t="shared" si="70"/>
        <v>3527365.2922076546</v>
      </c>
      <c r="M41" s="4">
        <f>SUM(M26:M40)</f>
        <v>39180964.529214457</v>
      </c>
      <c r="N41" s="4">
        <f t="shared" si="70"/>
        <v>0</v>
      </c>
      <c r="O41" s="5"/>
      <c r="P41" s="61" t="str">
        <f>$A26&amp;":"&amp;A40</f>
        <v>26:40</v>
      </c>
      <c r="Q41" s="61"/>
      <c r="R41" s="13">
        <f>SUMPRODUCT($E27:$E40,R$27:R$40)/$E41</f>
        <v>0.1933876764871075</v>
      </c>
      <c r="S41" s="13">
        <f t="shared" ref="S41:AH41" si="71">SUMPRODUCT($E27:$E40,S$27:S$40)/$E41</f>
        <v>0</v>
      </c>
      <c r="T41" s="13">
        <f>SUMPRODUCT($E27:$E40,T$27:T$40)/$E41</f>
        <v>0</v>
      </c>
      <c r="U41" s="13">
        <f t="shared" si="71"/>
        <v>0</v>
      </c>
      <c r="V41" s="13">
        <f t="shared" si="71"/>
        <v>0</v>
      </c>
      <c r="W41" s="13">
        <f t="shared" si="71"/>
        <v>0.31084546333511004</v>
      </c>
      <c r="X41" s="13">
        <f t="shared" si="71"/>
        <v>0</v>
      </c>
      <c r="Y41" s="13">
        <f t="shared" si="71"/>
        <v>0</v>
      </c>
      <c r="Z41" s="13">
        <f>SUMPRODUCT($E27:$E40,Z$27:Z$40)/$E41</f>
        <v>0</v>
      </c>
      <c r="AA41" s="13">
        <f t="shared" si="71"/>
        <v>0</v>
      </c>
      <c r="AB41" s="13">
        <f t="shared" si="71"/>
        <v>0</v>
      </c>
      <c r="AC41" s="13">
        <f t="shared" si="71"/>
        <v>0.35888972828992466</v>
      </c>
      <c r="AD41" s="13">
        <f t="shared" si="71"/>
        <v>0.13220566312906262</v>
      </c>
      <c r="AE41" s="13">
        <f t="shared" si="71"/>
        <v>0</v>
      </c>
      <c r="AF41" s="13">
        <f t="shared" si="71"/>
        <v>4.6714687587951949E-3</v>
      </c>
      <c r="AG41" s="13">
        <f t="shared" si="71"/>
        <v>0</v>
      </c>
      <c r="AH41" s="13">
        <f t="shared" si="71"/>
        <v>0</v>
      </c>
      <c r="AI41" s="76">
        <f t="shared" si="69"/>
        <v>0</v>
      </c>
      <c r="AK41" s="4">
        <f>IF(ROUND(SUM(AK26:AK40),3)&lt;&gt;ROUND(SUM(AL41:AO41),3),#VALUE!,SUM(AK26:AK40))</f>
        <v>744315000</v>
      </c>
      <c r="AL41" s="4">
        <f>SUM(AL26:AL40)</f>
        <v>143941348.42450142</v>
      </c>
      <c r="AM41" s="4">
        <f>SUM(AM26:AM40)</f>
        <v>231366941.04227245</v>
      </c>
      <c r="AN41" s="4">
        <f>SUM(AN26:AN40)</f>
        <v>369006710.53322613</v>
      </c>
      <c r="AO41" s="4">
        <f>SUM(AO26:AO40)</f>
        <v>0</v>
      </c>
      <c r="AP41" s="5"/>
      <c r="AQ41" s="61" t="str">
        <f>$A26&amp;":"&amp;$A40</f>
        <v>26:40</v>
      </c>
      <c r="AS41" s="4">
        <f>IF(ROUND(SUM(AS26:AS40),3)&lt;&gt;ROUND(SUM(AT41:AY41),3),#VALUE!,SUM(AS26:AS40))</f>
        <v>143941348.42450142</v>
      </c>
      <c r="AT41" s="4">
        <f t="shared" ref="AT41:AY41" si="72">SUM(AT26:AT40)</f>
        <v>82685457.155524716</v>
      </c>
      <c r="AU41" s="4">
        <f t="shared" si="72"/>
        <v>40062355.408939801</v>
      </c>
      <c r="AV41" s="4">
        <f t="shared" si="72"/>
        <v>0</v>
      </c>
      <c r="AW41" s="4">
        <f t="shared" si="72"/>
        <v>1635928.5940380536</v>
      </c>
      <c r="AX41" s="4">
        <f t="shared" si="72"/>
        <v>19557607.26599884</v>
      </c>
      <c r="AY41" s="4">
        <f t="shared" si="72"/>
        <v>0</v>
      </c>
      <c r="BA41" s="4">
        <f>IF(ROUND(SUM(BA26:BA40),3)&lt;&gt;ROUND(SUM(BB41:BG41),3),#VALUE!,SUM(BA26:BA40))</f>
        <v>231366941.04227239</v>
      </c>
      <c r="BB41" s="4">
        <f t="shared" ref="BB41:BG41" si="73">SUM(BB26:BB40)</f>
        <v>130803640.48692834</v>
      </c>
      <c r="BC41" s="4">
        <f t="shared" si="73"/>
        <v>80725698.885174185</v>
      </c>
      <c r="BD41" s="4">
        <f t="shared" si="73"/>
        <v>0</v>
      </c>
      <c r="BE41" s="4">
        <f t="shared" si="73"/>
        <v>1739370.3832899444</v>
      </c>
      <c r="BF41" s="4">
        <f t="shared" si="73"/>
        <v>18098231.286879923</v>
      </c>
      <c r="BG41" s="4">
        <f t="shared" si="73"/>
        <v>0</v>
      </c>
      <c r="BI41" s="4">
        <f>IF(ROUND(SUM(BI26:BI40),3)&lt;&gt;ROUND(SUM(BJ41:BO41),3),#VALUE!,SUM(BI26:BI40))</f>
        <v>369006710.53322613</v>
      </c>
      <c r="BJ41" s="4">
        <f t="shared" ref="BJ41:BO41" si="74">SUM(BJ26:BJ40)</f>
        <v>345216206.9958753</v>
      </c>
      <c r="BK41" s="4">
        <f t="shared" si="74"/>
        <v>22113311.246135533</v>
      </c>
      <c r="BL41" s="4">
        <f t="shared" si="74"/>
        <v>0</v>
      </c>
      <c r="BM41" s="4">
        <f t="shared" si="74"/>
        <v>152066.31487965598</v>
      </c>
      <c r="BN41" s="4">
        <f t="shared" si="74"/>
        <v>1525125.9763356906</v>
      </c>
      <c r="BO41" s="4">
        <f t="shared" si="74"/>
        <v>0</v>
      </c>
    </row>
    <row r="42" spans="1:67">
      <c r="A42" s="50">
        <f t="shared" si="2"/>
        <v>42</v>
      </c>
      <c r="B42" s="51"/>
      <c r="E42" s="2"/>
      <c r="F42" s="60"/>
      <c r="G42" s="60"/>
      <c r="H42" s="77">
        <f t="shared" ref="H42:N42" si="75">H41/$H41</f>
        <v>1</v>
      </c>
      <c r="I42" s="77">
        <f t="shared" si="75"/>
        <v>0.75063018297136064</v>
      </c>
      <c r="J42" s="77">
        <f t="shared" si="75"/>
        <v>0.19199044160100162</v>
      </c>
      <c r="K42" s="77">
        <f t="shared" si="75"/>
        <v>0</v>
      </c>
      <c r="L42" s="77">
        <f t="shared" si="75"/>
        <v>4.7390759184050496E-3</v>
      </c>
      <c r="M42" s="77">
        <f t="shared" si="75"/>
        <v>5.2640299509232595E-2</v>
      </c>
      <c r="N42" s="77">
        <f t="shared" si="75"/>
        <v>0</v>
      </c>
      <c r="P42" s="61"/>
      <c r="Q42" s="61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76">
        <f t="shared" si="69"/>
        <v>0</v>
      </c>
      <c r="AL42" s="77"/>
      <c r="AM42" s="77"/>
      <c r="AN42" s="77"/>
      <c r="AO42" s="77"/>
      <c r="AQ42" s="61"/>
      <c r="AT42" s="77">
        <f t="shared" ref="AT42:AY42" si="76">IF(I41,AT41/I41,0)</f>
        <v>0.14799475943592522</v>
      </c>
      <c r="AU42" s="77">
        <f t="shared" si="76"/>
        <v>0.28034970315000846</v>
      </c>
      <c r="AV42" s="77">
        <f t="shared" si="76"/>
        <v>0</v>
      </c>
      <c r="AW42" s="77">
        <f t="shared" si="76"/>
        <v>0.46378201816863235</v>
      </c>
      <c r="AX42" s="77">
        <f t="shared" si="76"/>
        <v>0.49916094463208338</v>
      </c>
      <c r="AY42" s="77">
        <f t="shared" si="76"/>
        <v>0</v>
      </c>
      <c r="BB42" s="77">
        <f t="shared" ref="BB42:BG42" si="77">IF(I41,BB41/I41,0)</f>
        <v>0.23411920273712566</v>
      </c>
      <c r="BC42" s="77">
        <f t="shared" si="77"/>
        <v>0.56490502088615124</v>
      </c>
      <c r="BD42" s="77">
        <f t="shared" si="77"/>
        <v>0</v>
      </c>
      <c r="BE42" s="77">
        <f t="shared" si="77"/>
        <v>0.49310752904792948</v>
      </c>
      <c r="BF42" s="77">
        <f t="shared" si="77"/>
        <v>0.46191387844434917</v>
      </c>
      <c r="BG42" s="77">
        <f t="shared" si="77"/>
        <v>0</v>
      </c>
      <c r="BJ42" s="77">
        <f t="shared" ref="BJ42:BO42" si="78">IF(I41,BJ41/I41,0)</f>
        <v>0.61788603782694917</v>
      </c>
      <c r="BK42" s="77">
        <f t="shared" si="78"/>
        <v>0.1547452759638403</v>
      </c>
      <c r="BL42" s="77">
        <f t="shared" si="78"/>
        <v>0</v>
      </c>
      <c r="BM42" s="77">
        <f t="shared" si="78"/>
        <v>4.3110452783437975E-2</v>
      </c>
      <c r="BN42" s="77">
        <f t="shared" si="78"/>
        <v>3.8925176923567381E-2</v>
      </c>
      <c r="BO42" s="77">
        <f t="shared" si="78"/>
        <v>0</v>
      </c>
    </row>
    <row r="43" spans="1:67">
      <c r="A43" s="50">
        <f t="shared" si="2"/>
        <v>43</v>
      </c>
      <c r="B43" s="51"/>
      <c r="D43" t="s">
        <v>402</v>
      </c>
      <c r="E43" s="2">
        <f>E24+E41</f>
        <v>782753000</v>
      </c>
      <c r="F43" s="60" t="str">
        <f>"("&amp;A$24&amp;"+"&amp;A$41&amp;")"</f>
        <v>(24+41)</v>
      </c>
      <c r="G43" s="60" t="s">
        <v>403</v>
      </c>
      <c r="H43" s="2">
        <f>H24+H41</f>
        <v>782753000</v>
      </c>
      <c r="I43" s="2">
        <f t="shared" ref="I43:N43" si="79">I24+I41</f>
        <v>586147808.93208051</v>
      </c>
      <c r="J43" s="2">
        <f t="shared" si="79"/>
        <v>153135508.70561647</v>
      </c>
      <c r="K43" s="2">
        <f t="shared" si="79"/>
        <v>0</v>
      </c>
      <c r="L43" s="2">
        <f t="shared" si="79"/>
        <v>3806040.7878829404</v>
      </c>
      <c r="M43" s="2">
        <f t="shared" si="79"/>
        <v>39663641.57442008</v>
      </c>
      <c r="N43" s="2">
        <f t="shared" si="79"/>
        <v>0</v>
      </c>
      <c r="O43" s="2"/>
      <c r="P43" s="61"/>
      <c r="Q43" s="61"/>
      <c r="R43" s="14">
        <f>($E24*R24+$E41*R41)/$E43</f>
        <v>0.18389114883558597</v>
      </c>
      <c r="S43" s="14">
        <f>($E24*S24+$E41*S41)/$E43</f>
        <v>0</v>
      </c>
      <c r="T43" s="14">
        <f t="shared" ref="T43:AH43" si="80">($E24*T24+$E41*T41)/$E43</f>
        <v>6.3838017867705391E-3</v>
      </c>
      <c r="U43" s="14">
        <f>($E24*U24+$E41*U41)/$E43</f>
        <v>4.2722365803772068E-2</v>
      </c>
      <c r="V43" s="14">
        <f>($E24*V24+$E41*V41)/$E43</f>
        <v>0</v>
      </c>
      <c r="W43" s="14">
        <f t="shared" si="80"/>
        <v>0.29558103391781626</v>
      </c>
      <c r="X43" s="14">
        <f t="shared" si="80"/>
        <v>0</v>
      </c>
      <c r="Y43" s="14">
        <f>($E24*Y24+$E41*Y41)/$E43</f>
        <v>0</v>
      </c>
      <c r="Z43" s="14">
        <f t="shared" si="80"/>
        <v>0</v>
      </c>
      <c r="AA43" s="14">
        <f t="shared" si="80"/>
        <v>0</v>
      </c>
      <c r="AB43" s="14">
        <f t="shared" si="80"/>
        <v>0</v>
      </c>
      <c r="AC43" s="14">
        <f t="shared" si="80"/>
        <v>0.3412660291459953</v>
      </c>
      <c r="AD43" s="14">
        <f t="shared" si="80"/>
        <v>0.12571354967902806</v>
      </c>
      <c r="AE43" s="14">
        <f t="shared" si="80"/>
        <v>0</v>
      </c>
      <c r="AF43" s="14">
        <f t="shared" si="80"/>
        <v>4.4420708310318139E-3</v>
      </c>
      <c r="AG43" s="14">
        <f>($E24*AG24+$E41*AG41)/$E43</f>
        <v>0</v>
      </c>
      <c r="AH43" s="14">
        <f t="shared" si="80"/>
        <v>0</v>
      </c>
      <c r="AI43" s="76">
        <f t="shared" si="69"/>
        <v>0</v>
      </c>
      <c r="AP43" s="2"/>
      <c r="AQ43" s="61"/>
      <c r="AS43" s="2"/>
      <c r="AT43" s="2"/>
      <c r="AU43" s="2"/>
      <c r="AV43" s="2"/>
      <c r="AW43" s="2"/>
      <c r="AX43" s="2"/>
      <c r="AY43" s="2"/>
      <c r="BA43" s="2"/>
      <c r="BB43" s="2"/>
      <c r="BC43" s="2"/>
      <c r="BD43" s="2"/>
      <c r="BE43" s="2"/>
      <c r="BF43" s="2"/>
      <c r="BG43" s="2"/>
      <c r="BI43" s="2"/>
      <c r="BJ43" s="2"/>
      <c r="BK43" s="2"/>
      <c r="BL43" s="2"/>
      <c r="BM43" s="2"/>
      <c r="BN43" s="2"/>
      <c r="BO43" s="2"/>
    </row>
    <row r="44" spans="1:67">
      <c r="A44" s="50">
        <f t="shared" si="2"/>
        <v>44</v>
      </c>
      <c r="B44" s="51"/>
      <c r="E44" s="2"/>
      <c r="F44" s="60"/>
      <c r="G44" s="60"/>
      <c r="P44" s="61"/>
      <c r="Q44" s="61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76">
        <f t="shared" si="69"/>
        <v>0</v>
      </c>
      <c r="AQ44" s="61"/>
    </row>
    <row r="45" spans="1:67">
      <c r="A45" s="50">
        <f t="shared" si="2"/>
        <v>45</v>
      </c>
      <c r="B45" s="51"/>
      <c r="D45" t="s">
        <v>93</v>
      </c>
      <c r="E45" s="9"/>
      <c r="F45" s="60"/>
      <c r="G45" s="60"/>
      <c r="P45" s="61"/>
      <c r="Q45" s="61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76">
        <f t="shared" si="69"/>
        <v>0</v>
      </c>
      <c r="AQ45" s="61"/>
    </row>
    <row r="46" spans="1:67">
      <c r="A46" s="50">
        <f t="shared" si="2"/>
        <v>46</v>
      </c>
      <c r="B46" s="51">
        <v>389</v>
      </c>
      <c r="C46" s="36" t="s">
        <v>151</v>
      </c>
      <c r="D46" s="28" t="s">
        <v>88</v>
      </c>
      <c r="E46" s="369">
        <f>PROFORMA!AY283</f>
        <v>5552000</v>
      </c>
      <c r="F46" s="61" t="s">
        <v>996</v>
      </c>
      <c r="G46" s="60"/>
      <c r="H46" s="2">
        <f>SUM(I46:N46)</f>
        <v>5552000</v>
      </c>
      <c r="I46" s="2">
        <f t="shared" ref="I46:N55" si="81">$E46*SUMPRODUCT($R46:$AH46,INDEX(AllocFactors,I$4,0))</f>
        <v>4673235.9214256322</v>
      </c>
      <c r="J46" s="2">
        <f t="shared" si="81"/>
        <v>709185.48808988533</v>
      </c>
      <c r="K46" s="2">
        <f t="shared" si="81"/>
        <v>0</v>
      </c>
      <c r="L46" s="2">
        <f t="shared" si="81"/>
        <v>17114.35302393042</v>
      </c>
      <c r="M46" s="2">
        <f t="shared" si="81"/>
        <v>152464.23746055196</v>
      </c>
      <c r="N46" s="2">
        <f t="shared" si="81"/>
        <v>0</v>
      </c>
      <c r="O46" s="2"/>
      <c r="P46" s="61" t="s">
        <v>997</v>
      </c>
      <c r="Q46" s="61"/>
      <c r="R46" s="14">
        <f t="shared" ref="R46:R55" si="82">(R$116*0.25)+(R$255*0.25)+(BS$254*0.25)</f>
        <v>9.9370957155623774E-2</v>
      </c>
      <c r="S46" s="14">
        <f t="shared" ref="S46:S55" si="83">(S$116*0.25)+(S$255*0.25)+(BT$254*0.25)</f>
        <v>1.5218388550417537E-2</v>
      </c>
      <c r="T46" s="14">
        <f t="shared" ref="T46:T55" si="84">(T$116*0.25)+(T$255*0.25)+(BU$254*0.25)</f>
        <v>8.699877677308605E-3</v>
      </c>
      <c r="U46" s="14">
        <f t="shared" ref="U46:U55" si="85">(U$116*0.25)+(U$255*0.25)+(BV$254*0.25)</f>
        <v>5.822225830198835E-2</v>
      </c>
      <c r="V46" s="14">
        <f t="shared" ref="V46:V55" si="86">(V$116*0.25)+(V$255*0.25)+(BW$254*0.25)</f>
        <v>0</v>
      </c>
      <c r="W46" s="14">
        <f t="shared" ref="W46:W55" si="87">(W$116*0.25)+(W$255*0.25)+(BX$254*0.25)</f>
        <v>0.15327818313927072</v>
      </c>
      <c r="X46" s="14">
        <f t="shared" ref="X46:X55" si="88">(X$116*0.25)+(X$255*0.25)+(BY$254*0.25)</f>
        <v>0</v>
      </c>
      <c r="Y46" s="14">
        <f t="shared" ref="Y46:Y55" si="89">(Y$116*0.25)+(Y$255*0.25)+(BZ$254*0.25)</f>
        <v>0</v>
      </c>
      <c r="Z46" s="14">
        <f t="shared" ref="Z46:Z55" si="90">(Z$116*0.25)+(Z$255*0.25)+(CA$254*0.25)</f>
        <v>0</v>
      </c>
      <c r="AA46" s="14">
        <f t="shared" ref="AA46:AA55" si="91">(AA$116*0.25)+(AA$255*0.25)+(CB$254*0.25)</f>
        <v>0</v>
      </c>
      <c r="AB46" s="14">
        <f t="shared" ref="AB46:AB55" si="92">(AB$116*0.25)+(AB$255*0.25)+(CC$254*0.25)+0.25</f>
        <v>0.41313387731559803</v>
      </c>
      <c r="AC46" s="14">
        <f t="shared" ref="AC46:AC55" si="93">(AC$116*0.25)+(AC$255*0.25)+(CD$254*0.25)</f>
        <v>0.17108548237195526</v>
      </c>
      <c r="AD46" s="14">
        <f t="shared" ref="AD46:AD55" si="94">(AD$116*0.25)+(AD$255*0.25)+(CE$254*0.25)</f>
        <v>7.9473703927617212E-2</v>
      </c>
      <c r="AE46" s="14">
        <f t="shared" ref="AE46:AE55" si="95">(AE$116*0.25)+(AE$255*0.25)+(CF$254*0.25)</f>
        <v>0</v>
      </c>
      <c r="AF46" s="14">
        <f t="shared" ref="AF46:AF55" si="96">(AF$116*0.25)+(AF$255*0.25)+(CG$254*0.25)</f>
        <v>1.5172715602204624E-3</v>
      </c>
      <c r="AG46" s="14">
        <f t="shared" ref="AG46:AG55" si="97">(AG$116*0.25)+(AG$255*0.25)+(CH$254*0.25)</f>
        <v>0</v>
      </c>
      <c r="AH46" s="14">
        <f t="shared" ref="AH46:AH55" si="98">(AH$116*0.25)+(AH$255*0.25)+(CI$254*0.25)</f>
        <v>-1.4146429571039994E-18</v>
      </c>
      <c r="AI46" s="76">
        <f t="shared" si="69"/>
        <v>0</v>
      </c>
      <c r="AK46" s="2">
        <f t="shared" ref="AK46:AK55" si="99">SUM(AL46:AO46)</f>
        <v>5552000</v>
      </c>
      <c r="AL46" s="2">
        <f t="shared" ref="AL46:AO55" si="100">SUMIF($R$4:$AH$4,AL$5,$R46:$AH46)*$E46</f>
        <v>1007751.746316998</v>
      </c>
      <c r="AM46" s="2">
        <f t="shared" si="100"/>
        <v>851000.47278923099</v>
      </c>
      <c r="AN46" s="2">
        <f t="shared" si="100"/>
        <v>3693247.7808937705</v>
      </c>
      <c r="AO46" s="2">
        <f t="shared" si="100"/>
        <v>-7.8540976978414053E-12</v>
      </c>
      <c r="AP46" s="2"/>
      <c r="AQ46" s="61" t="str">
        <f>E$1&amp;$A46&amp;"*["&amp;R$1&amp;$A46&amp;":"&amp;$AH$1&amp;$A46&amp;" when "&amp;R$1&amp;$A$4&amp;":"&amp;$AH$1&amp;$A$4&amp;" = E,D,C,or R]"</f>
        <v>E46*[R46:AH46 when R4:AH4 = E,D,C,or R]</v>
      </c>
      <c r="AS46" s="2">
        <f t="shared" ref="AS46:AS55" si="101">SUM(AT46:AY46)</f>
        <v>1007751.7463169981</v>
      </c>
      <c r="AT46" s="2">
        <f t="shared" ref="AT46:AY55" si="102">$E46*SUMPRODUCT($R46:$V46,INDEX(AllocFactors_E,AT$4,0))</f>
        <v>638355.77025357436</v>
      </c>
      <c r="AU46" s="2">
        <f t="shared" si="102"/>
        <v>279693.34435589513</v>
      </c>
      <c r="AV46" s="2">
        <f t="shared" si="102"/>
        <v>0</v>
      </c>
      <c r="AW46" s="2">
        <f t="shared" si="102"/>
        <v>10075.309042711451</v>
      </c>
      <c r="AX46" s="2">
        <f t="shared" si="102"/>
        <v>79627.322664817228</v>
      </c>
      <c r="AY46" s="2">
        <f t="shared" si="102"/>
        <v>0</v>
      </c>
      <c r="BA46" s="2">
        <f t="shared" ref="BA46:BA55" si="103">SUM(BB46:BG46)</f>
        <v>851000.47278923087</v>
      </c>
      <c r="BB46" s="2">
        <f t="shared" ref="BB46:BG55" si="104">$E46*SUMPRODUCT($W46:$AA46,INDEX(AllocFactors_D,BB$4,0))</f>
        <v>481114.36921574181</v>
      </c>
      <c r="BC46" s="2">
        <f t="shared" si="104"/>
        <v>296920.58687404601</v>
      </c>
      <c r="BD46" s="2">
        <f t="shared" si="104"/>
        <v>0</v>
      </c>
      <c r="BE46" s="2">
        <f t="shared" si="104"/>
        <v>6397.651331980418</v>
      </c>
      <c r="BF46" s="2">
        <f t="shared" si="104"/>
        <v>66567.865367462669</v>
      </c>
      <c r="BG46" s="2">
        <f t="shared" si="104"/>
        <v>0</v>
      </c>
      <c r="BI46" s="2">
        <f t="shared" ref="BI46:BI55" si="105">SUM(BJ46:BO46)</f>
        <v>3693247.7808937705</v>
      </c>
      <c r="BJ46" s="2">
        <f t="shared" ref="BJ46:BO55" si="106">$E46*SUMPRODUCT($AB46:$AG46,INDEX(AllocFactors_C,BJ$4,0))</f>
        <v>3553765.781956316</v>
      </c>
      <c r="BK46" s="2">
        <f t="shared" si="106"/>
        <v>132571.55685994416</v>
      </c>
      <c r="BL46" s="2">
        <f t="shared" si="106"/>
        <v>0</v>
      </c>
      <c r="BM46" s="2">
        <f t="shared" si="106"/>
        <v>641.39264923855148</v>
      </c>
      <c r="BN46" s="2">
        <f t="shared" si="106"/>
        <v>6269.0494282720638</v>
      </c>
      <c r="BO46" s="2">
        <f t="shared" si="106"/>
        <v>0</v>
      </c>
    </row>
    <row r="47" spans="1:67">
      <c r="A47" s="50">
        <f t="shared" si="2"/>
        <v>47</v>
      </c>
      <c r="B47" s="51">
        <v>390</v>
      </c>
      <c r="C47" s="36" t="s">
        <v>151</v>
      </c>
      <c r="D47" s="28" t="s">
        <v>89</v>
      </c>
      <c r="E47" s="369">
        <f>PROFORMA!AY284</f>
        <v>52428000</v>
      </c>
      <c r="F47" s="61" t="s">
        <v>996</v>
      </c>
      <c r="G47" s="60"/>
      <c r="H47" s="2">
        <f t="shared" ref="H47:H55" si="107">SUM(I47:N47)</f>
        <v>52427999.999999993</v>
      </c>
      <c r="I47" s="2">
        <f t="shared" si="81"/>
        <v>44129757.364643924</v>
      </c>
      <c r="J47" s="2">
        <f t="shared" si="81"/>
        <v>6696897.8331369786</v>
      </c>
      <c r="K47" s="2">
        <f t="shared" si="81"/>
        <v>0</v>
      </c>
      <c r="L47" s="2">
        <f t="shared" si="81"/>
        <v>161612.26591113547</v>
      </c>
      <c r="M47" s="2">
        <f t="shared" si="81"/>
        <v>1439732.5363079642</v>
      </c>
      <c r="N47" s="2">
        <f t="shared" si="81"/>
        <v>0</v>
      </c>
      <c r="O47" s="2"/>
      <c r="P47" s="61" t="s">
        <v>997</v>
      </c>
      <c r="Q47" s="61"/>
      <c r="R47" s="14">
        <f t="shared" si="82"/>
        <v>9.9370957155623774E-2</v>
      </c>
      <c r="S47" s="14">
        <f t="shared" si="83"/>
        <v>1.5218388550417537E-2</v>
      </c>
      <c r="T47" s="14">
        <f t="shared" si="84"/>
        <v>8.699877677308605E-3</v>
      </c>
      <c r="U47" s="14">
        <f t="shared" si="85"/>
        <v>5.822225830198835E-2</v>
      </c>
      <c r="V47" s="14">
        <f t="shared" si="86"/>
        <v>0</v>
      </c>
      <c r="W47" s="14">
        <f t="shared" si="87"/>
        <v>0.15327818313927072</v>
      </c>
      <c r="X47" s="14">
        <f t="shared" si="88"/>
        <v>0</v>
      </c>
      <c r="Y47" s="14">
        <f t="shared" si="89"/>
        <v>0</v>
      </c>
      <c r="Z47" s="14">
        <f t="shared" si="90"/>
        <v>0</v>
      </c>
      <c r="AA47" s="14">
        <f t="shared" si="91"/>
        <v>0</v>
      </c>
      <c r="AB47" s="14">
        <f t="shared" si="92"/>
        <v>0.41313387731559803</v>
      </c>
      <c r="AC47" s="14">
        <f t="shared" si="93"/>
        <v>0.17108548237195526</v>
      </c>
      <c r="AD47" s="14">
        <f t="shared" si="94"/>
        <v>7.9473703927617212E-2</v>
      </c>
      <c r="AE47" s="14">
        <f t="shared" si="95"/>
        <v>0</v>
      </c>
      <c r="AF47" s="14">
        <f t="shared" si="96"/>
        <v>1.5172715602204624E-3</v>
      </c>
      <c r="AG47" s="14">
        <f t="shared" si="97"/>
        <v>0</v>
      </c>
      <c r="AH47" s="14">
        <f t="shared" si="98"/>
        <v>-1.4146429571039994E-18</v>
      </c>
      <c r="AI47" s="76">
        <f t="shared" si="69"/>
        <v>0</v>
      </c>
      <c r="AK47" s="2">
        <f t="shared" si="99"/>
        <v>52428000</v>
      </c>
      <c r="AL47" s="2">
        <f t="shared" si="100"/>
        <v>9516283.9617989138</v>
      </c>
      <c r="AM47" s="2">
        <f t="shared" si="100"/>
        <v>8036068.5856256848</v>
      </c>
      <c r="AN47" s="2">
        <f t="shared" si="100"/>
        <v>34875647.4525754</v>
      </c>
      <c r="AO47" s="2">
        <f t="shared" si="100"/>
        <v>-7.4166900955048474E-11</v>
      </c>
      <c r="AP47" s="2"/>
      <c r="AQ47" s="61" t="str">
        <f t="shared" ref="AQ47:AQ55" si="108">E$1&amp;$A47&amp;"*      """</f>
        <v>E47*      "</v>
      </c>
      <c r="AS47" s="2">
        <f t="shared" si="101"/>
        <v>9516283.9617989156</v>
      </c>
      <c r="AT47" s="2">
        <f t="shared" si="102"/>
        <v>6028046.8881221898</v>
      </c>
      <c r="AU47" s="2">
        <f t="shared" si="102"/>
        <v>2641167.6257008053</v>
      </c>
      <c r="AV47" s="2">
        <f t="shared" si="102"/>
        <v>0</v>
      </c>
      <c r="AW47" s="2">
        <f t="shared" si="102"/>
        <v>95141.985319033847</v>
      </c>
      <c r="AX47" s="2">
        <f t="shared" si="102"/>
        <v>751927.46265688725</v>
      </c>
      <c r="AY47" s="2">
        <f t="shared" si="102"/>
        <v>0</v>
      </c>
      <c r="BA47" s="2">
        <f t="shared" si="103"/>
        <v>8036068.5856256839</v>
      </c>
      <c r="BB47" s="2">
        <f t="shared" si="104"/>
        <v>4543203.1969097462</v>
      </c>
      <c r="BC47" s="2">
        <f t="shared" si="104"/>
        <v>2803845.9165404332</v>
      </c>
      <c r="BD47" s="2">
        <f t="shared" si="104"/>
        <v>0</v>
      </c>
      <c r="BE47" s="2">
        <f t="shared" si="104"/>
        <v>60413.55620192171</v>
      </c>
      <c r="BF47" s="2">
        <f t="shared" si="104"/>
        <v>628605.915973583</v>
      </c>
      <c r="BG47" s="2">
        <f t="shared" si="104"/>
        <v>0</v>
      </c>
      <c r="BI47" s="2">
        <f t="shared" si="105"/>
        <v>34875647.452575393</v>
      </c>
      <c r="BJ47" s="2">
        <f t="shared" si="106"/>
        <v>33558507.279611982</v>
      </c>
      <c r="BK47" s="2">
        <f t="shared" si="106"/>
        <v>1251884.2908957407</v>
      </c>
      <c r="BL47" s="2">
        <f t="shared" si="106"/>
        <v>0</v>
      </c>
      <c r="BM47" s="2">
        <f t="shared" si="106"/>
        <v>6056.7243901798947</v>
      </c>
      <c r="BN47" s="2">
        <f t="shared" si="106"/>
        <v>59199.157677494186</v>
      </c>
      <c r="BO47" s="2">
        <f t="shared" si="106"/>
        <v>0</v>
      </c>
    </row>
    <row r="48" spans="1:67">
      <c r="A48" s="50">
        <f t="shared" si="2"/>
        <v>48</v>
      </c>
      <c r="B48" s="51">
        <v>391</v>
      </c>
      <c r="C48" s="36" t="s">
        <v>151</v>
      </c>
      <c r="D48" s="28" t="s">
        <v>94</v>
      </c>
      <c r="E48" s="369">
        <f>PROFORMA!AY285</f>
        <v>13001000</v>
      </c>
      <c r="F48" s="61" t="s">
        <v>996</v>
      </c>
      <c r="G48" s="60"/>
      <c r="H48" s="2">
        <f t="shared" si="107"/>
        <v>13001000</v>
      </c>
      <c r="I48" s="2">
        <f t="shared" si="81"/>
        <v>10943216.897416184</v>
      </c>
      <c r="J48" s="2">
        <f t="shared" si="81"/>
        <v>1660684.5336197044</v>
      </c>
      <c r="K48" s="2">
        <f t="shared" si="81"/>
        <v>0</v>
      </c>
      <c r="L48" s="2">
        <f t="shared" si="81"/>
        <v>40076.315501462428</v>
      </c>
      <c r="M48" s="2">
        <f t="shared" si="81"/>
        <v>357022.25346265052</v>
      </c>
      <c r="N48" s="2">
        <f t="shared" si="81"/>
        <v>0</v>
      </c>
      <c r="O48" s="2"/>
      <c r="P48" s="61" t="s">
        <v>997</v>
      </c>
      <c r="Q48" s="61"/>
      <c r="R48" s="14">
        <f t="shared" si="82"/>
        <v>9.9370957155623774E-2</v>
      </c>
      <c r="S48" s="14">
        <f t="shared" si="83"/>
        <v>1.5218388550417537E-2</v>
      </c>
      <c r="T48" s="14">
        <f t="shared" si="84"/>
        <v>8.699877677308605E-3</v>
      </c>
      <c r="U48" s="14">
        <f t="shared" si="85"/>
        <v>5.822225830198835E-2</v>
      </c>
      <c r="V48" s="14">
        <f t="shared" si="86"/>
        <v>0</v>
      </c>
      <c r="W48" s="14">
        <f t="shared" si="87"/>
        <v>0.15327818313927072</v>
      </c>
      <c r="X48" s="14">
        <f t="shared" si="88"/>
        <v>0</v>
      </c>
      <c r="Y48" s="14">
        <f t="shared" si="89"/>
        <v>0</v>
      </c>
      <c r="Z48" s="14">
        <f t="shared" si="90"/>
        <v>0</v>
      </c>
      <c r="AA48" s="14">
        <f t="shared" si="91"/>
        <v>0</v>
      </c>
      <c r="AB48" s="14">
        <f t="shared" si="92"/>
        <v>0.41313387731559803</v>
      </c>
      <c r="AC48" s="14">
        <f t="shared" si="93"/>
        <v>0.17108548237195526</v>
      </c>
      <c r="AD48" s="14">
        <f t="shared" si="94"/>
        <v>7.9473703927617212E-2</v>
      </c>
      <c r="AE48" s="14">
        <f t="shared" si="95"/>
        <v>0</v>
      </c>
      <c r="AF48" s="14">
        <f t="shared" si="96"/>
        <v>1.5172715602204624E-3</v>
      </c>
      <c r="AG48" s="14">
        <f t="shared" si="97"/>
        <v>0</v>
      </c>
      <c r="AH48" s="14">
        <f t="shared" si="98"/>
        <v>-1.4146429571039994E-18</v>
      </c>
      <c r="AI48" s="76">
        <f t="shared" si="69"/>
        <v>0</v>
      </c>
      <c r="AK48" s="2">
        <f t="shared" si="99"/>
        <v>13001000</v>
      </c>
      <c r="AL48" s="2">
        <f t="shared" si="100"/>
        <v>2359830.7733910829</v>
      </c>
      <c r="AM48" s="2">
        <f t="shared" si="100"/>
        <v>1992769.6589936586</v>
      </c>
      <c r="AN48" s="2">
        <f t="shared" si="100"/>
        <v>8648399.5676152576</v>
      </c>
      <c r="AO48" s="2">
        <f t="shared" si="100"/>
        <v>-1.8391773085309098E-11</v>
      </c>
      <c r="AP48" s="2"/>
      <c r="AQ48" s="61" t="str">
        <f t="shared" si="108"/>
        <v>E48*      "</v>
      </c>
      <c r="AS48" s="2">
        <f t="shared" si="101"/>
        <v>2359830.7733910829</v>
      </c>
      <c r="AT48" s="2">
        <f t="shared" si="102"/>
        <v>1494824.093852075</v>
      </c>
      <c r="AU48" s="2">
        <f t="shared" si="102"/>
        <v>654951.9398362739</v>
      </c>
      <c r="AV48" s="2">
        <f t="shared" si="102"/>
        <v>0</v>
      </c>
      <c r="AW48" s="2">
        <f t="shared" si="102"/>
        <v>23593.136322819086</v>
      </c>
      <c r="AX48" s="2">
        <f t="shared" si="102"/>
        <v>186461.60337991512</v>
      </c>
      <c r="AY48" s="2">
        <f t="shared" si="102"/>
        <v>0</v>
      </c>
      <c r="BA48" s="2">
        <f t="shared" si="103"/>
        <v>1992769.6589936584</v>
      </c>
      <c r="BB48" s="2">
        <f t="shared" si="104"/>
        <v>1126615.2583166172</v>
      </c>
      <c r="BC48" s="2">
        <f t="shared" si="104"/>
        <v>695292.60625891073</v>
      </c>
      <c r="BD48" s="2">
        <f t="shared" si="104"/>
        <v>0</v>
      </c>
      <c r="BE48" s="2">
        <f t="shared" si="104"/>
        <v>14981.243690035557</v>
      </c>
      <c r="BF48" s="2">
        <f t="shared" si="104"/>
        <v>155880.55072809476</v>
      </c>
      <c r="BG48" s="2">
        <f t="shared" si="104"/>
        <v>0</v>
      </c>
      <c r="BI48" s="2">
        <f t="shared" si="105"/>
        <v>8648399.5676152594</v>
      </c>
      <c r="BJ48" s="2">
        <f t="shared" si="106"/>
        <v>8321777.5452474905</v>
      </c>
      <c r="BK48" s="2">
        <f t="shared" si="106"/>
        <v>310439.98752451979</v>
      </c>
      <c r="BL48" s="2">
        <f t="shared" si="106"/>
        <v>0</v>
      </c>
      <c r="BM48" s="2">
        <f t="shared" si="106"/>
        <v>1501.9354886077824</v>
      </c>
      <c r="BN48" s="2">
        <f t="shared" si="106"/>
        <v>14680.099354640688</v>
      </c>
      <c r="BO48" s="2">
        <f t="shared" si="106"/>
        <v>0</v>
      </c>
    </row>
    <row r="49" spans="1:67">
      <c r="A49" s="50">
        <f t="shared" si="2"/>
        <v>49</v>
      </c>
      <c r="B49" s="51">
        <v>392</v>
      </c>
      <c r="C49" s="36" t="s">
        <v>151</v>
      </c>
      <c r="D49" s="28" t="s">
        <v>95</v>
      </c>
      <c r="E49" s="369">
        <f>PROFORMA!AY286</f>
        <v>15296000</v>
      </c>
      <c r="F49" s="61" t="s">
        <v>996</v>
      </c>
      <c r="G49" s="60"/>
      <c r="H49" s="2">
        <f t="shared" si="107"/>
        <v>15296000</v>
      </c>
      <c r="I49" s="2">
        <f t="shared" si="81"/>
        <v>12874966.976607794</v>
      </c>
      <c r="J49" s="2">
        <f t="shared" si="81"/>
        <v>1953836.6761208368</v>
      </c>
      <c r="K49" s="2">
        <f t="shared" si="81"/>
        <v>0</v>
      </c>
      <c r="L49" s="2">
        <f t="shared" si="81"/>
        <v>47150.782394459602</v>
      </c>
      <c r="M49" s="2">
        <f t="shared" si="81"/>
        <v>420045.56487690966</v>
      </c>
      <c r="N49" s="2">
        <f t="shared" si="81"/>
        <v>0</v>
      </c>
      <c r="O49" s="2"/>
      <c r="P49" s="61" t="s">
        <v>997</v>
      </c>
      <c r="Q49" s="61"/>
      <c r="R49" s="14">
        <f t="shared" si="82"/>
        <v>9.9370957155623774E-2</v>
      </c>
      <c r="S49" s="14">
        <f t="shared" si="83"/>
        <v>1.5218388550417537E-2</v>
      </c>
      <c r="T49" s="14">
        <f t="shared" si="84"/>
        <v>8.699877677308605E-3</v>
      </c>
      <c r="U49" s="14">
        <f t="shared" si="85"/>
        <v>5.822225830198835E-2</v>
      </c>
      <c r="V49" s="14">
        <f t="shared" si="86"/>
        <v>0</v>
      </c>
      <c r="W49" s="14">
        <f t="shared" si="87"/>
        <v>0.15327818313927072</v>
      </c>
      <c r="X49" s="14">
        <f t="shared" si="88"/>
        <v>0</v>
      </c>
      <c r="Y49" s="14">
        <f t="shared" si="89"/>
        <v>0</v>
      </c>
      <c r="Z49" s="14">
        <f t="shared" si="90"/>
        <v>0</v>
      </c>
      <c r="AA49" s="14">
        <f t="shared" si="91"/>
        <v>0</v>
      </c>
      <c r="AB49" s="14">
        <f t="shared" si="92"/>
        <v>0.41313387731559803</v>
      </c>
      <c r="AC49" s="14">
        <f t="shared" si="93"/>
        <v>0.17108548237195526</v>
      </c>
      <c r="AD49" s="14">
        <f t="shared" si="94"/>
        <v>7.9473703927617212E-2</v>
      </c>
      <c r="AE49" s="14">
        <f t="shared" si="95"/>
        <v>0</v>
      </c>
      <c r="AF49" s="14">
        <f t="shared" si="96"/>
        <v>1.5172715602204624E-3</v>
      </c>
      <c r="AG49" s="14">
        <f t="shared" si="97"/>
        <v>0</v>
      </c>
      <c r="AH49" s="14">
        <f t="shared" si="98"/>
        <v>-1.4146429571039994E-18</v>
      </c>
      <c r="AI49" s="76">
        <f t="shared" si="69"/>
        <v>0</v>
      </c>
      <c r="AK49" s="2">
        <f t="shared" si="99"/>
        <v>15296000</v>
      </c>
      <c r="AL49" s="2">
        <f t="shared" si="100"/>
        <v>2776399.6238589338</v>
      </c>
      <c r="AM49" s="2">
        <f t="shared" si="100"/>
        <v>2344543.0892982851</v>
      </c>
      <c r="AN49" s="2">
        <f t="shared" si="100"/>
        <v>10175057.28684278</v>
      </c>
      <c r="AO49" s="2">
        <f t="shared" si="100"/>
        <v>-2.1638378671862776E-11</v>
      </c>
      <c r="AP49" s="2"/>
      <c r="AQ49" s="61" t="str">
        <f t="shared" si="108"/>
        <v>E49*      "</v>
      </c>
      <c r="AS49" s="2">
        <f t="shared" si="101"/>
        <v>2776399.6238589347</v>
      </c>
      <c r="AT49" s="2">
        <f t="shared" si="102"/>
        <v>1758697.7416784356</v>
      </c>
      <c r="AU49" s="2">
        <f t="shared" si="102"/>
        <v>770567.25419088115</v>
      </c>
      <c r="AV49" s="2">
        <f t="shared" si="102"/>
        <v>0</v>
      </c>
      <c r="AW49" s="2">
        <f t="shared" si="102"/>
        <v>27757.911944761228</v>
      </c>
      <c r="AX49" s="2">
        <f t="shared" si="102"/>
        <v>219376.7160448567</v>
      </c>
      <c r="AY49" s="2">
        <f t="shared" si="102"/>
        <v>0</v>
      </c>
      <c r="BA49" s="2">
        <f t="shared" si="103"/>
        <v>2344543.0892982846</v>
      </c>
      <c r="BB49" s="2">
        <f t="shared" si="104"/>
        <v>1325490.8846404876</v>
      </c>
      <c r="BC49" s="2">
        <f t="shared" si="104"/>
        <v>818029.05202186748</v>
      </c>
      <c r="BD49" s="2">
        <f t="shared" si="104"/>
        <v>0</v>
      </c>
      <c r="BE49" s="2">
        <f t="shared" si="104"/>
        <v>17625.805975139134</v>
      </c>
      <c r="BF49" s="2">
        <f t="shared" si="104"/>
        <v>183397.34666079053</v>
      </c>
      <c r="BG49" s="2">
        <f t="shared" si="104"/>
        <v>0</v>
      </c>
      <c r="BI49" s="2">
        <f t="shared" si="105"/>
        <v>10175057.286842782</v>
      </c>
      <c r="BJ49" s="2">
        <f t="shared" si="106"/>
        <v>9790778.3502888717</v>
      </c>
      <c r="BK49" s="2">
        <f t="shared" si="106"/>
        <v>365240.36990808824</v>
      </c>
      <c r="BL49" s="2">
        <f t="shared" si="106"/>
        <v>0</v>
      </c>
      <c r="BM49" s="2">
        <f t="shared" si="106"/>
        <v>1767.0644745592369</v>
      </c>
      <c r="BN49" s="2">
        <f t="shared" si="106"/>
        <v>17271.502171262513</v>
      </c>
      <c r="BO49" s="2">
        <f t="shared" si="106"/>
        <v>0</v>
      </c>
    </row>
    <row r="50" spans="1:67">
      <c r="A50" s="50">
        <f t="shared" si="2"/>
        <v>50</v>
      </c>
      <c r="B50" s="51">
        <v>393</v>
      </c>
      <c r="C50" s="36" t="s">
        <v>151</v>
      </c>
      <c r="D50" s="28" t="s">
        <v>96</v>
      </c>
      <c r="E50" s="369">
        <f>PROFORMA!AY287</f>
        <v>1207000</v>
      </c>
      <c r="F50" s="61" t="s">
        <v>996</v>
      </c>
      <c r="G50" s="60"/>
      <c r="H50" s="2">
        <f t="shared" si="107"/>
        <v>1207000</v>
      </c>
      <c r="I50" s="2">
        <f t="shared" si="81"/>
        <v>1015957.449056329</v>
      </c>
      <c r="J50" s="2">
        <f t="shared" si="81"/>
        <v>154176.31198207699</v>
      </c>
      <c r="K50" s="2">
        <f t="shared" si="81"/>
        <v>0</v>
      </c>
      <c r="L50" s="2">
        <f t="shared" si="81"/>
        <v>3720.6455511318477</v>
      </c>
      <c r="M50" s="2">
        <f t="shared" si="81"/>
        <v>33145.593410462214</v>
      </c>
      <c r="N50" s="2">
        <f t="shared" si="81"/>
        <v>0</v>
      </c>
      <c r="O50" s="2"/>
      <c r="P50" s="61" t="s">
        <v>997</v>
      </c>
      <c r="Q50" s="61"/>
      <c r="R50" s="14">
        <f t="shared" si="82"/>
        <v>9.9370957155623774E-2</v>
      </c>
      <c r="S50" s="14">
        <f t="shared" si="83"/>
        <v>1.5218388550417537E-2</v>
      </c>
      <c r="T50" s="14">
        <f t="shared" si="84"/>
        <v>8.699877677308605E-3</v>
      </c>
      <c r="U50" s="14">
        <f t="shared" si="85"/>
        <v>5.822225830198835E-2</v>
      </c>
      <c r="V50" s="14">
        <f t="shared" si="86"/>
        <v>0</v>
      </c>
      <c r="W50" s="14">
        <f t="shared" si="87"/>
        <v>0.15327818313927072</v>
      </c>
      <c r="X50" s="14">
        <f t="shared" si="88"/>
        <v>0</v>
      </c>
      <c r="Y50" s="14">
        <f t="shared" si="89"/>
        <v>0</v>
      </c>
      <c r="Z50" s="14">
        <f t="shared" si="90"/>
        <v>0</v>
      </c>
      <c r="AA50" s="14">
        <f t="shared" si="91"/>
        <v>0</v>
      </c>
      <c r="AB50" s="14">
        <f t="shared" si="92"/>
        <v>0.41313387731559803</v>
      </c>
      <c r="AC50" s="14">
        <f t="shared" si="93"/>
        <v>0.17108548237195526</v>
      </c>
      <c r="AD50" s="14">
        <f t="shared" si="94"/>
        <v>7.9473703927617212E-2</v>
      </c>
      <c r="AE50" s="14">
        <f t="shared" si="95"/>
        <v>0</v>
      </c>
      <c r="AF50" s="14">
        <f t="shared" si="96"/>
        <v>1.5172715602204624E-3</v>
      </c>
      <c r="AG50" s="14">
        <f t="shared" si="97"/>
        <v>0</v>
      </c>
      <c r="AH50" s="14">
        <f t="shared" si="98"/>
        <v>-1.4146429571039994E-18</v>
      </c>
      <c r="AI50" s="76">
        <f t="shared" si="69"/>
        <v>0</v>
      </c>
      <c r="AK50" s="2">
        <f t="shared" si="99"/>
        <v>1207000</v>
      </c>
      <c r="AL50" s="2">
        <f t="shared" si="100"/>
        <v>219084.35839420327</v>
      </c>
      <c r="AM50" s="2">
        <f t="shared" si="100"/>
        <v>185006.76704909976</v>
      </c>
      <c r="AN50" s="2">
        <f t="shared" si="100"/>
        <v>802908.87455669686</v>
      </c>
      <c r="AO50" s="2">
        <f t="shared" si="100"/>
        <v>-1.7074740492245274E-12</v>
      </c>
      <c r="AP50" s="2"/>
      <c r="AQ50" s="61" t="str">
        <f t="shared" si="108"/>
        <v>E50*      "</v>
      </c>
      <c r="AS50" s="2">
        <f t="shared" si="101"/>
        <v>219084.35839420333</v>
      </c>
      <c r="AT50" s="2">
        <f t="shared" si="102"/>
        <v>138777.99256053031</v>
      </c>
      <c r="AU50" s="2">
        <f t="shared" si="102"/>
        <v>60805.091253163802</v>
      </c>
      <c r="AV50" s="2">
        <f t="shared" si="102"/>
        <v>0</v>
      </c>
      <c r="AW50" s="2">
        <f t="shared" si="102"/>
        <v>2190.3634752436456</v>
      </c>
      <c r="AX50" s="2">
        <f t="shared" si="102"/>
        <v>17310.911105265561</v>
      </c>
      <c r="AY50" s="2">
        <f t="shared" si="102"/>
        <v>0</v>
      </c>
      <c r="BA50" s="2">
        <f t="shared" si="103"/>
        <v>185006.76704909973</v>
      </c>
      <c r="BB50" s="2">
        <f t="shared" si="104"/>
        <v>104593.84791847989</v>
      </c>
      <c r="BC50" s="2">
        <f t="shared" si="104"/>
        <v>64550.278882740196</v>
      </c>
      <c r="BD50" s="2">
        <f t="shared" si="104"/>
        <v>0</v>
      </c>
      <c r="BE50" s="2">
        <f t="shared" si="104"/>
        <v>1390.8438684618811</v>
      </c>
      <c r="BF50" s="2">
        <f t="shared" si="104"/>
        <v>14471.796379417769</v>
      </c>
      <c r="BG50" s="2">
        <f t="shared" si="104"/>
        <v>0</v>
      </c>
      <c r="BI50" s="2">
        <f t="shared" si="105"/>
        <v>802908.87455669697</v>
      </c>
      <c r="BJ50" s="2">
        <f t="shared" si="106"/>
        <v>772585.60857731872</v>
      </c>
      <c r="BK50" s="2">
        <f t="shared" si="106"/>
        <v>28820.94184617302</v>
      </c>
      <c r="BL50" s="2">
        <f t="shared" si="106"/>
        <v>0</v>
      </c>
      <c r="BM50" s="2">
        <f t="shared" si="106"/>
        <v>139.43820742632053</v>
      </c>
      <c r="BN50" s="2">
        <f t="shared" si="106"/>
        <v>1362.885925778887</v>
      </c>
      <c r="BO50" s="2">
        <f t="shared" si="106"/>
        <v>0</v>
      </c>
    </row>
    <row r="51" spans="1:67">
      <c r="A51" s="50">
        <f t="shared" si="2"/>
        <v>51</v>
      </c>
      <c r="B51" s="51">
        <v>394</v>
      </c>
      <c r="C51" s="36" t="s">
        <v>151</v>
      </c>
      <c r="D51" s="28" t="s">
        <v>97</v>
      </c>
      <c r="E51" s="369">
        <f>PROFORMA!AY288</f>
        <v>8906000</v>
      </c>
      <c r="F51" s="61" t="s">
        <v>996</v>
      </c>
      <c r="G51" s="60"/>
      <c r="H51" s="2">
        <f t="shared" si="107"/>
        <v>8906000</v>
      </c>
      <c r="I51" s="2">
        <f t="shared" si="81"/>
        <v>7496368.7168978173</v>
      </c>
      <c r="J51" s="2">
        <f t="shared" si="81"/>
        <v>1137609.1420980762</v>
      </c>
      <c r="K51" s="2">
        <f t="shared" si="81"/>
        <v>0</v>
      </c>
      <c r="L51" s="2">
        <f t="shared" si="81"/>
        <v>27453.247123761586</v>
      </c>
      <c r="M51" s="2">
        <f t="shared" si="81"/>
        <v>244568.89388034504</v>
      </c>
      <c r="N51" s="2">
        <f t="shared" si="81"/>
        <v>0</v>
      </c>
      <c r="O51" s="2"/>
      <c r="P51" s="61" t="s">
        <v>997</v>
      </c>
      <c r="Q51" s="61"/>
      <c r="R51" s="14">
        <f t="shared" si="82"/>
        <v>9.9370957155623774E-2</v>
      </c>
      <c r="S51" s="14">
        <f t="shared" si="83"/>
        <v>1.5218388550417537E-2</v>
      </c>
      <c r="T51" s="14">
        <f t="shared" si="84"/>
        <v>8.699877677308605E-3</v>
      </c>
      <c r="U51" s="14">
        <f t="shared" si="85"/>
        <v>5.822225830198835E-2</v>
      </c>
      <c r="V51" s="14">
        <f t="shared" si="86"/>
        <v>0</v>
      </c>
      <c r="W51" s="14">
        <f t="shared" si="87"/>
        <v>0.15327818313927072</v>
      </c>
      <c r="X51" s="14">
        <f t="shared" si="88"/>
        <v>0</v>
      </c>
      <c r="Y51" s="14">
        <f t="shared" si="89"/>
        <v>0</v>
      </c>
      <c r="Z51" s="14">
        <f t="shared" si="90"/>
        <v>0</v>
      </c>
      <c r="AA51" s="14">
        <f t="shared" si="91"/>
        <v>0</v>
      </c>
      <c r="AB51" s="14">
        <f t="shared" si="92"/>
        <v>0.41313387731559803</v>
      </c>
      <c r="AC51" s="14">
        <f t="shared" si="93"/>
        <v>0.17108548237195526</v>
      </c>
      <c r="AD51" s="14">
        <f t="shared" si="94"/>
        <v>7.9473703927617212E-2</v>
      </c>
      <c r="AE51" s="14">
        <f t="shared" si="95"/>
        <v>0</v>
      </c>
      <c r="AF51" s="14">
        <f t="shared" si="96"/>
        <v>1.5172715602204624E-3</v>
      </c>
      <c r="AG51" s="14">
        <f t="shared" si="97"/>
        <v>0</v>
      </c>
      <c r="AH51" s="14">
        <f t="shared" si="98"/>
        <v>-1.4146429571039994E-18</v>
      </c>
      <c r="AI51" s="76">
        <f t="shared" si="69"/>
        <v>0</v>
      </c>
      <c r="AK51" s="2">
        <f t="shared" si="99"/>
        <v>8906000</v>
      </c>
      <c r="AL51" s="2">
        <f t="shared" si="100"/>
        <v>1616541.2558896225</v>
      </c>
      <c r="AM51" s="2">
        <f t="shared" si="100"/>
        <v>1365095.4990383449</v>
      </c>
      <c r="AN51" s="2">
        <f t="shared" si="100"/>
        <v>5924363.2450720323</v>
      </c>
      <c r="AO51" s="2">
        <f t="shared" si="100"/>
        <v>-1.2598810175968219E-11</v>
      </c>
      <c r="AP51" s="2"/>
      <c r="AQ51" s="61" t="str">
        <f t="shared" si="108"/>
        <v>E51*      "</v>
      </c>
      <c r="AS51" s="2">
        <f t="shared" si="101"/>
        <v>1616541.2558896227</v>
      </c>
      <c r="AT51" s="2">
        <f t="shared" si="102"/>
        <v>1023990.7222403338</v>
      </c>
      <c r="AU51" s="2">
        <f t="shared" si="102"/>
        <v>448657.94755648455</v>
      </c>
      <c r="AV51" s="2">
        <f t="shared" si="102"/>
        <v>0</v>
      </c>
      <c r="AW51" s="2">
        <f t="shared" si="102"/>
        <v>16161.870017000752</v>
      </c>
      <c r="AX51" s="2">
        <f t="shared" si="102"/>
        <v>127730.71607580372</v>
      </c>
      <c r="AY51" s="2">
        <f t="shared" si="102"/>
        <v>0</v>
      </c>
      <c r="BA51" s="2">
        <f t="shared" si="103"/>
        <v>1365095.4990383449</v>
      </c>
      <c r="BB51" s="2">
        <f t="shared" si="104"/>
        <v>771758.74860147631</v>
      </c>
      <c r="BC51" s="2">
        <f t="shared" si="104"/>
        <v>476292.28146618407</v>
      </c>
      <c r="BD51" s="2">
        <f t="shared" si="104"/>
        <v>0</v>
      </c>
      <c r="BE51" s="2">
        <f t="shared" si="104"/>
        <v>10262.514906811528</v>
      </c>
      <c r="BF51" s="2">
        <f t="shared" si="104"/>
        <v>106781.95406387294</v>
      </c>
      <c r="BG51" s="2">
        <f t="shared" si="104"/>
        <v>0</v>
      </c>
      <c r="BI51" s="2">
        <f t="shared" si="105"/>
        <v>5924363.2450720323</v>
      </c>
      <c r="BJ51" s="2">
        <f t="shared" si="106"/>
        <v>5700619.2460560072</v>
      </c>
      <c r="BK51" s="2">
        <f t="shared" si="106"/>
        <v>212658.91307540756</v>
      </c>
      <c r="BL51" s="2">
        <f t="shared" si="106"/>
        <v>0</v>
      </c>
      <c r="BM51" s="2">
        <f t="shared" si="106"/>
        <v>1028.8621999493048</v>
      </c>
      <c r="BN51" s="2">
        <f t="shared" si="106"/>
        <v>10056.223740668407</v>
      </c>
      <c r="BO51" s="2">
        <f t="shared" si="106"/>
        <v>0</v>
      </c>
    </row>
    <row r="52" spans="1:67">
      <c r="A52" s="50">
        <f t="shared" si="2"/>
        <v>52</v>
      </c>
      <c r="B52" s="51">
        <v>395</v>
      </c>
      <c r="C52" s="36" t="s">
        <v>151</v>
      </c>
      <c r="D52" s="28" t="s">
        <v>98</v>
      </c>
      <c r="E52" s="369">
        <f>PROFORMA!AY289</f>
        <v>535000</v>
      </c>
      <c r="F52" s="61" t="s">
        <v>996</v>
      </c>
      <c r="G52" s="60"/>
      <c r="H52" s="2">
        <f t="shared" si="107"/>
        <v>535000</v>
      </c>
      <c r="I52" s="2">
        <f t="shared" si="81"/>
        <v>450320.82456100744</v>
      </c>
      <c r="J52" s="2">
        <f t="shared" si="81"/>
        <v>68338.299014425182</v>
      </c>
      <c r="K52" s="2">
        <f t="shared" si="81"/>
        <v>0</v>
      </c>
      <c r="L52" s="2">
        <f t="shared" si="81"/>
        <v>1649.1676635091453</v>
      </c>
      <c r="M52" s="2">
        <f t="shared" si="81"/>
        <v>14691.708761058229</v>
      </c>
      <c r="N52" s="2">
        <f t="shared" si="81"/>
        <v>0</v>
      </c>
      <c r="O52" s="2"/>
      <c r="P52" s="61" t="s">
        <v>997</v>
      </c>
      <c r="Q52" s="61"/>
      <c r="R52" s="14">
        <f t="shared" si="82"/>
        <v>9.9370957155623774E-2</v>
      </c>
      <c r="S52" s="14">
        <f t="shared" si="83"/>
        <v>1.5218388550417537E-2</v>
      </c>
      <c r="T52" s="14">
        <f t="shared" si="84"/>
        <v>8.699877677308605E-3</v>
      </c>
      <c r="U52" s="14">
        <f t="shared" si="85"/>
        <v>5.822225830198835E-2</v>
      </c>
      <c r="V52" s="14">
        <f t="shared" si="86"/>
        <v>0</v>
      </c>
      <c r="W52" s="14">
        <f t="shared" si="87"/>
        <v>0.15327818313927072</v>
      </c>
      <c r="X52" s="14">
        <f t="shared" si="88"/>
        <v>0</v>
      </c>
      <c r="Y52" s="14">
        <f t="shared" si="89"/>
        <v>0</v>
      </c>
      <c r="Z52" s="14">
        <f t="shared" si="90"/>
        <v>0</v>
      </c>
      <c r="AA52" s="14">
        <f t="shared" si="91"/>
        <v>0</v>
      </c>
      <c r="AB52" s="14">
        <f t="shared" si="92"/>
        <v>0.41313387731559803</v>
      </c>
      <c r="AC52" s="14">
        <f t="shared" si="93"/>
        <v>0.17108548237195526</v>
      </c>
      <c r="AD52" s="14">
        <f t="shared" si="94"/>
        <v>7.9473703927617212E-2</v>
      </c>
      <c r="AE52" s="14">
        <f t="shared" si="95"/>
        <v>0</v>
      </c>
      <c r="AF52" s="14">
        <f t="shared" si="96"/>
        <v>1.5172715602204624E-3</v>
      </c>
      <c r="AG52" s="14">
        <f t="shared" si="97"/>
        <v>0</v>
      </c>
      <c r="AH52" s="14">
        <f t="shared" si="98"/>
        <v>-1.4146429571039994E-18</v>
      </c>
      <c r="AI52" s="76">
        <f t="shared" si="69"/>
        <v>0</v>
      </c>
      <c r="AK52" s="2">
        <f t="shared" si="99"/>
        <v>535000</v>
      </c>
      <c r="AL52" s="2">
        <f t="shared" si="100"/>
        <v>97108.642701655976</v>
      </c>
      <c r="AM52" s="2">
        <f t="shared" si="100"/>
        <v>82003.827979509835</v>
      </c>
      <c r="AN52" s="2">
        <f t="shared" si="100"/>
        <v>355887.52931883419</v>
      </c>
      <c r="AO52" s="2">
        <f t="shared" si="100"/>
        <v>-7.5683398205063964E-13</v>
      </c>
      <c r="AP52" s="2"/>
      <c r="AQ52" s="61" t="str">
        <f t="shared" si="108"/>
        <v>E52*      "</v>
      </c>
      <c r="AS52" s="2">
        <f t="shared" si="101"/>
        <v>97108.642701656005</v>
      </c>
      <c r="AT52" s="2">
        <f t="shared" si="102"/>
        <v>61513.029013988169</v>
      </c>
      <c r="AU52" s="2">
        <f t="shared" si="102"/>
        <v>26951.718161095803</v>
      </c>
      <c r="AV52" s="2">
        <f t="shared" si="102"/>
        <v>0</v>
      </c>
      <c r="AW52" s="2">
        <f t="shared" si="102"/>
        <v>970.8736199298678</v>
      </c>
      <c r="AX52" s="2">
        <f t="shared" si="102"/>
        <v>7673.0219066421505</v>
      </c>
      <c r="AY52" s="2">
        <f t="shared" si="102"/>
        <v>0</v>
      </c>
      <c r="BA52" s="2">
        <f t="shared" si="103"/>
        <v>82003.827979509821</v>
      </c>
      <c r="BB52" s="2">
        <f t="shared" si="104"/>
        <v>46360.984785738809</v>
      </c>
      <c r="BC52" s="2">
        <f t="shared" si="104"/>
        <v>28611.764044959407</v>
      </c>
      <c r="BD52" s="2">
        <f t="shared" si="104"/>
        <v>0</v>
      </c>
      <c r="BE52" s="2">
        <f t="shared" si="104"/>
        <v>616.48837583024556</v>
      </c>
      <c r="BF52" s="2">
        <f t="shared" si="104"/>
        <v>6414.5907729813634</v>
      </c>
      <c r="BG52" s="2">
        <f t="shared" si="104"/>
        <v>0</v>
      </c>
      <c r="BI52" s="2">
        <f t="shared" si="105"/>
        <v>355887.52931883419</v>
      </c>
      <c r="BJ52" s="2">
        <f t="shared" si="106"/>
        <v>342446.81076128047</v>
      </c>
      <c r="BK52" s="2">
        <f t="shared" si="106"/>
        <v>12774.81680836998</v>
      </c>
      <c r="BL52" s="2">
        <f t="shared" si="106"/>
        <v>0</v>
      </c>
      <c r="BM52" s="2">
        <f t="shared" si="106"/>
        <v>61.80566774903189</v>
      </c>
      <c r="BN52" s="2">
        <f t="shared" si="106"/>
        <v>604.09608143471792</v>
      </c>
      <c r="BO52" s="2">
        <f t="shared" si="106"/>
        <v>0</v>
      </c>
    </row>
    <row r="53" spans="1:67">
      <c r="A53" s="50">
        <f t="shared" si="2"/>
        <v>53</v>
      </c>
      <c r="B53" s="51">
        <v>396</v>
      </c>
      <c r="C53" s="36" t="s">
        <v>151</v>
      </c>
      <c r="D53" s="28" t="s">
        <v>99</v>
      </c>
      <c r="E53" s="369">
        <f>PROFORMA!AY290</f>
        <v>3616000</v>
      </c>
      <c r="F53" s="61" t="s">
        <v>996</v>
      </c>
      <c r="G53" s="60"/>
      <c r="H53" s="2">
        <f t="shared" si="107"/>
        <v>3616000</v>
      </c>
      <c r="I53" s="2">
        <f t="shared" si="81"/>
        <v>3043663.741331968</v>
      </c>
      <c r="J53" s="2">
        <f t="shared" si="81"/>
        <v>461890.26025450742</v>
      </c>
      <c r="K53" s="2">
        <f t="shared" si="81"/>
        <v>0</v>
      </c>
      <c r="L53" s="2">
        <f t="shared" si="81"/>
        <v>11146.523871493588</v>
      </c>
      <c r="M53" s="2">
        <f t="shared" si="81"/>
        <v>99299.474542030948</v>
      </c>
      <c r="N53" s="2">
        <f t="shared" si="81"/>
        <v>0</v>
      </c>
      <c r="O53" s="2"/>
      <c r="P53" s="61" t="s">
        <v>997</v>
      </c>
      <c r="Q53" s="61"/>
      <c r="R53" s="14">
        <f t="shared" si="82"/>
        <v>9.9370957155623774E-2</v>
      </c>
      <c r="S53" s="14">
        <f t="shared" si="83"/>
        <v>1.5218388550417537E-2</v>
      </c>
      <c r="T53" s="14">
        <f t="shared" si="84"/>
        <v>8.699877677308605E-3</v>
      </c>
      <c r="U53" s="14">
        <f t="shared" si="85"/>
        <v>5.822225830198835E-2</v>
      </c>
      <c r="V53" s="14">
        <f t="shared" si="86"/>
        <v>0</v>
      </c>
      <c r="W53" s="14">
        <f t="shared" si="87"/>
        <v>0.15327818313927072</v>
      </c>
      <c r="X53" s="14">
        <f t="shared" si="88"/>
        <v>0</v>
      </c>
      <c r="Y53" s="14">
        <f t="shared" si="89"/>
        <v>0</v>
      </c>
      <c r="Z53" s="14">
        <f t="shared" si="90"/>
        <v>0</v>
      </c>
      <c r="AA53" s="14">
        <f t="shared" si="91"/>
        <v>0</v>
      </c>
      <c r="AB53" s="14">
        <f t="shared" si="92"/>
        <v>0.41313387731559803</v>
      </c>
      <c r="AC53" s="14">
        <f t="shared" si="93"/>
        <v>0.17108548237195526</v>
      </c>
      <c r="AD53" s="14">
        <f t="shared" si="94"/>
        <v>7.9473703927617212E-2</v>
      </c>
      <c r="AE53" s="14">
        <f t="shared" si="95"/>
        <v>0</v>
      </c>
      <c r="AF53" s="14">
        <f t="shared" si="96"/>
        <v>1.5172715602204624E-3</v>
      </c>
      <c r="AG53" s="14">
        <f t="shared" si="97"/>
        <v>0</v>
      </c>
      <c r="AH53" s="14">
        <f t="shared" si="98"/>
        <v>-1.4146429571039994E-18</v>
      </c>
      <c r="AI53" s="76">
        <f t="shared" si="69"/>
        <v>0</v>
      </c>
      <c r="AK53" s="2">
        <f t="shared" si="99"/>
        <v>3616000</v>
      </c>
      <c r="AL53" s="2">
        <f t="shared" si="100"/>
        <v>656345.51777418319</v>
      </c>
      <c r="AM53" s="2">
        <f t="shared" si="100"/>
        <v>554253.91023160296</v>
      </c>
      <c r="AN53" s="2">
        <f t="shared" si="100"/>
        <v>2405400.5719942139</v>
      </c>
      <c r="AO53" s="2">
        <f t="shared" si="100"/>
        <v>-5.1153489328880616E-12</v>
      </c>
      <c r="AP53" s="2"/>
      <c r="AQ53" s="61" t="str">
        <f t="shared" si="108"/>
        <v>E53*      "</v>
      </c>
      <c r="AS53" s="2">
        <f t="shared" si="101"/>
        <v>656345.5177741833</v>
      </c>
      <c r="AT53" s="2">
        <f t="shared" si="102"/>
        <v>415759.08955996489</v>
      </c>
      <c r="AU53" s="2">
        <f t="shared" si="102"/>
        <v>182163.38854303258</v>
      </c>
      <c r="AV53" s="2">
        <f t="shared" si="102"/>
        <v>0</v>
      </c>
      <c r="AW53" s="2">
        <f t="shared" si="102"/>
        <v>6562.0168404979477</v>
      </c>
      <c r="AX53" s="2">
        <f t="shared" si="102"/>
        <v>51861.022830687878</v>
      </c>
      <c r="AY53" s="2">
        <f t="shared" si="102"/>
        <v>0</v>
      </c>
      <c r="BA53" s="2">
        <f t="shared" si="103"/>
        <v>554253.91023160296</v>
      </c>
      <c r="BB53" s="2">
        <f t="shared" si="104"/>
        <v>313348.26352379727</v>
      </c>
      <c r="BC53" s="2">
        <f t="shared" si="104"/>
        <v>193383.43698424901</v>
      </c>
      <c r="BD53" s="2">
        <f t="shared" si="104"/>
        <v>0</v>
      </c>
      <c r="BE53" s="2">
        <f t="shared" si="104"/>
        <v>4166.7700317797535</v>
      </c>
      <c r="BF53" s="2">
        <f t="shared" si="104"/>
        <v>43355.439691776839</v>
      </c>
      <c r="BG53" s="2">
        <f t="shared" si="104"/>
        <v>0</v>
      </c>
      <c r="BI53" s="2">
        <f t="shared" si="105"/>
        <v>2405400.5719942143</v>
      </c>
      <c r="BJ53" s="2">
        <f t="shared" si="106"/>
        <v>2314556.3882482061</v>
      </c>
      <c r="BK53" s="2">
        <f t="shared" si="106"/>
        <v>86343.434727225875</v>
      </c>
      <c r="BL53" s="2">
        <f t="shared" si="106"/>
        <v>0</v>
      </c>
      <c r="BM53" s="2">
        <f t="shared" si="106"/>
        <v>417.73699921588656</v>
      </c>
      <c r="BN53" s="2">
        <f t="shared" si="106"/>
        <v>4083.012019566243</v>
      </c>
      <c r="BO53" s="2">
        <f t="shared" si="106"/>
        <v>0</v>
      </c>
    </row>
    <row r="54" spans="1:67">
      <c r="A54" s="50">
        <f t="shared" si="2"/>
        <v>54</v>
      </c>
      <c r="B54" s="51">
        <v>397</v>
      </c>
      <c r="C54" s="36" t="s">
        <v>151</v>
      </c>
      <c r="D54" s="28" t="s">
        <v>100</v>
      </c>
      <c r="E54" s="369">
        <f>PROFORMA!AY291</f>
        <v>19451000</v>
      </c>
      <c r="F54" s="61" t="s">
        <v>996</v>
      </c>
      <c r="G54" s="60"/>
      <c r="H54" s="2">
        <f t="shared" si="107"/>
        <v>19451000</v>
      </c>
      <c r="I54" s="2">
        <f t="shared" si="81"/>
        <v>16372318.427170385</v>
      </c>
      <c r="J54" s="2">
        <f t="shared" si="81"/>
        <v>2484576.1759431483</v>
      </c>
      <c r="K54" s="2">
        <f t="shared" si="81"/>
        <v>0</v>
      </c>
      <c r="L54" s="2">
        <f t="shared" si="81"/>
        <v>59958.804154983904</v>
      </c>
      <c r="M54" s="2">
        <f t="shared" si="81"/>
        <v>534146.5927314834</v>
      </c>
      <c r="N54" s="2">
        <f t="shared" si="81"/>
        <v>0</v>
      </c>
      <c r="O54" s="2"/>
      <c r="P54" s="61" t="s">
        <v>997</v>
      </c>
      <c r="Q54" s="61"/>
      <c r="R54" s="14">
        <f t="shared" si="82"/>
        <v>9.9370957155623774E-2</v>
      </c>
      <c r="S54" s="14">
        <f t="shared" si="83"/>
        <v>1.5218388550417537E-2</v>
      </c>
      <c r="T54" s="14">
        <f t="shared" si="84"/>
        <v>8.699877677308605E-3</v>
      </c>
      <c r="U54" s="14">
        <f t="shared" si="85"/>
        <v>5.822225830198835E-2</v>
      </c>
      <c r="V54" s="14">
        <f t="shared" si="86"/>
        <v>0</v>
      </c>
      <c r="W54" s="14">
        <f t="shared" si="87"/>
        <v>0.15327818313927072</v>
      </c>
      <c r="X54" s="14">
        <f t="shared" si="88"/>
        <v>0</v>
      </c>
      <c r="Y54" s="14">
        <f t="shared" si="89"/>
        <v>0</v>
      </c>
      <c r="Z54" s="14">
        <f t="shared" si="90"/>
        <v>0</v>
      </c>
      <c r="AA54" s="14">
        <f t="shared" si="91"/>
        <v>0</v>
      </c>
      <c r="AB54" s="14">
        <f t="shared" si="92"/>
        <v>0.41313387731559803</v>
      </c>
      <c r="AC54" s="14">
        <f t="shared" si="93"/>
        <v>0.17108548237195526</v>
      </c>
      <c r="AD54" s="14">
        <f t="shared" si="94"/>
        <v>7.9473703927617212E-2</v>
      </c>
      <c r="AE54" s="14">
        <f t="shared" si="95"/>
        <v>0</v>
      </c>
      <c r="AF54" s="14">
        <f t="shared" si="96"/>
        <v>1.5172715602204624E-3</v>
      </c>
      <c r="AG54" s="14">
        <f t="shared" si="97"/>
        <v>0</v>
      </c>
      <c r="AH54" s="14">
        <f t="shared" si="98"/>
        <v>-1.4146429571039994E-18</v>
      </c>
      <c r="AI54" s="76">
        <f t="shared" si="69"/>
        <v>0</v>
      </c>
      <c r="AK54" s="2">
        <f t="shared" si="99"/>
        <v>19451000</v>
      </c>
      <c r="AL54" s="2">
        <f t="shared" si="100"/>
        <v>3530579.8302615145</v>
      </c>
      <c r="AM54" s="2">
        <f t="shared" si="100"/>
        <v>2981413.9402419548</v>
      </c>
      <c r="AN54" s="2">
        <f t="shared" si="100"/>
        <v>12939006.229496529</v>
      </c>
      <c r="AO54" s="2">
        <f t="shared" si="100"/>
        <v>-2.7516220158629891E-11</v>
      </c>
      <c r="AP54" s="2"/>
      <c r="AQ54" s="61" t="str">
        <f t="shared" si="108"/>
        <v>E54*      "</v>
      </c>
      <c r="AS54" s="2">
        <f t="shared" si="101"/>
        <v>3530579.8302615155</v>
      </c>
      <c r="AT54" s="2">
        <f t="shared" si="102"/>
        <v>2236429.7707496895</v>
      </c>
      <c r="AU54" s="2">
        <f t="shared" si="102"/>
        <v>979883.8690681766</v>
      </c>
      <c r="AV54" s="2">
        <f t="shared" si="102"/>
        <v>0</v>
      </c>
      <c r="AW54" s="2">
        <f t="shared" si="102"/>
        <v>35298.061273375439</v>
      </c>
      <c r="AX54" s="2">
        <f t="shared" si="102"/>
        <v>278968.12917027378</v>
      </c>
      <c r="AY54" s="2">
        <f t="shared" si="102"/>
        <v>0</v>
      </c>
      <c r="BA54" s="2">
        <f t="shared" si="103"/>
        <v>2981413.9402419543</v>
      </c>
      <c r="BB54" s="2">
        <f t="shared" si="104"/>
        <v>1685546.7571353375</v>
      </c>
      <c r="BC54" s="2">
        <f t="shared" si="104"/>
        <v>1040238.1727822531</v>
      </c>
      <c r="BD54" s="2">
        <f t="shared" si="104"/>
        <v>0</v>
      </c>
      <c r="BE54" s="2">
        <f t="shared" si="104"/>
        <v>22413.673641633846</v>
      </c>
      <c r="BF54" s="2">
        <f t="shared" si="104"/>
        <v>233215.33668272992</v>
      </c>
      <c r="BG54" s="2">
        <f t="shared" si="104"/>
        <v>0</v>
      </c>
      <c r="BI54" s="2">
        <f t="shared" si="105"/>
        <v>12939006.229496529</v>
      </c>
      <c r="BJ54" s="2">
        <f t="shared" si="106"/>
        <v>12450341.899285357</v>
      </c>
      <c r="BK54" s="2">
        <f t="shared" si="106"/>
        <v>464454.13409271865</v>
      </c>
      <c r="BL54" s="2">
        <f t="shared" si="106"/>
        <v>0</v>
      </c>
      <c r="BM54" s="2">
        <f t="shared" si="106"/>
        <v>2247.0692399746154</v>
      </c>
      <c r="BN54" s="2">
        <f t="shared" si="106"/>
        <v>21963.126878479809</v>
      </c>
      <c r="BO54" s="2">
        <f t="shared" si="106"/>
        <v>0</v>
      </c>
    </row>
    <row r="55" spans="1:67">
      <c r="A55" s="50">
        <f t="shared" si="2"/>
        <v>55</v>
      </c>
      <c r="B55" s="51">
        <v>398</v>
      </c>
      <c r="C55" s="36" t="s">
        <v>151</v>
      </c>
      <c r="D55" s="28" t="s">
        <v>101</v>
      </c>
      <c r="E55" s="369">
        <f>PROFORMA!AY292</f>
        <v>129000</v>
      </c>
      <c r="F55" s="61" t="s">
        <v>996</v>
      </c>
      <c r="G55" s="60"/>
      <c r="H55" s="2">
        <f t="shared" si="107"/>
        <v>129000</v>
      </c>
      <c r="I55" s="2">
        <f t="shared" si="81"/>
        <v>108582.03059508404</v>
      </c>
      <c r="J55" s="2">
        <f t="shared" si="81"/>
        <v>16477.832846468875</v>
      </c>
      <c r="K55" s="2">
        <f t="shared" si="81"/>
        <v>0</v>
      </c>
      <c r="L55" s="2">
        <f t="shared" si="81"/>
        <v>397.64977307042943</v>
      </c>
      <c r="M55" s="2">
        <f t="shared" si="81"/>
        <v>3542.4867853766573</v>
      </c>
      <c r="N55" s="2">
        <f t="shared" si="81"/>
        <v>0</v>
      </c>
      <c r="O55" s="2"/>
      <c r="P55" s="61" t="s">
        <v>997</v>
      </c>
      <c r="Q55" s="61"/>
      <c r="R55" s="14">
        <f t="shared" si="82"/>
        <v>9.9370957155623774E-2</v>
      </c>
      <c r="S55" s="14">
        <f t="shared" si="83"/>
        <v>1.5218388550417537E-2</v>
      </c>
      <c r="T55" s="14">
        <f t="shared" si="84"/>
        <v>8.699877677308605E-3</v>
      </c>
      <c r="U55" s="14">
        <f t="shared" si="85"/>
        <v>5.822225830198835E-2</v>
      </c>
      <c r="V55" s="14">
        <f t="shared" si="86"/>
        <v>0</v>
      </c>
      <c r="W55" s="14">
        <f t="shared" si="87"/>
        <v>0.15327818313927072</v>
      </c>
      <c r="X55" s="14">
        <f t="shared" si="88"/>
        <v>0</v>
      </c>
      <c r="Y55" s="14">
        <f t="shared" si="89"/>
        <v>0</v>
      </c>
      <c r="Z55" s="14">
        <f t="shared" si="90"/>
        <v>0</v>
      </c>
      <c r="AA55" s="14">
        <f t="shared" si="91"/>
        <v>0</v>
      </c>
      <c r="AB55" s="14">
        <f t="shared" si="92"/>
        <v>0.41313387731559803</v>
      </c>
      <c r="AC55" s="14">
        <f t="shared" si="93"/>
        <v>0.17108548237195526</v>
      </c>
      <c r="AD55" s="14">
        <f t="shared" si="94"/>
        <v>7.9473703927617212E-2</v>
      </c>
      <c r="AE55" s="14">
        <f t="shared" si="95"/>
        <v>0</v>
      </c>
      <c r="AF55" s="14">
        <f t="shared" si="96"/>
        <v>1.5172715602204624E-3</v>
      </c>
      <c r="AG55" s="14">
        <f t="shared" si="97"/>
        <v>0</v>
      </c>
      <c r="AH55" s="14">
        <f t="shared" si="98"/>
        <v>-1.4146429571039994E-18</v>
      </c>
      <c r="AI55" s="76">
        <f t="shared" si="69"/>
        <v>0</v>
      </c>
      <c r="AK55" s="2">
        <f t="shared" si="99"/>
        <v>128999.99999999999</v>
      </c>
      <c r="AL55" s="2">
        <f t="shared" si="100"/>
        <v>23414.981137408635</v>
      </c>
      <c r="AM55" s="2">
        <f t="shared" si="100"/>
        <v>19772.885624965922</v>
      </c>
      <c r="AN55" s="2">
        <f t="shared" si="100"/>
        <v>85812.133237625429</v>
      </c>
      <c r="AO55" s="2">
        <f t="shared" si="100"/>
        <v>-1.8248894146641591E-13</v>
      </c>
      <c r="AP55" s="2"/>
      <c r="AQ55" s="61" t="str">
        <f t="shared" si="108"/>
        <v>E55*      "</v>
      </c>
      <c r="AS55" s="2">
        <f t="shared" si="101"/>
        <v>23414.981137408642</v>
      </c>
      <c r="AT55" s="2">
        <f t="shared" si="102"/>
        <v>14832.113537952288</v>
      </c>
      <c r="AU55" s="2">
        <f t="shared" si="102"/>
        <v>6498.6385846380535</v>
      </c>
      <c r="AV55" s="2">
        <f t="shared" si="102"/>
        <v>0</v>
      </c>
      <c r="AW55" s="2">
        <f t="shared" si="102"/>
        <v>234.09849901112699</v>
      </c>
      <c r="AX55" s="2">
        <f t="shared" si="102"/>
        <v>1850.1305158071727</v>
      </c>
      <c r="AY55" s="2">
        <f t="shared" si="102"/>
        <v>0</v>
      </c>
      <c r="BA55" s="2">
        <f t="shared" si="103"/>
        <v>19772.885624965922</v>
      </c>
      <c r="BB55" s="2">
        <f t="shared" si="104"/>
        <v>11178.629976374405</v>
      </c>
      <c r="BC55" s="2">
        <f t="shared" si="104"/>
        <v>6898.9113304668472</v>
      </c>
      <c r="BD55" s="2">
        <f t="shared" si="104"/>
        <v>0</v>
      </c>
      <c r="BE55" s="2">
        <f t="shared" si="104"/>
        <v>148.64859903196577</v>
      </c>
      <c r="BF55" s="2">
        <f t="shared" si="104"/>
        <v>1546.6957190927026</v>
      </c>
      <c r="BG55" s="2">
        <f t="shared" si="104"/>
        <v>0</v>
      </c>
      <c r="BI55" s="2">
        <f t="shared" si="105"/>
        <v>85812.133237625443</v>
      </c>
      <c r="BJ55" s="2">
        <f t="shared" si="106"/>
        <v>82571.287080757349</v>
      </c>
      <c r="BK55" s="2">
        <f t="shared" si="106"/>
        <v>3080.2829313639763</v>
      </c>
      <c r="BL55" s="2">
        <f t="shared" si="106"/>
        <v>0</v>
      </c>
      <c r="BM55" s="2">
        <f t="shared" si="106"/>
        <v>14.902675027336661</v>
      </c>
      <c r="BN55" s="2">
        <f t="shared" si="106"/>
        <v>145.66055047678245</v>
      </c>
      <c r="BO55" s="2">
        <f t="shared" si="106"/>
        <v>0</v>
      </c>
    </row>
    <row r="56" spans="1:67">
      <c r="A56" s="50">
        <f t="shared" si="2"/>
        <v>56</v>
      </c>
      <c r="D56" s="52" t="s">
        <v>102</v>
      </c>
      <c r="E56" s="4">
        <f>SUM(E46:E55)</f>
        <v>120121000</v>
      </c>
      <c r="F56" s="60"/>
      <c r="G56" s="119" t="s">
        <v>999</v>
      </c>
      <c r="H56" s="4">
        <f>IF(ROUND(SUM(H45:H55),3)&lt;&gt;ROUND(SUM(I56:N56),3),#VALUE!,SUM(H45:H55))</f>
        <v>120121000</v>
      </c>
      <c r="I56" s="4">
        <f t="shared" ref="I56:N56" si="109">SUM(I45:I55)</f>
        <v>101108388.34970611</v>
      </c>
      <c r="J56" s="4">
        <f t="shared" si="109"/>
        <v>15343672.553106109</v>
      </c>
      <c r="K56" s="4">
        <f t="shared" si="109"/>
        <v>0</v>
      </c>
      <c r="L56" s="4">
        <f t="shared" si="109"/>
        <v>370279.75496893842</v>
      </c>
      <c r="M56" s="4">
        <f t="shared" si="109"/>
        <v>3298659.3422188326</v>
      </c>
      <c r="N56" s="4">
        <f t="shared" si="109"/>
        <v>0</v>
      </c>
      <c r="O56" s="5"/>
      <c r="P56" s="61" t="s">
        <v>997</v>
      </c>
      <c r="Q56" s="61"/>
      <c r="R56" s="13">
        <f>SUMPRODUCT($E46:$E55,R$46:R$55)/$E56</f>
        <v>9.937095715562376E-2</v>
      </c>
      <c r="S56" s="13">
        <f>SUMPRODUCT($E46:$E55,S$46:S$55)/$E56</f>
        <v>1.5218388550417536E-2</v>
      </c>
      <c r="T56" s="13">
        <f t="shared" ref="T56:AF56" si="110">SUMPRODUCT($E46:$E55,T$46:T$55)/$E56</f>
        <v>8.699877677308605E-3</v>
      </c>
      <c r="U56" s="13">
        <f>SUMPRODUCT($E46:$E55,U$46:U$55)/$E56</f>
        <v>5.8222258301988336E-2</v>
      </c>
      <c r="V56" s="13">
        <f>SUMPRODUCT($E46:$E55,V$46:V$55)/$E56</f>
        <v>0</v>
      </c>
      <c r="W56" s="13">
        <f t="shared" si="110"/>
        <v>0.15327818313927075</v>
      </c>
      <c r="X56" s="13">
        <f t="shared" si="110"/>
        <v>0</v>
      </c>
      <c r="Y56" s="13">
        <f>SUMPRODUCT($E46:$E55,Y$46:Y$55)/$E56</f>
        <v>0</v>
      </c>
      <c r="Z56" s="13">
        <f>SUMPRODUCT($E46:$E55,Z$46:Z$55)/$E56</f>
        <v>0</v>
      </c>
      <c r="AA56" s="13">
        <f t="shared" si="110"/>
        <v>0</v>
      </c>
      <c r="AB56" s="13">
        <f>SUMPRODUCT($E46:$E55,AB$46:AB$55)/$E56</f>
        <v>0.41313387731559803</v>
      </c>
      <c r="AC56" s="13">
        <f t="shared" si="110"/>
        <v>0.17108548237195528</v>
      </c>
      <c r="AD56" s="13">
        <f t="shared" si="110"/>
        <v>7.9473703927617226E-2</v>
      </c>
      <c r="AE56" s="13">
        <f>SUMPRODUCT($E46:$E55,AE$46:AE$55)/$E56</f>
        <v>0</v>
      </c>
      <c r="AF56" s="13">
        <f t="shared" si="110"/>
        <v>1.5172715602204624E-3</v>
      </c>
      <c r="AG56" s="13">
        <f>SUMPRODUCT($E46:$E55,AG$46:AG$55)/$E56</f>
        <v>0</v>
      </c>
      <c r="AH56" s="13">
        <f>SUMPRODUCT($E46:$E55,AH$46:AH$55)/$E56</f>
        <v>-1.4146429571039994E-18</v>
      </c>
      <c r="AI56" s="76">
        <f t="shared" si="69"/>
        <v>0</v>
      </c>
      <c r="AK56" s="4">
        <f>SUM(AK45:AK55)</f>
        <v>120121000</v>
      </c>
      <c r="AL56" s="4">
        <f>SUM(AL45:AL55)</f>
        <v>21803340.691524517</v>
      </c>
      <c r="AM56" s="4">
        <f>SUM(AM45:AM55)</f>
        <v>18411928.63687234</v>
      </c>
      <c r="AN56" s="4">
        <f>SUM(AN45:AN55)</f>
        <v>79905730.671603143</v>
      </c>
      <c r="AO56" s="4">
        <f>SUM(AO45:AO55)</f>
        <v>-1.6992832665028952E-10</v>
      </c>
      <c r="AP56" s="5"/>
      <c r="AQ56" s="61" t="str">
        <f>$A45&amp;":"&amp;$A55</f>
        <v>45:55</v>
      </c>
      <c r="AS56" s="4">
        <f>IF(ROUND(SUM(AS45:AS55),3)&lt;&gt;ROUND(SUM(AT56:AY56),3),#VALUE!,SUM(AS45:AS55))</f>
        <v>21803340.691524521</v>
      </c>
      <c r="AT56" s="4">
        <f t="shared" ref="AT56:AY56" si="111">SUM(AT45:AT55)</f>
        <v>13811227.211568734</v>
      </c>
      <c r="AU56" s="4">
        <f t="shared" si="111"/>
        <v>6051340.8172504464</v>
      </c>
      <c r="AV56" s="4">
        <f t="shared" si="111"/>
        <v>0</v>
      </c>
      <c r="AW56" s="4">
        <f t="shared" si="111"/>
        <v>217985.62635438438</v>
      </c>
      <c r="AX56" s="4">
        <f t="shared" si="111"/>
        <v>1722787.0363509564</v>
      </c>
      <c r="AY56" s="4">
        <f t="shared" si="111"/>
        <v>0</v>
      </c>
      <c r="BA56" s="4">
        <f>IF(ROUND(SUM(BA45:BA55),3)&lt;&gt;ROUND(SUM(BB56:BG56),3),#VALUE!,SUM(BA45:BA55))</f>
        <v>18411928.636872336</v>
      </c>
      <c r="BB56" s="4">
        <f t="shared" ref="BB56:BG56" si="112">SUM(BB45:BB55)</f>
        <v>10409210.941023797</v>
      </c>
      <c r="BC56" s="4">
        <f t="shared" si="112"/>
        <v>6424063.0071861101</v>
      </c>
      <c r="BD56" s="4">
        <f t="shared" si="112"/>
        <v>0</v>
      </c>
      <c r="BE56" s="4">
        <f t="shared" si="112"/>
        <v>138417.19662262604</v>
      </c>
      <c r="BF56" s="4">
        <f t="shared" si="112"/>
        <v>1440237.4920398025</v>
      </c>
      <c r="BG56" s="4">
        <f t="shared" si="112"/>
        <v>0</v>
      </c>
      <c r="BI56" s="4">
        <f>IF(ROUND(SUM(BI45:BI55),3)&lt;&gt;ROUND(SUM(BJ56:BO56),3),#VALUE!,SUM(BI45:BI55))</f>
        <v>79905730.671603143</v>
      </c>
      <c r="BJ56" s="4">
        <f t="shared" ref="BJ56:BO56" si="113">SUM(BJ45:BJ55)</f>
        <v>76887950.197113588</v>
      </c>
      <c r="BK56" s="4">
        <f t="shared" si="113"/>
        <v>2868268.7286695526</v>
      </c>
      <c r="BL56" s="4">
        <f t="shared" si="113"/>
        <v>0</v>
      </c>
      <c r="BM56" s="4">
        <f t="shared" si="113"/>
        <v>13876.931991927961</v>
      </c>
      <c r="BN56" s="4">
        <f t="shared" si="113"/>
        <v>135634.81382807429</v>
      </c>
      <c r="BO56" s="4">
        <f t="shared" si="113"/>
        <v>0</v>
      </c>
    </row>
    <row r="57" spans="1:67">
      <c r="A57" s="50">
        <f t="shared" si="2"/>
        <v>57</v>
      </c>
      <c r="E57" s="2"/>
      <c r="F57" s="60"/>
      <c r="G57" s="60"/>
      <c r="I57" s="78"/>
      <c r="P57" s="61"/>
      <c r="Q57" s="61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76">
        <f t="shared" si="69"/>
        <v>0</v>
      </c>
      <c r="AQ57" s="61"/>
    </row>
    <row r="58" spans="1:67">
      <c r="A58" s="50">
        <f t="shared" si="2"/>
        <v>58</v>
      </c>
      <c r="D58" s="1" t="s">
        <v>103</v>
      </c>
      <c r="E58" s="2">
        <f>E13+E24+E41+E56</f>
        <v>952176000</v>
      </c>
      <c r="F58" s="60" t="str">
        <f>"("&amp;A$13&amp;"+"&amp;A$24&amp;"+"&amp;A$41&amp;"+"&amp;A$56&amp;")"</f>
        <v>(13+24+41+56)</v>
      </c>
      <c r="G58" s="60" t="s">
        <v>417</v>
      </c>
      <c r="H58" s="2">
        <f>H13+H24+H41+H56</f>
        <v>952176000</v>
      </c>
      <c r="I58" s="2">
        <f t="shared" ref="I58:N58" si="114">I13+I24+I41+I56</f>
        <v>728574465.21893477</v>
      </c>
      <c r="J58" s="2">
        <f t="shared" si="114"/>
        <v>174903940.29453814</v>
      </c>
      <c r="K58" s="2">
        <f t="shared" si="114"/>
        <v>0</v>
      </c>
      <c r="L58" s="2">
        <f t="shared" si="114"/>
        <v>4331574.9896836421</v>
      </c>
      <c r="M58" s="2">
        <f>M13+M24+M41+M56</f>
        <v>44366019.496843494</v>
      </c>
      <c r="N58" s="2">
        <f t="shared" si="114"/>
        <v>0</v>
      </c>
      <c r="O58" s="2"/>
      <c r="P58" s="61" t="str">
        <f>"Sum("&amp;$A13&amp;","&amp;$A24&amp;","&amp;$A41&amp;","&amp;$A56&amp;")"</f>
        <v>Sum(13,24,41,56)</v>
      </c>
      <c r="Q58" s="61"/>
      <c r="R58" s="14">
        <f>($E13*R13+$E24*R24+$E41*R41+$E56*R56)/$E58</f>
        <v>0.16904766890389558</v>
      </c>
      <c r="S58" s="14">
        <f t="shared" ref="S58:AH58" si="115">($E13*S13+$E24*S24+$E41*S41+$E56*S56)/$E58</f>
        <v>2.676215166561764E-3</v>
      </c>
      <c r="T58" s="14">
        <f t="shared" si="115"/>
        <v>6.7778250216338808E-3</v>
      </c>
      <c r="U58" s="14">
        <f>($E13*U13+$E24*U24+$E41*U41+$E56*U56)/$E58</f>
        <v>4.5359290529395975E-2</v>
      </c>
      <c r="V58" s="14">
        <f>($E13*V13+$E24*V24+$E41*V41+$E56*V56)/$E58</f>
        <v>0</v>
      </c>
      <c r="W58" s="14">
        <f t="shared" si="115"/>
        <v>0.27058822771397795</v>
      </c>
      <c r="X58" s="14">
        <f t="shared" si="115"/>
        <v>0</v>
      </c>
      <c r="Y58" s="14">
        <f>($E13*Y13+$E24*Y24+$E41*Y41+$E56*Y56)/$E58</f>
        <v>0</v>
      </c>
      <c r="Z58" s="14">
        <f t="shared" si="115"/>
        <v>0</v>
      </c>
      <c r="AA58" s="14">
        <f t="shared" si="115"/>
        <v>0</v>
      </c>
      <c r="AB58" s="14">
        <f t="shared" si="115"/>
        <v>7.2651262952682066E-2</v>
      </c>
      <c r="AC58" s="14">
        <f t="shared" si="115"/>
        <v>0.31137572086955634</v>
      </c>
      <c r="AD58" s="14">
        <f t="shared" si="115"/>
        <v>0.11759557901028445</v>
      </c>
      <c r="AE58" s="14">
        <f t="shared" si="115"/>
        <v>0</v>
      </c>
      <c r="AF58" s="14">
        <f t="shared" si="115"/>
        <v>3.9282098320119977E-3</v>
      </c>
      <c r="AG58" s="14">
        <f>($E13*AG13+$E24*AG24+$E41*AG41+$E56*AG56)/$E58</f>
        <v>0</v>
      </c>
      <c r="AH58" s="14">
        <f t="shared" si="115"/>
        <v>-2.4244162456526846E-19</v>
      </c>
      <c r="AI58" s="76">
        <f t="shared" si="69"/>
        <v>0</v>
      </c>
      <c r="AK58" s="2">
        <f>AK13+AK24+AK41+AK56</f>
        <v>952176000</v>
      </c>
      <c r="AL58" s="2">
        <f>AL13+AL24+AL41+AL56</f>
        <v>213155071.17558917</v>
      </c>
      <c r="AM58" s="2">
        <f>AM13+AM24+AM41+AM56</f>
        <v>257647616.31178468</v>
      </c>
      <c r="AN58" s="2">
        <f>AN13+AN24+AN41+AN56</f>
        <v>481373312.51262611</v>
      </c>
      <c r="AO58" s="2">
        <f>AO13+AO24+AO41+AO56</f>
        <v>-2.3687347530932207E-10</v>
      </c>
      <c r="AP58" s="2"/>
      <c r="AQ58" s="61" t="str">
        <f>"Sum("&amp;$A13&amp;","&amp;$A24&amp;","&amp;$A41&amp;","&amp;$A56&amp;")"</f>
        <v>Sum(13,24,41,56)</v>
      </c>
      <c r="AS58" s="2">
        <f>AS13+AS24+AS41+AS56</f>
        <v>213155071.1755892</v>
      </c>
      <c r="AT58" s="2">
        <f t="shared" ref="AT58:AY58" si="116">AT13+AT24+AT41+AT56</f>
        <v>129600120.56749552</v>
      </c>
      <c r="AU58" s="2">
        <f t="shared" si="116"/>
        <v>58838350.824144959</v>
      </c>
      <c r="AV58" s="2">
        <f t="shared" si="116"/>
        <v>0</v>
      </c>
      <c r="AW58" s="2">
        <f t="shared" si="116"/>
        <v>2222817.2113891924</v>
      </c>
      <c r="AX58" s="2">
        <f t="shared" si="116"/>
        <v>22493782.572559506</v>
      </c>
      <c r="AY58" s="2">
        <f t="shared" si="116"/>
        <v>0</v>
      </c>
      <c r="BA58" s="2">
        <f>BA13+BA24+BA41+BA56</f>
        <v>257647616.31178463</v>
      </c>
      <c r="BB58" s="2">
        <f t="shared" ref="BB58:BG58" si="117">BB13+BB24+BB41+BB56</f>
        <v>145661458.91259059</v>
      </c>
      <c r="BC58" s="2">
        <f t="shared" si="117"/>
        <v>89895227.897177979</v>
      </c>
      <c r="BD58" s="2">
        <f t="shared" si="117"/>
        <v>0</v>
      </c>
      <c r="BE58" s="2">
        <f t="shared" si="117"/>
        <v>1936943.243140731</v>
      </c>
      <c r="BF58" s="2">
        <f t="shared" si="117"/>
        <v>20153986.258875322</v>
      </c>
      <c r="BG58" s="2">
        <f t="shared" si="117"/>
        <v>0</v>
      </c>
      <c r="BI58" s="2">
        <f>BI13+BI24+BI41+BI56</f>
        <v>481373312.51262611</v>
      </c>
      <c r="BJ58" s="2">
        <f t="shared" ref="BJ58:BO58" si="118">BJ13+BJ24+BJ41+BJ56</f>
        <v>453312885.73884857</v>
      </c>
      <c r="BK58" s="2">
        <f t="shared" si="118"/>
        <v>26170361.573215198</v>
      </c>
      <c r="BL58" s="2">
        <f t="shared" si="118"/>
        <v>0</v>
      </c>
      <c r="BM58" s="2">
        <f t="shared" si="118"/>
        <v>171814.53515371829</v>
      </c>
      <c r="BN58" s="2">
        <f t="shared" si="118"/>
        <v>1718250.6654086695</v>
      </c>
      <c r="BO58" s="2">
        <f t="shared" si="118"/>
        <v>0</v>
      </c>
    </row>
    <row r="59" spans="1:67" ht="15">
      <c r="A59" s="50">
        <f t="shared" si="2"/>
        <v>59</v>
      </c>
      <c r="E59" s="390">
        <f>(E58/1000)-PROFORMA!AY295</f>
        <v>0</v>
      </c>
      <c r="F59" s="60"/>
      <c r="G59" s="60"/>
      <c r="P59" s="61"/>
      <c r="Q59" s="61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76">
        <f t="shared" si="69"/>
        <v>0</v>
      </c>
      <c r="AQ59" s="61"/>
    </row>
    <row r="60" spans="1:67">
      <c r="A60" s="50">
        <f t="shared" si="2"/>
        <v>60</v>
      </c>
      <c r="E60" s="2"/>
      <c r="F60" s="60"/>
      <c r="G60" s="60"/>
      <c r="P60" s="61"/>
      <c r="Q60" s="61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76">
        <f t="shared" si="69"/>
        <v>0</v>
      </c>
      <c r="AQ60" s="61"/>
    </row>
    <row r="61" spans="1:67">
      <c r="A61" s="50">
        <f t="shared" si="2"/>
        <v>61</v>
      </c>
      <c r="C61" s="34"/>
      <c r="D61" s="1" t="s">
        <v>104</v>
      </c>
      <c r="E61" s="9"/>
      <c r="F61" s="60"/>
      <c r="G61" s="60"/>
      <c r="P61" s="61"/>
      <c r="Q61" s="61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76">
        <f t="shared" si="69"/>
        <v>0</v>
      </c>
      <c r="AQ61" s="61"/>
    </row>
    <row r="62" spans="1:67">
      <c r="A62" s="50">
        <f t="shared" si="2"/>
        <v>62</v>
      </c>
      <c r="B62" s="51"/>
      <c r="D62" t="s">
        <v>251</v>
      </c>
      <c r="E62" s="2"/>
      <c r="F62" s="60"/>
      <c r="G62" s="60"/>
      <c r="P62" s="61"/>
      <c r="Q62" s="61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76">
        <f t="shared" si="69"/>
        <v>0</v>
      </c>
      <c r="AQ62" s="61"/>
    </row>
    <row r="63" spans="1:67">
      <c r="A63" s="50">
        <f t="shared" si="2"/>
        <v>63</v>
      </c>
      <c r="B63" s="51">
        <v>350</v>
      </c>
      <c r="C63" s="36" t="s">
        <v>394</v>
      </c>
      <c r="D63" s="28" t="s">
        <v>252</v>
      </c>
      <c r="E63" s="369">
        <f>PROFORMA!AY309</f>
        <v>-23000</v>
      </c>
      <c r="F63" s="60" t="str">
        <f>"as 350 Plant ("&amp;A$16&amp;")"</f>
        <v>as 350 Plant (16)</v>
      </c>
      <c r="G63" s="60"/>
      <c r="H63" s="2">
        <f t="shared" ref="H63:H70" si="119">SUM(I63:N63)</f>
        <v>-23000</v>
      </c>
      <c r="I63" s="2">
        <f t="shared" ref="I63:N70" si="120">$E63*SUMPRODUCT($R63:$AH63,INDEX(AllocFactors,I$4,0))</f>
        <v>-16420.667015877501</v>
      </c>
      <c r="J63" s="2">
        <f t="shared" si="120"/>
        <v>-6123.7653572880918</v>
      </c>
      <c r="K63" s="2">
        <f t="shared" si="120"/>
        <v>0</v>
      </c>
      <c r="L63" s="2">
        <f t="shared" si="120"/>
        <v>-166.74999741223712</v>
      </c>
      <c r="M63" s="2">
        <f t="shared" si="120"/>
        <v>-288.8176294221696</v>
      </c>
      <c r="N63" s="2">
        <f t="shared" si="120"/>
        <v>0</v>
      </c>
      <c r="O63" s="2"/>
      <c r="P63" s="61" t="str">
        <f>E$1&amp;$A63&amp;"* Sum["&amp;$R$1&amp;$A63&amp;":"&amp;$AH$1&amp;$A63&amp;"* "&amp;Factors!D$1&amp;Factors!$A$58&amp;":"&amp;Factors!S$1&amp;Factors!$A$64&amp;"]"</f>
        <v>E63* Sum[R63:AH63* D1042:S1048]</v>
      </c>
      <c r="Q63" s="61"/>
      <c r="R63" s="14">
        <f>R$16</f>
        <v>0</v>
      </c>
      <c r="S63" s="14">
        <f t="shared" ref="S63:AH63" si="121">S$16</f>
        <v>0</v>
      </c>
      <c r="T63" s="14">
        <f t="shared" si="121"/>
        <v>0.13</v>
      </c>
      <c r="U63" s="14">
        <f t="shared" si="121"/>
        <v>0.87</v>
      </c>
      <c r="V63" s="14">
        <f t="shared" si="121"/>
        <v>0</v>
      </c>
      <c r="W63" s="14">
        <f t="shared" si="121"/>
        <v>0</v>
      </c>
      <c r="X63" s="14">
        <f t="shared" si="121"/>
        <v>0</v>
      </c>
      <c r="Y63" s="14">
        <f t="shared" si="121"/>
        <v>0</v>
      </c>
      <c r="Z63" s="14">
        <f t="shared" si="121"/>
        <v>0</v>
      </c>
      <c r="AA63" s="14">
        <f t="shared" si="121"/>
        <v>0</v>
      </c>
      <c r="AB63" s="14">
        <f t="shared" si="121"/>
        <v>0</v>
      </c>
      <c r="AC63" s="14">
        <f t="shared" si="121"/>
        <v>0</v>
      </c>
      <c r="AD63" s="14">
        <f t="shared" si="121"/>
        <v>0</v>
      </c>
      <c r="AE63" s="14">
        <f t="shared" si="121"/>
        <v>0</v>
      </c>
      <c r="AF63" s="14">
        <f t="shared" si="121"/>
        <v>0</v>
      </c>
      <c r="AG63" s="14">
        <f t="shared" si="121"/>
        <v>0</v>
      </c>
      <c r="AH63" s="14">
        <f t="shared" si="121"/>
        <v>0</v>
      </c>
      <c r="AI63" s="76">
        <f t="shared" si="69"/>
        <v>0</v>
      </c>
      <c r="AK63" s="2">
        <f t="shared" ref="AK63:AK70" si="122">SUM(AL63:AO63)</f>
        <v>-23000</v>
      </c>
      <c r="AL63" s="2">
        <f t="shared" ref="AL63:AO70" si="123">SUMIF($R$4:$AH$4,AL$5,$R63:$AH63)*$E63</f>
        <v>-23000</v>
      </c>
      <c r="AM63" s="2">
        <f t="shared" si="123"/>
        <v>0</v>
      </c>
      <c r="AN63" s="2">
        <f t="shared" si="123"/>
        <v>0</v>
      </c>
      <c r="AO63" s="2">
        <f t="shared" si="123"/>
        <v>0</v>
      </c>
      <c r="AP63" s="2"/>
      <c r="AQ63" s="61" t="str">
        <f>E$1&amp;$A63&amp;"*["&amp;R$1&amp;$A63&amp;":"&amp;$AH$1&amp;$A63&amp;" when "&amp;R$1&amp;$A$4&amp;":"&amp;$AH$1&amp;$A$4&amp;" = E,D,C,or R]"</f>
        <v>E63*[R63:AH63 when R4:AH4 = E,D,C,or R]</v>
      </c>
      <c r="AS63" s="2">
        <f t="shared" ref="AS63:AS70" si="124">SUM(AT63:AY63)</f>
        <v>-23000</v>
      </c>
      <c r="AT63" s="2">
        <f t="shared" ref="AT63:AY70" si="125">$E63*SUMPRODUCT($R63:$V63,INDEX(AllocFactors_E,AT$4,0))</f>
        <v>-16420.667015877501</v>
      </c>
      <c r="AU63" s="2">
        <f t="shared" si="125"/>
        <v>-6123.7653572880918</v>
      </c>
      <c r="AV63" s="2">
        <f t="shared" si="125"/>
        <v>0</v>
      </c>
      <c r="AW63" s="2">
        <f t="shared" si="125"/>
        <v>-166.74999741223712</v>
      </c>
      <c r="AX63" s="2">
        <f t="shared" si="125"/>
        <v>-288.8176294221696</v>
      </c>
      <c r="AY63" s="2">
        <f t="shared" si="125"/>
        <v>0</v>
      </c>
      <c r="BA63" s="2">
        <f t="shared" ref="BA63:BA70" si="126">SUM(BB63:BG63)</f>
        <v>0</v>
      </c>
      <c r="BB63" s="2">
        <f t="shared" ref="BB63:BG70" si="127">$E63*SUMPRODUCT($W63:$AA63,INDEX(AllocFactors_D,BB$4,0))</f>
        <v>0</v>
      </c>
      <c r="BC63" s="2">
        <f t="shared" si="127"/>
        <v>0</v>
      </c>
      <c r="BD63" s="2">
        <f t="shared" si="127"/>
        <v>0</v>
      </c>
      <c r="BE63" s="2">
        <f t="shared" si="127"/>
        <v>0</v>
      </c>
      <c r="BF63" s="2">
        <f t="shared" si="127"/>
        <v>0</v>
      </c>
      <c r="BG63" s="2">
        <f t="shared" si="127"/>
        <v>0</v>
      </c>
      <c r="BI63" s="2">
        <f t="shared" ref="BI63:BI70" si="128">SUM(BJ63:BO63)</f>
        <v>0</v>
      </c>
      <c r="BJ63" s="2">
        <f t="shared" ref="BJ63:BO70" si="129">$E63*SUMPRODUCT($AB63:$AG63,INDEX(AllocFactors_C,BJ$4,0))</f>
        <v>0</v>
      </c>
      <c r="BK63" s="2">
        <f t="shared" si="129"/>
        <v>0</v>
      </c>
      <c r="BL63" s="2">
        <f t="shared" si="129"/>
        <v>0</v>
      </c>
      <c r="BM63" s="2">
        <f t="shared" si="129"/>
        <v>0</v>
      </c>
      <c r="BN63" s="2">
        <f t="shared" si="129"/>
        <v>0</v>
      </c>
      <c r="BO63" s="2">
        <f t="shared" si="129"/>
        <v>0</v>
      </c>
    </row>
    <row r="64" spans="1:67">
      <c r="A64" s="50">
        <f t="shared" si="2"/>
        <v>64</v>
      </c>
      <c r="B64" s="51">
        <v>351</v>
      </c>
      <c r="C64" s="36" t="s">
        <v>394</v>
      </c>
      <c r="D64" s="28" t="s">
        <v>253</v>
      </c>
      <c r="E64" s="369">
        <f>PROFORMA!AY310</f>
        <v>-772000</v>
      </c>
      <c r="F64" s="60" t="str">
        <f>"as 351 Plant ("&amp;A$17&amp;")"</f>
        <v>as 351 Plant (17)</v>
      </c>
      <c r="G64" s="60"/>
      <c r="H64" s="2">
        <f t="shared" si="119"/>
        <v>-772000</v>
      </c>
      <c r="I64" s="2">
        <f t="shared" si="120"/>
        <v>-551163.25809814921</v>
      </c>
      <c r="J64" s="2">
        <f t="shared" si="120"/>
        <v>-205545.51547071335</v>
      </c>
      <c r="K64" s="2">
        <f t="shared" si="120"/>
        <v>0</v>
      </c>
      <c r="L64" s="2">
        <f t="shared" si="120"/>
        <v>-5596.9999131411769</v>
      </c>
      <c r="M64" s="2">
        <f t="shared" si="120"/>
        <v>-9694.2265179963015</v>
      </c>
      <c r="N64" s="2">
        <f t="shared" si="120"/>
        <v>0</v>
      </c>
      <c r="O64" s="2"/>
      <c r="P64" s="61" t="str">
        <f t="shared" ref="P64:P70" si="130">E$1&amp;$A64&amp;"*     """</f>
        <v>E64*     "</v>
      </c>
      <c r="Q64" s="61"/>
      <c r="R64" s="14">
        <f>R$17</f>
        <v>0</v>
      </c>
      <c r="S64" s="14">
        <f t="shared" ref="S64:AH64" si="131">S$17</f>
        <v>0</v>
      </c>
      <c r="T64" s="14">
        <f t="shared" si="131"/>
        <v>0.13</v>
      </c>
      <c r="U64" s="14">
        <f t="shared" si="131"/>
        <v>0.87</v>
      </c>
      <c r="V64" s="14">
        <f t="shared" si="131"/>
        <v>0</v>
      </c>
      <c r="W64" s="14">
        <f t="shared" si="131"/>
        <v>0</v>
      </c>
      <c r="X64" s="14">
        <f t="shared" si="131"/>
        <v>0</v>
      </c>
      <c r="Y64" s="14">
        <f t="shared" si="131"/>
        <v>0</v>
      </c>
      <c r="Z64" s="14">
        <f t="shared" si="131"/>
        <v>0</v>
      </c>
      <c r="AA64" s="14">
        <f t="shared" si="131"/>
        <v>0</v>
      </c>
      <c r="AB64" s="14">
        <f t="shared" si="131"/>
        <v>0</v>
      </c>
      <c r="AC64" s="14">
        <f t="shared" si="131"/>
        <v>0</v>
      </c>
      <c r="AD64" s="14">
        <f t="shared" si="131"/>
        <v>0</v>
      </c>
      <c r="AE64" s="14">
        <f t="shared" si="131"/>
        <v>0</v>
      </c>
      <c r="AF64" s="14">
        <f t="shared" si="131"/>
        <v>0</v>
      </c>
      <c r="AG64" s="14">
        <f t="shared" si="131"/>
        <v>0</v>
      </c>
      <c r="AH64" s="14">
        <f t="shared" si="131"/>
        <v>0</v>
      </c>
      <c r="AI64" s="76">
        <f t="shared" si="69"/>
        <v>0</v>
      </c>
      <c r="AK64" s="2">
        <f t="shared" si="122"/>
        <v>-772000</v>
      </c>
      <c r="AL64" s="2">
        <f t="shared" si="123"/>
        <v>-772000</v>
      </c>
      <c r="AM64" s="2">
        <f t="shared" si="123"/>
        <v>0</v>
      </c>
      <c r="AN64" s="2">
        <f t="shared" si="123"/>
        <v>0</v>
      </c>
      <c r="AO64" s="2">
        <f t="shared" si="123"/>
        <v>0</v>
      </c>
      <c r="AP64" s="2"/>
      <c r="AQ64" s="61" t="str">
        <f t="shared" ref="AQ64:AQ70" si="132">E$1&amp;$A64&amp;"*      """</f>
        <v>E64*      "</v>
      </c>
      <c r="AS64" s="2">
        <f t="shared" si="124"/>
        <v>-772000</v>
      </c>
      <c r="AT64" s="2">
        <f t="shared" si="125"/>
        <v>-551163.25809814921</v>
      </c>
      <c r="AU64" s="2">
        <f t="shared" si="125"/>
        <v>-205545.51547071335</v>
      </c>
      <c r="AV64" s="2">
        <f t="shared" si="125"/>
        <v>0</v>
      </c>
      <c r="AW64" s="2">
        <f t="shared" si="125"/>
        <v>-5596.9999131411769</v>
      </c>
      <c r="AX64" s="2">
        <f t="shared" si="125"/>
        <v>-9694.2265179963015</v>
      </c>
      <c r="AY64" s="2">
        <f t="shared" si="125"/>
        <v>0</v>
      </c>
      <c r="BA64" s="2">
        <f t="shared" si="126"/>
        <v>0</v>
      </c>
      <c r="BB64" s="2">
        <f t="shared" si="127"/>
        <v>0</v>
      </c>
      <c r="BC64" s="2">
        <f t="shared" si="127"/>
        <v>0</v>
      </c>
      <c r="BD64" s="2">
        <f t="shared" si="127"/>
        <v>0</v>
      </c>
      <c r="BE64" s="2">
        <f t="shared" si="127"/>
        <v>0</v>
      </c>
      <c r="BF64" s="2">
        <f t="shared" si="127"/>
        <v>0</v>
      </c>
      <c r="BG64" s="2">
        <f t="shared" si="127"/>
        <v>0</v>
      </c>
      <c r="BI64" s="2">
        <f t="shared" si="128"/>
        <v>0</v>
      </c>
      <c r="BJ64" s="2">
        <f t="shared" si="129"/>
        <v>0</v>
      </c>
      <c r="BK64" s="2">
        <f t="shared" si="129"/>
        <v>0</v>
      </c>
      <c r="BL64" s="2">
        <f t="shared" si="129"/>
        <v>0</v>
      </c>
      <c r="BM64" s="2">
        <f t="shared" si="129"/>
        <v>0</v>
      </c>
      <c r="BN64" s="2">
        <f t="shared" si="129"/>
        <v>0</v>
      </c>
      <c r="BO64" s="2">
        <f t="shared" si="129"/>
        <v>0</v>
      </c>
    </row>
    <row r="65" spans="1:67">
      <c r="A65" s="50">
        <f t="shared" si="2"/>
        <v>65</v>
      </c>
      <c r="B65" s="51">
        <v>352</v>
      </c>
      <c r="C65" s="36" t="s">
        <v>394</v>
      </c>
      <c r="D65" s="28" t="s">
        <v>254</v>
      </c>
      <c r="E65" s="369">
        <f>PROFORMA!AY311</f>
        <v>-8044000</v>
      </c>
      <c r="F65" s="60" t="str">
        <f>"as 352 Plant ("&amp;A$18&amp;")"</f>
        <v>as 352 Plant (18)</v>
      </c>
      <c r="G65" s="60"/>
      <c r="H65" s="2">
        <f t="shared" si="119"/>
        <v>-8044000.0000000009</v>
      </c>
      <c r="I65" s="2">
        <f t="shared" si="120"/>
        <v>-5742949.8032921143</v>
      </c>
      <c r="J65" s="2">
        <f t="shared" si="120"/>
        <v>-2141720.3710445832</v>
      </c>
      <c r="K65" s="2">
        <f t="shared" si="120"/>
        <v>0</v>
      </c>
      <c r="L65" s="2">
        <f t="shared" si="120"/>
        <v>-58318.999094958061</v>
      </c>
      <c r="M65" s="2">
        <f t="shared" si="120"/>
        <v>-101010.82656834488</v>
      </c>
      <c r="N65" s="2">
        <f t="shared" si="120"/>
        <v>0</v>
      </c>
      <c r="O65" s="2"/>
      <c r="P65" s="61" t="str">
        <f t="shared" si="130"/>
        <v>E65*     "</v>
      </c>
      <c r="Q65" s="61"/>
      <c r="R65" s="14">
        <f>R$18</f>
        <v>0</v>
      </c>
      <c r="S65" s="14">
        <f t="shared" ref="S65:AH65" si="133">S$18</f>
        <v>0</v>
      </c>
      <c r="T65" s="14">
        <f t="shared" si="133"/>
        <v>0.13</v>
      </c>
      <c r="U65" s="14">
        <f t="shared" si="133"/>
        <v>0.87</v>
      </c>
      <c r="V65" s="14">
        <f t="shared" si="133"/>
        <v>0</v>
      </c>
      <c r="W65" s="14">
        <f t="shared" si="133"/>
        <v>0</v>
      </c>
      <c r="X65" s="14">
        <f t="shared" si="133"/>
        <v>0</v>
      </c>
      <c r="Y65" s="14">
        <f t="shared" si="133"/>
        <v>0</v>
      </c>
      <c r="Z65" s="14">
        <f t="shared" si="133"/>
        <v>0</v>
      </c>
      <c r="AA65" s="14">
        <f t="shared" si="133"/>
        <v>0</v>
      </c>
      <c r="AB65" s="14">
        <f t="shared" si="133"/>
        <v>0</v>
      </c>
      <c r="AC65" s="14">
        <f t="shared" si="133"/>
        <v>0</v>
      </c>
      <c r="AD65" s="14">
        <f t="shared" si="133"/>
        <v>0</v>
      </c>
      <c r="AE65" s="14">
        <f t="shared" si="133"/>
        <v>0</v>
      </c>
      <c r="AF65" s="14">
        <f t="shared" si="133"/>
        <v>0</v>
      </c>
      <c r="AG65" s="14">
        <f t="shared" si="133"/>
        <v>0</v>
      </c>
      <c r="AH65" s="14">
        <f t="shared" si="133"/>
        <v>0</v>
      </c>
      <c r="AI65" s="76">
        <f t="shared" si="69"/>
        <v>0</v>
      </c>
      <c r="AK65" s="2">
        <f t="shared" si="122"/>
        <v>-8044000</v>
      </c>
      <c r="AL65" s="2">
        <f t="shared" si="123"/>
        <v>-8044000</v>
      </c>
      <c r="AM65" s="2">
        <f t="shared" si="123"/>
        <v>0</v>
      </c>
      <c r="AN65" s="2">
        <f t="shared" si="123"/>
        <v>0</v>
      </c>
      <c r="AO65" s="2">
        <f t="shared" si="123"/>
        <v>0</v>
      </c>
      <c r="AP65" s="2"/>
      <c r="AQ65" s="61" t="str">
        <f t="shared" si="132"/>
        <v>E65*      "</v>
      </c>
      <c r="AS65" s="2">
        <f t="shared" si="124"/>
        <v>-8044000.0000000009</v>
      </c>
      <c r="AT65" s="2">
        <f t="shared" si="125"/>
        <v>-5742949.8032921143</v>
      </c>
      <c r="AU65" s="2">
        <f t="shared" si="125"/>
        <v>-2141720.3710445832</v>
      </c>
      <c r="AV65" s="2">
        <f t="shared" si="125"/>
        <v>0</v>
      </c>
      <c r="AW65" s="2">
        <f t="shared" si="125"/>
        <v>-58318.999094958061</v>
      </c>
      <c r="AX65" s="2">
        <f t="shared" si="125"/>
        <v>-101010.82656834488</v>
      </c>
      <c r="AY65" s="2">
        <f t="shared" si="125"/>
        <v>0</v>
      </c>
      <c r="BA65" s="2">
        <f t="shared" si="126"/>
        <v>0</v>
      </c>
      <c r="BB65" s="2">
        <f t="shared" si="127"/>
        <v>0</v>
      </c>
      <c r="BC65" s="2">
        <f t="shared" si="127"/>
        <v>0</v>
      </c>
      <c r="BD65" s="2">
        <f t="shared" si="127"/>
        <v>0</v>
      </c>
      <c r="BE65" s="2">
        <f t="shared" si="127"/>
        <v>0</v>
      </c>
      <c r="BF65" s="2">
        <f t="shared" si="127"/>
        <v>0</v>
      </c>
      <c r="BG65" s="2">
        <f t="shared" si="127"/>
        <v>0</v>
      </c>
      <c r="BI65" s="2">
        <f t="shared" si="128"/>
        <v>0</v>
      </c>
      <c r="BJ65" s="2">
        <f t="shared" si="129"/>
        <v>0</v>
      </c>
      <c r="BK65" s="2">
        <f t="shared" si="129"/>
        <v>0</v>
      </c>
      <c r="BL65" s="2">
        <f t="shared" si="129"/>
        <v>0</v>
      </c>
      <c r="BM65" s="2">
        <f t="shared" si="129"/>
        <v>0</v>
      </c>
      <c r="BN65" s="2">
        <f t="shared" si="129"/>
        <v>0</v>
      </c>
      <c r="BO65" s="2">
        <f t="shared" si="129"/>
        <v>0</v>
      </c>
    </row>
    <row r="66" spans="1:67">
      <c r="A66" s="50">
        <f t="shared" si="2"/>
        <v>66</v>
      </c>
      <c r="B66" s="51">
        <v>353</v>
      </c>
      <c r="C66" s="36" t="s">
        <v>394</v>
      </c>
      <c r="D66" s="28" t="s">
        <v>255</v>
      </c>
      <c r="E66" s="369">
        <f>PROFORMA!AY312</f>
        <v>-515000</v>
      </c>
      <c r="F66" s="60" t="str">
        <f>"as 353 Plant ("&amp;A$19&amp;")"</f>
        <v>as 353 Plant (19)</v>
      </c>
      <c r="G66" s="60"/>
      <c r="H66" s="2">
        <f t="shared" si="119"/>
        <v>-515000</v>
      </c>
      <c r="I66" s="2">
        <f t="shared" si="120"/>
        <v>-367680.15274682234</v>
      </c>
      <c r="J66" s="2">
        <f t="shared" si="120"/>
        <v>-137119.09386971162</v>
      </c>
      <c r="K66" s="2">
        <f t="shared" si="120"/>
        <v>0</v>
      </c>
      <c r="L66" s="2">
        <f t="shared" si="120"/>
        <v>-3733.7499420566137</v>
      </c>
      <c r="M66" s="2">
        <f t="shared" si="120"/>
        <v>-6467.0034414094507</v>
      </c>
      <c r="N66" s="2">
        <f t="shared" si="120"/>
        <v>0</v>
      </c>
      <c r="O66" s="2"/>
      <c r="P66" s="61" t="str">
        <f t="shared" si="130"/>
        <v>E66*     "</v>
      </c>
      <c r="Q66" s="61"/>
      <c r="R66" s="14">
        <f>R$19</f>
        <v>0</v>
      </c>
      <c r="S66" s="14">
        <f t="shared" ref="S66:AH66" si="134">S$19</f>
        <v>0</v>
      </c>
      <c r="T66" s="14">
        <f t="shared" si="134"/>
        <v>0.13</v>
      </c>
      <c r="U66" s="14">
        <f t="shared" si="134"/>
        <v>0.87</v>
      </c>
      <c r="V66" s="14">
        <f t="shared" si="134"/>
        <v>0</v>
      </c>
      <c r="W66" s="14">
        <f t="shared" si="134"/>
        <v>0</v>
      </c>
      <c r="X66" s="14">
        <f t="shared" si="134"/>
        <v>0</v>
      </c>
      <c r="Y66" s="14">
        <f t="shared" si="134"/>
        <v>0</v>
      </c>
      <c r="Z66" s="14">
        <f t="shared" si="134"/>
        <v>0</v>
      </c>
      <c r="AA66" s="14">
        <f t="shared" si="134"/>
        <v>0</v>
      </c>
      <c r="AB66" s="14">
        <f t="shared" si="134"/>
        <v>0</v>
      </c>
      <c r="AC66" s="14">
        <f t="shared" si="134"/>
        <v>0</v>
      </c>
      <c r="AD66" s="14">
        <f t="shared" si="134"/>
        <v>0</v>
      </c>
      <c r="AE66" s="14">
        <f t="shared" si="134"/>
        <v>0</v>
      </c>
      <c r="AF66" s="14">
        <f t="shared" si="134"/>
        <v>0</v>
      </c>
      <c r="AG66" s="14">
        <f t="shared" si="134"/>
        <v>0</v>
      </c>
      <c r="AH66" s="14">
        <f t="shared" si="134"/>
        <v>0</v>
      </c>
      <c r="AI66" s="76">
        <f t="shared" si="69"/>
        <v>0</v>
      </c>
      <c r="AK66" s="2">
        <f t="shared" si="122"/>
        <v>-515000</v>
      </c>
      <c r="AL66" s="2">
        <f t="shared" si="123"/>
        <v>-515000</v>
      </c>
      <c r="AM66" s="2">
        <f t="shared" si="123"/>
        <v>0</v>
      </c>
      <c r="AN66" s="2">
        <f t="shared" si="123"/>
        <v>0</v>
      </c>
      <c r="AO66" s="2">
        <f t="shared" si="123"/>
        <v>0</v>
      </c>
      <c r="AP66" s="2"/>
      <c r="AQ66" s="61" t="str">
        <f t="shared" si="132"/>
        <v>E66*      "</v>
      </c>
      <c r="AS66" s="2">
        <f t="shared" si="124"/>
        <v>-515000</v>
      </c>
      <c r="AT66" s="2">
        <f t="shared" si="125"/>
        <v>-367680.15274682234</v>
      </c>
      <c r="AU66" s="2">
        <f t="shared" si="125"/>
        <v>-137119.09386971162</v>
      </c>
      <c r="AV66" s="2">
        <f t="shared" si="125"/>
        <v>0</v>
      </c>
      <c r="AW66" s="2">
        <f t="shared" si="125"/>
        <v>-3733.7499420566137</v>
      </c>
      <c r="AX66" s="2">
        <f t="shared" si="125"/>
        <v>-6467.0034414094507</v>
      </c>
      <c r="AY66" s="2">
        <f t="shared" si="125"/>
        <v>0</v>
      </c>
      <c r="BA66" s="2">
        <f t="shared" si="126"/>
        <v>0</v>
      </c>
      <c r="BB66" s="2">
        <f t="shared" si="127"/>
        <v>0</v>
      </c>
      <c r="BC66" s="2">
        <f t="shared" si="127"/>
        <v>0</v>
      </c>
      <c r="BD66" s="2">
        <f t="shared" si="127"/>
        <v>0</v>
      </c>
      <c r="BE66" s="2">
        <f t="shared" si="127"/>
        <v>0</v>
      </c>
      <c r="BF66" s="2">
        <f t="shared" si="127"/>
        <v>0</v>
      </c>
      <c r="BG66" s="2">
        <f t="shared" si="127"/>
        <v>0</v>
      </c>
      <c r="BI66" s="2">
        <f t="shared" si="128"/>
        <v>0</v>
      </c>
      <c r="BJ66" s="2">
        <f t="shared" si="129"/>
        <v>0</v>
      </c>
      <c r="BK66" s="2">
        <f t="shared" si="129"/>
        <v>0</v>
      </c>
      <c r="BL66" s="2">
        <f t="shared" si="129"/>
        <v>0</v>
      </c>
      <c r="BM66" s="2">
        <f t="shared" si="129"/>
        <v>0</v>
      </c>
      <c r="BN66" s="2">
        <f t="shared" si="129"/>
        <v>0</v>
      </c>
      <c r="BO66" s="2">
        <f t="shared" si="129"/>
        <v>0</v>
      </c>
    </row>
    <row r="67" spans="1:67">
      <c r="A67" s="50">
        <f t="shared" ref="A67:A138" si="135">RowHdr</f>
        <v>67</v>
      </c>
      <c r="B67" s="51">
        <v>354</v>
      </c>
      <c r="C67" s="36" t="s">
        <v>394</v>
      </c>
      <c r="D67" s="56" t="s">
        <v>256</v>
      </c>
      <c r="E67" s="369">
        <f>PROFORMA!AY313</f>
        <v>-3282000</v>
      </c>
      <c r="F67" s="60" t="str">
        <f>"as 354 Plant ("&amp;A$20&amp;")"</f>
        <v>as 354 Plant (20)</v>
      </c>
      <c r="G67" s="60"/>
      <c r="H67" s="2">
        <f t="shared" si="119"/>
        <v>-3282000.0000000005</v>
      </c>
      <c r="I67" s="2">
        <f t="shared" si="120"/>
        <v>-2343157.788961303</v>
      </c>
      <c r="J67" s="2">
        <f t="shared" si="120"/>
        <v>-873834.69141823985</v>
      </c>
      <c r="K67" s="2">
        <f t="shared" si="120"/>
        <v>0</v>
      </c>
      <c r="L67" s="2">
        <f t="shared" si="120"/>
        <v>-23794.499630737489</v>
      </c>
      <c r="M67" s="2">
        <f t="shared" si="120"/>
        <v>-41213.019989720029</v>
      </c>
      <c r="N67" s="2">
        <f t="shared" si="120"/>
        <v>0</v>
      </c>
      <c r="O67" s="2"/>
      <c r="P67" s="61" t="str">
        <f t="shared" si="130"/>
        <v>E67*     "</v>
      </c>
      <c r="Q67" s="61"/>
      <c r="R67" s="14">
        <f>R$20</f>
        <v>0</v>
      </c>
      <c r="S67" s="14">
        <f t="shared" ref="S67:AH67" si="136">S$20</f>
        <v>0</v>
      </c>
      <c r="T67" s="14">
        <f t="shared" si="136"/>
        <v>0.13</v>
      </c>
      <c r="U67" s="14">
        <f t="shared" si="136"/>
        <v>0.87</v>
      </c>
      <c r="V67" s="14">
        <f t="shared" si="136"/>
        <v>0</v>
      </c>
      <c r="W67" s="14">
        <f t="shared" si="136"/>
        <v>0</v>
      </c>
      <c r="X67" s="14">
        <f t="shared" si="136"/>
        <v>0</v>
      </c>
      <c r="Y67" s="14">
        <f t="shared" si="136"/>
        <v>0</v>
      </c>
      <c r="Z67" s="14">
        <f t="shared" si="136"/>
        <v>0</v>
      </c>
      <c r="AA67" s="14">
        <f t="shared" si="136"/>
        <v>0</v>
      </c>
      <c r="AB67" s="14">
        <f t="shared" si="136"/>
        <v>0</v>
      </c>
      <c r="AC67" s="14">
        <f t="shared" si="136"/>
        <v>0</v>
      </c>
      <c r="AD67" s="14">
        <f t="shared" si="136"/>
        <v>0</v>
      </c>
      <c r="AE67" s="14">
        <f t="shared" si="136"/>
        <v>0</v>
      </c>
      <c r="AF67" s="14">
        <f t="shared" si="136"/>
        <v>0</v>
      </c>
      <c r="AG67" s="14">
        <f t="shared" si="136"/>
        <v>0</v>
      </c>
      <c r="AH67" s="14">
        <f t="shared" si="136"/>
        <v>0</v>
      </c>
      <c r="AI67" s="76">
        <f t="shared" si="69"/>
        <v>0</v>
      </c>
      <c r="AK67" s="2">
        <f t="shared" si="122"/>
        <v>-3282000</v>
      </c>
      <c r="AL67" s="2">
        <f t="shared" si="123"/>
        <v>-3282000</v>
      </c>
      <c r="AM67" s="2">
        <f t="shared" si="123"/>
        <v>0</v>
      </c>
      <c r="AN67" s="2">
        <f t="shared" si="123"/>
        <v>0</v>
      </c>
      <c r="AO67" s="2">
        <f t="shared" si="123"/>
        <v>0</v>
      </c>
      <c r="AP67" s="2"/>
      <c r="AQ67" s="61" t="str">
        <f t="shared" si="132"/>
        <v>E67*      "</v>
      </c>
      <c r="AS67" s="2">
        <f t="shared" si="124"/>
        <v>-3282000.0000000005</v>
      </c>
      <c r="AT67" s="2">
        <f t="shared" si="125"/>
        <v>-2343157.788961303</v>
      </c>
      <c r="AU67" s="2">
        <f t="shared" si="125"/>
        <v>-873834.69141823985</v>
      </c>
      <c r="AV67" s="2">
        <f t="shared" si="125"/>
        <v>0</v>
      </c>
      <c r="AW67" s="2">
        <f t="shared" si="125"/>
        <v>-23794.499630737489</v>
      </c>
      <c r="AX67" s="2">
        <f t="shared" si="125"/>
        <v>-41213.019989720029</v>
      </c>
      <c r="AY67" s="2">
        <f t="shared" si="125"/>
        <v>0</v>
      </c>
      <c r="BA67" s="2">
        <f t="shared" si="126"/>
        <v>0</v>
      </c>
      <c r="BB67" s="2">
        <f t="shared" si="127"/>
        <v>0</v>
      </c>
      <c r="BC67" s="2">
        <f t="shared" si="127"/>
        <v>0</v>
      </c>
      <c r="BD67" s="2">
        <f t="shared" si="127"/>
        <v>0</v>
      </c>
      <c r="BE67" s="2">
        <f t="shared" si="127"/>
        <v>0</v>
      </c>
      <c r="BF67" s="2">
        <f t="shared" si="127"/>
        <v>0</v>
      </c>
      <c r="BG67" s="2">
        <f t="shared" si="127"/>
        <v>0</v>
      </c>
      <c r="BI67" s="2">
        <f t="shared" si="128"/>
        <v>0</v>
      </c>
      <c r="BJ67" s="2">
        <f t="shared" si="129"/>
        <v>0</v>
      </c>
      <c r="BK67" s="2">
        <f t="shared" si="129"/>
        <v>0</v>
      </c>
      <c r="BL67" s="2">
        <f t="shared" si="129"/>
        <v>0</v>
      </c>
      <c r="BM67" s="2">
        <f t="shared" si="129"/>
        <v>0</v>
      </c>
      <c r="BN67" s="2">
        <f t="shared" si="129"/>
        <v>0</v>
      </c>
      <c r="BO67" s="2">
        <f t="shared" si="129"/>
        <v>0</v>
      </c>
    </row>
    <row r="68" spans="1:67">
      <c r="A68" s="50">
        <f t="shared" si="135"/>
        <v>68</v>
      </c>
      <c r="B68" s="51">
        <v>355</v>
      </c>
      <c r="C68" s="36" t="s">
        <v>394</v>
      </c>
      <c r="D68" s="56" t="s">
        <v>257</v>
      </c>
      <c r="E68" s="369">
        <f>PROFORMA!AY314</f>
        <v>-729000</v>
      </c>
      <c r="F68" s="60" t="str">
        <f>"as 355 Plant ("&amp;A$21&amp;")"</f>
        <v>as 355 Plant (21)</v>
      </c>
      <c r="G68" s="60"/>
      <c r="H68" s="2">
        <f t="shared" si="119"/>
        <v>-729000</v>
      </c>
      <c r="I68" s="2">
        <f t="shared" si="120"/>
        <v>-520463.7501989</v>
      </c>
      <c r="J68" s="2">
        <f t="shared" si="120"/>
        <v>-194096.73675926169</v>
      </c>
      <c r="K68" s="2">
        <f t="shared" si="120"/>
        <v>0</v>
      </c>
      <c r="L68" s="2">
        <f t="shared" si="120"/>
        <v>-5285.2499179791675</v>
      </c>
      <c r="M68" s="2">
        <f t="shared" si="120"/>
        <v>-9154.2631238592021</v>
      </c>
      <c r="N68" s="2">
        <f t="shared" si="120"/>
        <v>0</v>
      </c>
      <c r="O68" s="2"/>
      <c r="P68" s="61" t="str">
        <f t="shared" si="130"/>
        <v>E68*     "</v>
      </c>
      <c r="Q68" s="61"/>
      <c r="R68" s="14">
        <f>R$21</f>
        <v>0</v>
      </c>
      <c r="S68" s="14">
        <f t="shared" ref="S68:AH68" si="137">S$21</f>
        <v>0</v>
      </c>
      <c r="T68" s="14">
        <f t="shared" si="137"/>
        <v>0.13</v>
      </c>
      <c r="U68" s="14">
        <f t="shared" si="137"/>
        <v>0.87</v>
      </c>
      <c r="V68" s="14">
        <f t="shared" si="137"/>
        <v>0</v>
      </c>
      <c r="W68" s="14">
        <f t="shared" si="137"/>
        <v>0</v>
      </c>
      <c r="X68" s="14">
        <f t="shared" si="137"/>
        <v>0</v>
      </c>
      <c r="Y68" s="14">
        <f t="shared" si="137"/>
        <v>0</v>
      </c>
      <c r="Z68" s="14">
        <f t="shared" si="137"/>
        <v>0</v>
      </c>
      <c r="AA68" s="14">
        <f t="shared" si="137"/>
        <v>0</v>
      </c>
      <c r="AB68" s="14">
        <f t="shared" si="137"/>
        <v>0</v>
      </c>
      <c r="AC68" s="14">
        <f t="shared" si="137"/>
        <v>0</v>
      </c>
      <c r="AD68" s="14">
        <f t="shared" si="137"/>
        <v>0</v>
      </c>
      <c r="AE68" s="14">
        <f t="shared" si="137"/>
        <v>0</v>
      </c>
      <c r="AF68" s="14">
        <f t="shared" si="137"/>
        <v>0</v>
      </c>
      <c r="AG68" s="14">
        <f t="shared" si="137"/>
        <v>0</v>
      </c>
      <c r="AH68" s="14">
        <f t="shared" si="137"/>
        <v>0</v>
      </c>
      <c r="AI68" s="76">
        <f t="shared" si="69"/>
        <v>0</v>
      </c>
      <c r="AK68" s="2">
        <f t="shared" si="122"/>
        <v>-729000</v>
      </c>
      <c r="AL68" s="2">
        <f t="shared" si="123"/>
        <v>-729000</v>
      </c>
      <c r="AM68" s="2">
        <f t="shared" si="123"/>
        <v>0</v>
      </c>
      <c r="AN68" s="2">
        <f t="shared" si="123"/>
        <v>0</v>
      </c>
      <c r="AO68" s="2">
        <f t="shared" si="123"/>
        <v>0</v>
      </c>
      <c r="AP68" s="2"/>
      <c r="AQ68" s="61" t="str">
        <f t="shared" si="132"/>
        <v>E68*      "</v>
      </c>
      <c r="AS68" s="2">
        <f t="shared" si="124"/>
        <v>-729000</v>
      </c>
      <c r="AT68" s="2">
        <f t="shared" si="125"/>
        <v>-520463.7501989</v>
      </c>
      <c r="AU68" s="2">
        <f t="shared" si="125"/>
        <v>-194096.73675926169</v>
      </c>
      <c r="AV68" s="2">
        <f t="shared" si="125"/>
        <v>0</v>
      </c>
      <c r="AW68" s="2">
        <f t="shared" si="125"/>
        <v>-5285.2499179791675</v>
      </c>
      <c r="AX68" s="2">
        <f t="shared" si="125"/>
        <v>-9154.2631238592021</v>
      </c>
      <c r="AY68" s="2">
        <f t="shared" si="125"/>
        <v>0</v>
      </c>
      <c r="BA68" s="2">
        <f t="shared" si="126"/>
        <v>0</v>
      </c>
      <c r="BB68" s="2">
        <f t="shared" si="127"/>
        <v>0</v>
      </c>
      <c r="BC68" s="2">
        <f t="shared" si="127"/>
        <v>0</v>
      </c>
      <c r="BD68" s="2">
        <f t="shared" si="127"/>
        <v>0</v>
      </c>
      <c r="BE68" s="2">
        <f t="shared" si="127"/>
        <v>0</v>
      </c>
      <c r="BF68" s="2">
        <f t="shared" si="127"/>
        <v>0</v>
      </c>
      <c r="BG68" s="2">
        <f t="shared" si="127"/>
        <v>0</v>
      </c>
      <c r="BI68" s="2">
        <f t="shared" si="128"/>
        <v>0</v>
      </c>
      <c r="BJ68" s="2">
        <f t="shared" si="129"/>
        <v>0</v>
      </c>
      <c r="BK68" s="2">
        <f t="shared" si="129"/>
        <v>0</v>
      </c>
      <c r="BL68" s="2">
        <f t="shared" si="129"/>
        <v>0</v>
      </c>
      <c r="BM68" s="2">
        <f t="shared" si="129"/>
        <v>0</v>
      </c>
      <c r="BN68" s="2">
        <f t="shared" si="129"/>
        <v>0</v>
      </c>
      <c r="BO68" s="2">
        <f t="shared" si="129"/>
        <v>0</v>
      </c>
    </row>
    <row r="69" spans="1:67">
      <c r="A69" s="50">
        <f t="shared" si="135"/>
        <v>69</v>
      </c>
      <c r="B69" s="51">
        <v>356</v>
      </c>
      <c r="C69" s="36" t="s">
        <v>394</v>
      </c>
      <c r="D69" s="28" t="s">
        <v>258</v>
      </c>
      <c r="E69" s="369">
        <f>PROFORMA!AY315</f>
        <v>-306000</v>
      </c>
      <c r="F69" s="60" t="str">
        <f>"as 356 Plant ("&amp;A$22&amp;")"</f>
        <v>as 356 Plant (22)</v>
      </c>
      <c r="G69" s="60"/>
      <c r="H69" s="2">
        <f t="shared" si="119"/>
        <v>-306000.00000000006</v>
      </c>
      <c r="I69" s="2">
        <f t="shared" si="120"/>
        <v>-218466.26551558764</v>
      </c>
      <c r="J69" s="2">
        <f t="shared" si="120"/>
        <v>-81472.704318702439</v>
      </c>
      <c r="K69" s="2">
        <f t="shared" si="120"/>
        <v>0</v>
      </c>
      <c r="L69" s="2">
        <f t="shared" si="120"/>
        <v>-2218.4999655715028</v>
      </c>
      <c r="M69" s="2">
        <f t="shared" si="120"/>
        <v>-3842.5302001384307</v>
      </c>
      <c r="N69" s="2">
        <f t="shared" si="120"/>
        <v>0</v>
      </c>
      <c r="O69" s="2"/>
      <c r="P69" s="61" t="str">
        <f t="shared" si="130"/>
        <v>E69*     "</v>
      </c>
      <c r="Q69" s="61"/>
      <c r="R69" s="14">
        <f>R$22</f>
        <v>0</v>
      </c>
      <c r="S69" s="14">
        <f t="shared" ref="S69:AH69" si="138">S$22</f>
        <v>0</v>
      </c>
      <c r="T69" s="14">
        <f t="shared" si="138"/>
        <v>0.13</v>
      </c>
      <c r="U69" s="14">
        <f t="shared" si="138"/>
        <v>0.87</v>
      </c>
      <c r="V69" s="14">
        <f t="shared" si="138"/>
        <v>0</v>
      </c>
      <c r="W69" s="14">
        <f t="shared" si="138"/>
        <v>0</v>
      </c>
      <c r="X69" s="14">
        <f t="shared" si="138"/>
        <v>0</v>
      </c>
      <c r="Y69" s="14">
        <f t="shared" si="138"/>
        <v>0</v>
      </c>
      <c r="Z69" s="14">
        <f t="shared" si="138"/>
        <v>0</v>
      </c>
      <c r="AA69" s="14">
        <f t="shared" si="138"/>
        <v>0</v>
      </c>
      <c r="AB69" s="14">
        <f t="shared" si="138"/>
        <v>0</v>
      </c>
      <c r="AC69" s="14">
        <f t="shared" si="138"/>
        <v>0</v>
      </c>
      <c r="AD69" s="14">
        <f t="shared" si="138"/>
        <v>0</v>
      </c>
      <c r="AE69" s="14">
        <f t="shared" si="138"/>
        <v>0</v>
      </c>
      <c r="AF69" s="14">
        <f t="shared" si="138"/>
        <v>0</v>
      </c>
      <c r="AG69" s="14">
        <f t="shared" si="138"/>
        <v>0</v>
      </c>
      <c r="AH69" s="14">
        <f t="shared" si="138"/>
        <v>0</v>
      </c>
      <c r="AI69" s="76">
        <f t="shared" si="69"/>
        <v>0</v>
      </c>
      <c r="AK69" s="2">
        <f t="shared" si="122"/>
        <v>-306000</v>
      </c>
      <c r="AL69" s="2">
        <f t="shared" si="123"/>
        <v>-306000</v>
      </c>
      <c r="AM69" s="2">
        <f t="shared" si="123"/>
        <v>0</v>
      </c>
      <c r="AN69" s="2">
        <f t="shared" si="123"/>
        <v>0</v>
      </c>
      <c r="AO69" s="2">
        <f t="shared" si="123"/>
        <v>0</v>
      </c>
      <c r="AP69" s="2"/>
      <c r="AQ69" s="61" t="str">
        <f t="shared" si="132"/>
        <v>E69*      "</v>
      </c>
      <c r="AS69" s="2">
        <f t="shared" si="124"/>
        <v>-306000.00000000006</v>
      </c>
      <c r="AT69" s="2">
        <f t="shared" si="125"/>
        <v>-218466.26551558764</v>
      </c>
      <c r="AU69" s="2">
        <f t="shared" si="125"/>
        <v>-81472.704318702439</v>
      </c>
      <c r="AV69" s="2">
        <f t="shared" si="125"/>
        <v>0</v>
      </c>
      <c r="AW69" s="2">
        <f t="shared" si="125"/>
        <v>-2218.4999655715028</v>
      </c>
      <c r="AX69" s="2">
        <f t="shared" si="125"/>
        <v>-3842.5302001384307</v>
      </c>
      <c r="AY69" s="2">
        <f t="shared" si="125"/>
        <v>0</v>
      </c>
      <c r="BA69" s="2">
        <f t="shared" si="126"/>
        <v>0</v>
      </c>
      <c r="BB69" s="2">
        <f t="shared" si="127"/>
        <v>0</v>
      </c>
      <c r="BC69" s="2">
        <f t="shared" si="127"/>
        <v>0</v>
      </c>
      <c r="BD69" s="2">
        <f t="shared" si="127"/>
        <v>0</v>
      </c>
      <c r="BE69" s="2">
        <f t="shared" si="127"/>
        <v>0</v>
      </c>
      <c r="BF69" s="2">
        <f t="shared" si="127"/>
        <v>0</v>
      </c>
      <c r="BG69" s="2">
        <f t="shared" si="127"/>
        <v>0</v>
      </c>
      <c r="BI69" s="2">
        <f t="shared" si="128"/>
        <v>0</v>
      </c>
      <c r="BJ69" s="2">
        <f t="shared" si="129"/>
        <v>0</v>
      </c>
      <c r="BK69" s="2">
        <f t="shared" si="129"/>
        <v>0</v>
      </c>
      <c r="BL69" s="2">
        <f t="shared" si="129"/>
        <v>0</v>
      </c>
      <c r="BM69" s="2">
        <f t="shared" si="129"/>
        <v>0</v>
      </c>
      <c r="BN69" s="2">
        <f t="shared" si="129"/>
        <v>0</v>
      </c>
      <c r="BO69" s="2">
        <f t="shared" si="129"/>
        <v>0</v>
      </c>
    </row>
    <row r="70" spans="1:67">
      <c r="A70" s="50">
        <f t="shared" si="135"/>
        <v>70</v>
      </c>
      <c r="B70" s="51">
        <v>357</v>
      </c>
      <c r="C70" s="36" t="s">
        <v>394</v>
      </c>
      <c r="D70" s="28" t="s">
        <v>259</v>
      </c>
      <c r="E70" s="369">
        <f>PROFORMA!AY316</f>
        <v>-823000</v>
      </c>
      <c r="F70" s="60" t="str">
        <f>"as 357 Plant ("&amp;A$23&amp;")"</f>
        <v>as 357 Plant (23)</v>
      </c>
      <c r="G70" s="60"/>
      <c r="H70" s="2">
        <f t="shared" si="119"/>
        <v>-823000.00000000012</v>
      </c>
      <c r="I70" s="2">
        <f t="shared" si="120"/>
        <v>-587574.30235074717</v>
      </c>
      <c r="J70" s="2">
        <f t="shared" si="120"/>
        <v>-219124.29952383041</v>
      </c>
      <c r="K70" s="2">
        <f t="shared" si="120"/>
        <v>0</v>
      </c>
      <c r="L70" s="2">
        <f t="shared" si="120"/>
        <v>-5966.7499074030939</v>
      </c>
      <c r="M70" s="2">
        <f t="shared" si="120"/>
        <v>-10334.648218019374</v>
      </c>
      <c r="N70" s="2">
        <f t="shared" si="120"/>
        <v>0</v>
      </c>
      <c r="O70" s="2"/>
      <c r="P70" s="61" t="str">
        <f t="shared" si="130"/>
        <v>E70*     "</v>
      </c>
      <c r="Q70" s="61"/>
      <c r="R70" s="14">
        <f>R$23</f>
        <v>0</v>
      </c>
      <c r="S70" s="14">
        <f t="shared" ref="S70:AH70" si="139">S$23</f>
        <v>0</v>
      </c>
      <c r="T70" s="14">
        <f t="shared" si="139"/>
        <v>0.13</v>
      </c>
      <c r="U70" s="14">
        <f t="shared" si="139"/>
        <v>0.87</v>
      </c>
      <c r="V70" s="14">
        <f t="shared" si="139"/>
        <v>0</v>
      </c>
      <c r="W70" s="14">
        <f t="shared" si="139"/>
        <v>0</v>
      </c>
      <c r="X70" s="14">
        <f t="shared" si="139"/>
        <v>0</v>
      </c>
      <c r="Y70" s="14">
        <f t="shared" si="139"/>
        <v>0</v>
      </c>
      <c r="Z70" s="14">
        <f t="shared" si="139"/>
        <v>0</v>
      </c>
      <c r="AA70" s="14">
        <f t="shared" si="139"/>
        <v>0</v>
      </c>
      <c r="AB70" s="14">
        <f t="shared" si="139"/>
        <v>0</v>
      </c>
      <c r="AC70" s="14">
        <f t="shared" si="139"/>
        <v>0</v>
      </c>
      <c r="AD70" s="14">
        <f t="shared" si="139"/>
        <v>0</v>
      </c>
      <c r="AE70" s="14">
        <f t="shared" si="139"/>
        <v>0</v>
      </c>
      <c r="AF70" s="14">
        <f t="shared" si="139"/>
        <v>0</v>
      </c>
      <c r="AG70" s="14">
        <f t="shared" si="139"/>
        <v>0</v>
      </c>
      <c r="AH70" s="14">
        <f t="shared" si="139"/>
        <v>0</v>
      </c>
      <c r="AI70" s="76">
        <f t="shared" si="69"/>
        <v>0</v>
      </c>
      <c r="AK70" s="2">
        <f t="shared" si="122"/>
        <v>-823000</v>
      </c>
      <c r="AL70" s="2">
        <f t="shared" si="123"/>
        <v>-823000</v>
      </c>
      <c r="AM70" s="2">
        <f t="shared" si="123"/>
        <v>0</v>
      </c>
      <c r="AN70" s="2">
        <f t="shared" si="123"/>
        <v>0</v>
      </c>
      <c r="AO70" s="2">
        <f t="shared" si="123"/>
        <v>0</v>
      </c>
      <c r="AP70" s="2"/>
      <c r="AQ70" s="61" t="str">
        <f t="shared" si="132"/>
        <v>E70*      "</v>
      </c>
      <c r="AS70" s="2">
        <f t="shared" si="124"/>
        <v>-823000.00000000012</v>
      </c>
      <c r="AT70" s="2">
        <f t="shared" si="125"/>
        <v>-587574.30235074717</v>
      </c>
      <c r="AU70" s="2">
        <f t="shared" si="125"/>
        <v>-219124.29952383041</v>
      </c>
      <c r="AV70" s="2">
        <f t="shared" si="125"/>
        <v>0</v>
      </c>
      <c r="AW70" s="2">
        <f t="shared" si="125"/>
        <v>-5966.7499074030939</v>
      </c>
      <c r="AX70" s="2">
        <f t="shared" si="125"/>
        <v>-10334.648218019374</v>
      </c>
      <c r="AY70" s="2">
        <f t="shared" si="125"/>
        <v>0</v>
      </c>
      <c r="BA70" s="2">
        <f t="shared" si="126"/>
        <v>0</v>
      </c>
      <c r="BB70" s="2">
        <f t="shared" si="127"/>
        <v>0</v>
      </c>
      <c r="BC70" s="2">
        <f t="shared" si="127"/>
        <v>0</v>
      </c>
      <c r="BD70" s="2">
        <f t="shared" si="127"/>
        <v>0</v>
      </c>
      <c r="BE70" s="2">
        <f t="shared" si="127"/>
        <v>0</v>
      </c>
      <c r="BF70" s="2">
        <f t="shared" si="127"/>
        <v>0</v>
      </c>
      <c r="BG70" s="2">
        <f t="shared" si="127"/>
        <v>0</v>
      </c>
      <c r="BI70" s="2">
        <f t="shared" si="128"/>
        <v>0</v>
      </c>
      <c r="BJ70" s="2">
        <f t="shared" si="129"/>
        <v>0</v>
      </c>
      <c r="BK70" s="2">
        <f t="shared" si="129"/>
        <v>0</v>
      </c>
      <c r="BL70" s="2">
        <f t="shared" si="129"/>
        <v>0</v>
      </c>
      <c r="BM70" s="2">
        <f t="shared" si="129"/>
        <v>0</v>
      </c>
      <c r="BN70" s="2">
        <f t="shared" si="129"/>
        <v>0</v>
      </c>
      <c r="BO70" s="2">
        <f t="shared" si="129"/>
        <v>0</v>
      </c>
    </row>
    <row r="71" spans="1:67">
      <c r="A71" s="50">
        <f t="shared" si="135"/>
        <v>71</v>
      </c>
      <c r="B71" s="51"/>
      <c r="D71" s="52" t="s">
        <v>219</v>
      </c>
      <c r="E71" s="4">
        <f>SUM(E63:E70)</f>
        <v>-14494000</v>
      </c>
      <c r="F71" s="60"/>
      <c r="G71" s="60"/>
      <c r="H71" s="4">
        <f>IF(ROUND(SUM(H62:H70),3)&lt;&gt;ROUND(SUM(I71:N71),3),#VALUE!,SUM(H62:H70))</f>
        <v>-14494000</v>
      </c>
      <c r="I71" s="4">
        <f t="shared" ref="I71:N71" si="140">SUM(I62:I70)</f>
        <v>-10347875.988179501</v>
      </c>
      <c r="J71" s="4">
        <f t="shared" si="140"/>
        <v>-3859037.1777623305</v>
      </c>
      <c r="K71" s="4">
        <f t="shared" si="140"/>
        <v>0</v>
      </c>
      <c r="L71" s="4">
        <f t="shared" si="140"/>
        <v>-105081.49836925935</v>
      </c>
      <c r="M71" s="4">
        <f t="shared" si="140"/>
        <v>-182005.33568890986</v>
      </c>
      <c r="N71" s="4">
        <f t="shared" si="140"/>
        <v>0</v>
      </c>
      <c r="O71" s="5"/>
      <c r="P71" s="61" t="str">
        <f>$A62&amp;":"&amp;A70</f>
        <v>62:70</v>
      </c>
      <c r="Q71" s="61"/>
      <c r="R71" s="13">
        <f t="shared" ref="R71:AH71" si="141">SUMPRODUCT($E63:$E70,R$63:R$70)/$E71</f>
        <v>0</v>
      </c>
      <c r="S71" s="13">
        <f t="shared" si="141"/>
        <v>0</v>
      </c>
      <c r="T71" s="13">
        <f t="shared" si="141"/>
        <v>0.13</v>
      </c>
      <c r="U71" s="13">
        <f t="shared" si="141"/>
        <v>0.87</v>
      </c>
      <c r="V71" s="13">
        <f t="shared" si="141"/>
        <v>0</v>
      </c>
      <c r="W71" s="13">
        <f t="shared" si="141"/>
        <v>0</v>
      </c>
      <c r="X71" s="13">
        <f t="shared" si="141"/>
        <v>0</v>
      </c>
      <c r="Y71" s="13">
        <f t="shared" si="141"/>
        <v>0</v>
      </c>
      <c r="Z71" s="13">
        <f t="shared" si="141"/>
        <v>0</v>
      </c>
      <c r="AA71" s="13">
        <f t="shared" si="141"/>
        <v>0</v>
      </c>
      <c r="AB71" s="13">
        <f t="shared" si="141"/>
        <v>0</v>
      </c>
      <c r="AC71" s="13">
        <f t="shared" si="141"/>
        <v>0</v>
      </c>
      <c r="AD71" s="13">
        <f t="shared" si="141"/>
        <v>0</v>
      </c>
      <c r="AE71" s="13">
        <f t="shared" si="141"/>
        <v>0</v>
      </c>
      <c r="AF71" s="13">
        <f t="shared" si="141"/>
        <v>0</v>
      </c>
      <c r="AG71" s="13">
        <f t="shared" si="141"/>
        <v>0</v>
      </c>
      <c r="AH71" s="13">
        <f t="shared" si="141"/>
        <v>0</v>
      </c>
      <c r="AI71" s="76">
        <f t="shared" si="69"/>
        <v>0</v>
      </c>
      <c r="AK71" s="4">
        <f>IF(ROUND(SUM(AK62:AK70),3)&lt;&gt;ROUND(SUM(AL71:AO71),3),#VALUE!,SUM(AK62:AK70))</f>
        <v>-14494000</v>
      </c>
      <c r="AL71" s="4">
        <f>SUM(AL62:AL70)</f>
        <v>-14494000</v>
      </c>
      <c r="AM71" s="4">
        <f>SUM(AM62:AM70)</f>
        <v>0</v>
      </c>
      <c r="AN71" s="4">
        <f>SUM(AN62:AN70)</f>
        <v>0</v>
      </c>
      <c r="AO71" s="4">
        <f>SUM(AO62:AO70)</f>
        <v>0</v>
      </c>
      <c r="AP71" s="5"/>
      <c r="AQ71" s="61" t="str">
        <f>$A62&amp;":"&amp;$A70</f>
        <v>62:70</v>
      </c>
      <c r="AS71" s="4">
        <f>IF(ROUND(SUM(AS62:AS70),3)&lt;&gt;ROUND(SUM(AT71:AY71),3),#VALUE!,SUM(AS62:AS70))</f>
        <v>-14494000</v>
      </c>
      <c r="AT71" s="4">
        <f t="shared" ref="AT71:AY71" si="142">SUM(AT62:AT70)</f>
        <v>-10347875.988179501</v>
      </c>
      <c r="AU71" s="4">
        <f t="shared" si="142"/>
        <v>-3859037.1777623305</v>
      </c>
      <c r="AV71" s="4">
        <f t="shared" si="142"/>
        <v>0</v>
      </c>
      <c r="AW71" s="4">
        <f t="shared" si="142"/>
        <v>-105081.49836925935</v>
      </c>
      <c r="AX71" s="4">
        <f t="shared" si="142"/>
        <v>-182005.33568890986</v>
      </c>
      <c r="AY71" s="4">
        <f t="shared" si="142"/>
        <v>0</v>
      </c>
      <c r="BA71" s="4">
        <f>IF(ROUND(SUM(BA62:BA70),3)&lt;&gt;ROUND(SUM(BB71:BG71),3),#VALUE!,SUM(BA62:BA70))</f>
        <v>0</v>
      </c>
      <c r="BB71" s="4">
        <f t="shared" ref="BB71:BG71" si="143">SUM(BB62:BB70)</f>
        <v>0</v>
      </c>
      <c r="BC71" s="4">
        <f t="shared" si="143"/>
        <v>0</v>
      </c>
      <c r="BD71" s="4">
        <f t="shared" si="143"/>
        <v>0</v>
      </c>
      <c r="BE71" s="4">
        <f t="shared" si="143"/>
        <v>0</v>
      </c>
      <c r="BF71" s="4">
        <f t="shared" si="143"/>
        <v>0</v>
      </c>
      <c r="BG71" s="4">
        <f t="shared" si="143"/>
        <v>0</v>
      </c>
      <c r="BI71" s="4">
        <f>IF(ROUND(SUM(BI62:BI70),3)&lt;&gt;ROUND(SUM(BJ71:BO71),3),#VALUE!,SUM(BI62:BI70))</f>
        <v>0</v>
      </c>
      <c r="BJ71" s="4">
        <f t="shared" ref="BJ71:BO71" si="144">SUM(BJ62:BJ70)</f>
        <v>0</v>
      </c>
      <c r="BK71" s="4">
        <f t="shared" si="144"/>
        <v>0</v>
      </c>
      <c r="BL71" s="4">
        <f t="shared" si="144"/>
        <v>0</v>
      </c>
      <c r="BM71" s="4">
        <f t="shared" si="144"/>
        <v>0</v>
      </c>
      <c r="BN71" s="4">
        <f t="shared" si="144"/>
        <v>0</v>
      </c>
      <c r="BO71" s="4">
        <f t="shared" si="144"/>
        <v>0</v>
      </c>
    </row>
    <row r="72" spans="1:67">
      <c r="A72" s="50">
        <f t="shared" si="135"/>
        <v>72</v>
      </c>
      <c r="B72" s="51"/>
      <c r="E72" s="2"/>
      <c r="F72" s="60"/>
      <c r="G72" s="60"/>
      <c r="P72" s="61"/>
      <c r="Q72" s="61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76">
        <f t="shared" ref="AI72:AI87" si="145">IF(SUM(R72:AH72)&lt;&gt;0,(ROUND(SUM(R72:AH72),8)&lt;&gt;1)+0,0)</f>
        <v>0</v>
      </c>
      <c r="AQ72" s="61"/>
    </row>
    <row r="73" spans="1:67">
      <c r="A73" s="50">
        <f t="shared" si="135"/>
        <v>73</v>
      </c>
      <c r="B73" s="51"/>
      <c r="D73" t="s">
        <v>105</v>
      </c>
      <c r="E73" s="2"/>
      <c r="F73" s="60"/>
      <c r="G73" s="60"/>
      <c r="P73" s="61"/>
      <c r="Q73" s="61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76">
        <f t="shared" si="145"/>
        <v>0</v>
      </c>
      <c r="AQ73" s="61"/>
    </row>
    <row r="74" spans="1:67">
      <c r="A74" s="50">
        <f t="shared" si="135"/>
        <v>74</v>
      </c>
      <c r="B74" s="51">
        <v>374</v>
      </c>
      <c r="C74" s="36" t="s">
        <v>154</v>
      </c>
      <c r="D74" s="28" t="s">
        <v>252</v>
      </c>
      <c r="E74" s="369">
        <f>PROFORMA!AY320</f>
        <v>-55000</v>
      </c>
      <c r="F74" s="60" t="str">
        <f>"as 374 Plant ("&amp;A$27&amp;")"</f>
        <v>as 374 Plant (27)</v>
      </c>
      <c r="G74" s="60"/>
      <c r="H74" s="2">
        <f t="shared" ref="H74:H86" si="146">SUM(I74:N74)</f>
        <v>-55000</v>
      </c>
      <c r="I74" s="2">
        <f t="shared" ref="I74:N86" si="147">$E74*SUMPRODUCT($R74:$AH74,INDEX(AllocFactors,I$4,0))</f>
        <v>-41284.660063424839</v>
      </c>
      <c r="J74" s="2">
        <f t="shared" si="147"/>
        <v>-10559.474288055091</v>
      </c>
      <c r="K74" s="2">
        <f t="shared" si="147"/>
        <v>0</v>
      </c>
      <c r="L74" s="2">
        <f t="shared" si="147"/>
        <v>-260.64917551227768</v>
      </c>
      <c r="M74" s="2">
        <f t="shared" si="147"/>
        <v>-2895.216473007792</v>
      </c>
      <c r="N74" s="2">
        <f t="shared" si="147"/>
        <v>0</v>
      </c>
      <c r="O74" s="2"/>
      <c r="P74" s="61" t="str">
        <f>E$1&amp;$A74&amp;"* Sum["&amp;$R$1&amp;$A74&amp;":"&amp;$AH$1&amp;$A74&amp;"* "&amp;Factors!D$1&amp;Factors!$A$58&amp;":"&amp;Factors!S$1&amp;Factors!$A$64&amp;"]"</f>
        <v>E74* Sum[R74:AH74* D1042:S1048]</v>
      </c>
      <c r="Q74" s="61"/>
      <c r="R74" s="14">
        <f>R$27</f>
        <v>0.1933876764871075</v>
      </c>
      <c r="S74" s="14">
        <f t="shared" ref="S74:AH74" si="148">S$27</f>
        <v>0</v>
      </c>
      <c r="T74" s="14">
        <f t="shared" si="148"/>
        <v>0</v>
      </c>
      <c r="U74" s="14">
        <f t="shared" si="148"/>
        <v>0</v>
      </c>
      <c r="V74" s="14">
        <f t="shared" si="148"/>
        <v>0</v>
      </c>
      <c r="W74" s="14">
        <f t="shared" si="148"/>
        <v>0.31084546333511004</v>
      </c>
      <c r="X74" s="14">
        <f t="shared" si="148"/>
        <v>0</v>
      </c>
      <c r="Y74" s="14">
        <f t="shared" si="148"/>
        <v>0</v>
      </c>
      <c r="Z74" s="14">
        <f t="shared" si="148"/>
        <v>0</v>
      </c>
      <c r="AA74" s="14">
        <f t="shared" si="148"/>
        <v>0</v>
      </c>
      <c r="AB74" s="14">
        <f t="shared" si="148"/>
        <v>0</v>
      </c>
      <c r="AC74" s="14">
        <f t="shared" si="148"/>
        <v>0.3588897282899246</v>
      </c>
      <c r="AD74" s="14">
        <f t="shared" si="148"/>
        <v>0.13220566312906262</v>
      </c>
      <c r="AE74" s="14">
        <f t="shared" si="148"/>
        <v>0</v>
      </c>
      <c r="AF74" s="14">
        <f t="shared" si="148"/>
        <v>4.6714687587951949E-3</v>
      </c>
      <c r="AG74" s="14">
        <f t="shared" si="148"/>
        <v>0</v>
      </c>
      <c r="AH74" s="14">
        <f t="shared" si="148"/>
        <v>0</v>
      </c>
      <c r="AI74" s="76">
        <f t="shared" si="145"/>
        <v>0</v>
      </c>
      <c r="AK74" s="2">
        <f t="shared" ref="AK74:AK86" si="149">SUM(AL74:AO74)</f>
        <v>-55000</v>
      </c>
      <c r="AL74" s="2">
        <f t="shared" ref="AL74:AO86" si="150">SUMIF($R$4:$AH$4,AL$5,$R74:$AH74)*$E74</f>
        <v>-10636.322206790912</v>
      </c>
      <c r="AM74" s="2">
        <f t="shared" si="150"/>
        <v>-17096.500483431053</v>
      </c>
      <c r="AN74" s="2">
        <f t="shared" si="150"/>
        <v>-27267.177309778035</v>
      </c>
      <c r="AO74" s="2">
        <f t="shared" si="150"/>
        <v>0</v>
      </c>
      <c r="AP74" s="2"/>
      <c r="AQ74" s="61" t="str">
        <f>E$1&amp;$A74&amp;"*["&amp;R$1&amp;$A74&amp;":"&amp;$AH$1&amp;$A74&amp;" when "&amp;R$1&amp;$A$4&amp;":"&amp;$AH$1&amp;$A$4&amp;" = E,D,C,or R]"</f>
        <v>E74*[R74:AH74 when R4:AH4 = E,D,C,or R]</v>
      </c>
      <c r="AS74" s="2">
        <f t="shared" ref="AS74:AS86" si="151">SUM(AT74:AY74)</f>
        <v>-10636.322206790916</v>
      </c>
      <c r="AT74" s="2">
        <f t="shared" ref="AT74:AY86" si="152">$E74*SUMPRODUCT($R74:$V74,INDEX(AllocFactors_E,AT$4,0))</f>
        <v>-6109.9133344805095</v>
      </c>
      <c r="AU74" s="2">
        <f t="shared" si="152"/>
        <v>-2960.3454820763914</v>
      </c>
      <c r="AV74" s="2">
        <f t="shared" si="152"/>
        <v>0</v>
      </c>
      <c r="AW74" s="2">
        <f t="shared" si="152"/>
        <v>-120.88440065307422</v>
      </c>
      <c r="AX74" s="2">
        <f t="shared" si="152"/>
        <v>-1445.1789895809388</v>
      </c>
      <c r="AY74" s="2">
        <f t="shared" si="152"/>
        <v>0</v>
      </c>
      <c r="BA74" s="2">
        <f t="shared" ref="BA74:BA86" si="153">SUM(BB74:BG74)</f>
        <v>-17096.500483431049</v>
      </c>
      <c r="BB74" s="2">
        <f t="shared" ref="BB74:BG86" si="154">$E74*SUMPRODUCT($W74:$AA74,INDEX(AllocFactors_D,BB$4,0))</f>
        <v>-9665.531699322275</v>
      </c>
      <c r="BC74" s="2">
        <f t="shared" si="154"/>
        <v>-5965.1000432405372</v>
      </c>
      <c r="BD74" s="2">
        <f t="shared" si="154"/>
        <v>0</v>
      </c>
      <c r="BE74" s="2">
        <f t="shared" si="154"/>
        <v>-128.52807088523937</v>
      </c>
      <c r="BF74" s="2">
        <f t="shared" si="154"/>
        <v>-1337.3406699829986</v>
      </c>
      <c r="BG74" s="2">
        <f t="shared" si="154"/>
        <v>0</v>
      </c>
      <c r="BI74" s="2">
        <f t="shared" ref="BI74:BI86" si="155">SUM(BJ74:BO74)</f>
        <v>-27267.177309778039</v>
      </c>
      <c r="BJ74" s="2">
        <f t="shared" ref="BJ74:BO86" si="156">$E74*SUMPRODUCT($AB74:$AG74,INDEX(AllocFactors_C,BJ$4,0))</f>
        <v>-25509.215029622057</v>
      </c>
      <c r="BK74" s="2">
        <f t="shared" si="156"/>
        <v>-1634.028762738161</v>
      </c>
      <c r="BL74" s="2">
        <f t="shared" si="156"/>
        <v>0</v>
      </c>
      <c r="BM74" s="2">
        <f t="shared" si="156"/>
        <v>-11.236703973964085</v>
      </c>
      <c r="BN74" s="2">
        <f t="shared" si="156"/>
        <v>-112.69681344385508</v>
      </c>
      <c r="BO74" s="2">
        <f t="shared" si="156"/>
        <v>0</v>
      </c>
    </row>
    <row r="75" spans="1:67">
      <c r="A75" s="50">
        <f t="shared" si="135"/>
        <v>75</v>
      </c>
      <c r="B75" s="51">
        <v>375</v>
      </c>
      <c r="C75" s="36" t="s">
        <v>154</v>
      </c>
      <c r="D75" s="28" t="s">
        <v>253</v>
      </c>
      <c r="E75" s="369">
        <f>PROFORMA!AY321</f>
        <v>-246000</v>
      </c>
      <c r="F75" s="60" t="str">
        <f>"as 375 Plant ("&amp;A$28&amp;")"</f>
        <v>as 375 Plant (28)</v>
      </c>
      <c r="G75" s="60"/>
      <c r="H75" s="2">
        <f t="shared" si="146"/>
        <v>-246000</v>
      </c>
      <c r="I75" s="2">
        <f t="shared" si="147"/>
        <v>-184655.02501095473</v>
      </c>
      <c r="J75" s="2">
        <f t="shared" si="147"/>
        <v>-47229.648633846409</v>
      </c>
      <c r="K75" s="2">
        <f t="shared" si="147"/>
        <v>0</v>
      </c>
      <c r="L75" s="2">
        <f t="shared" si="147"/>
        <v>-1165.812675927642</v>
      </c>
      <c r="M75" s="2">
        <f t="shared" si="147"/>
        <v>-12949.513679271215</v>
      </c>
      <c r="N75" s="2">
        <f t="shared" si="147"/>
        <v>0</v>
      </c>
      <c r="O75" s="2"/>
      <c r="P75" s="61" t="str">
        <f t="shared" ref="P75:P86" si="157">E$1&amp;$A75&amp;"*     """</f>
        <v>E75*     "</v>
      </c>
      <c r="Q75" s="61"/>
      <c r="R75" s="14">
        <f>R$28</f>
        <v>0.1933876764871075</v>
      </c>
      <c r="S75" s="14">
        <f t="shared" ref="S75:AH75" si="158">S$28</f>
        <v>0</v>
      </c>
      <c r="T75" s="14">
        <f t="shared" si="158"/>
        <v>0</v>
      </c>
      <c r="U75" s="14">
        <f t="shared" si="158"/>
        <v>0</v>
      </c>
      <c r="V75" s="14">
        <f t="shared" si="158"/>
        <v>0</v>
      </c>
      <c r="W75" s="14">
        <f t="shared" si="158"/>
        <v>0.31084546333511004</v>
      </c>
      <c r="X75" s="14">
        <f t="shared" si="158"/>
        <v>0</v>
      </c>
      <c r="Y75" s="14">
        <f t="shared" si="158"/>
        <v>0</v>
      </c>
      <c r="Z75" s="14">
        <f t="shared" si="158"/>
        <v>0</v>
      </c>
      <c r="AA75" s="14">
        <f t="shared" si="158"/>
        <v>0</v>
      </c>
      <c r="AB75" s="14">
        <f t="shared" si="158"/>
        <v>0</v>
      </c>
      <c r="AC75" s="14">
        <f t="shared" si="158"/>
        <v>0.3588897282899246</v>
      </c>
      <c r="AD75" s="14">
        <f t="shared" si="158"/>
        <v>0.13220566312906262</v>
      </c>
      <c r="AE75" s="14">
        <f t="shared" si="158"/>
        <v>0</v>
      </c>
      <c r="AF75" s="14">
        <f t="shared" si="158"/>
        <v>4.6714687587951949E-3</v>
      </c>
      <c r="AG75" s="14">
        <f t="shared" si="158"/>
        <v>0</v>
      </c>
      <c r="AH75" s="14">
        <f t="shared" si="158"/>
        <v>0</v>
      </c>
      <c r="AI75" s="76">
        <f t="shared" si="145"/>
        <v>0</v>
      </c>
      <c r="AK75" s="2">
        <f t="shared" si="149"/>
        <v>-246000</v>
      </c>
      <c r="AL75" s="2">
        <f t="shared" si="150"/>
        <v>-47573.368415828445</v>
      </c>
      <c r="AM75" s="2">
        <f t="shared" si="150"/>
        <v>-76467.983980437071</v>
      </c>
      <c r="AN75" s="2">
        <f t="shared" si="150"/>
        <v>-121958.64760373448</v>
      </c>
      <c r="AO75" s="2">
        <f t="shared" si="150"/>
        <v>0</v>
      </c>
      <c r="AP75" s="2"/>
      <c r="AQ75" s="61" t="str">
        <f t="shared" ref="AQ75:AQ86" si="159">E$1&amp;$A75&amp;"*      """</f>
        <v>E75*      "</v>
      </c>
      <c r="AS75" s="2">
        <f t="shared" si="151"/>
        <v>-47573.36841582846</v>
      </c>
      <c r="AT75" s="2">
        <f t="shared" si="152"/>
        <v>-27327.976005131004</v>
      </c>
      <c r="AU75" s="2">
        <f t="shared" si="152"/>
        <v>-13240.817974378042</v>
      </c>
      <c r="AV75" s="2">
        <f t="shared" si="152"/>
        <v>0</v>
      </c>
      <c r="AW75" s="2">
        <f t="shared" si="152"/>
        <v>-540.68295564829566</v>
      </c>
      <c r="AX75" s="2">
        <f t="shared" si="152"/>
        <v>-6463.8914806711082</v>
      </c>
      <c r="AY75" s="2">
        <f t="shared" si="152"/>
        <v>0</v>
      </c>
      <c r="BA75" s="2">
        <f t="shared" si="153"/>
        <v>-76467.983980437057</v>
      </c>
      <c r="BB75" s="2">
        <f t="shared" si="154"/>
        <v>-43231.287236968717</v>
      </c>
      <c r="BC75" s="2">
        <f t="shared" si="154"/>
        <v>-26680.265647948585</v>
      </c>
      <c r="BD75" s="2">
        <f t="shared" si="154"/>
        <v>0</v>
      </c>
      <c r="BE75" s="2">
        <f t="shared" si="154"/>
        <v>-574.87100795943434</v>
      </c>
      <c r="BF75" s="2">
        <f t="shared" si="154"/>
        <v>-5981.5600875603213</v>
      </c>
      <c r="BG75" s="2">
        <f t="shared" si="154"/>
        <v>0</v>
      </c>
      <c r="BI75" s="2">
        <f t="shared" si="155"/>
        <v>-121958.6476037345</v>
      </c>
      <c r="BJ75" s="2">
        <f t="shared" si="156"/>
        <v>-114095.76176885501</v>
      </c>
      <c r="BK75" s="2">
        <f t="shared" si="156"/>
        <v>-7308.565011519775</v>
      </c>
      <c r="BL75" s="2">
        <f t="shared" si="156"/>
        <v>0</v>
      </c>
      <c r="BM75" s="2">
        <f t="shared" si="156"/>
        <v>-50.258712319912092</v>
      </c>
      <c r="BN75" s="2">
        <f t="shared" si="156"/>
        <v>-504.06211103978814</v>
      </c>
      <c r="BO75" s="2">
        <f t="shared" si="156"/>
        <v>0</v>
      </c>
    </row>
    <row r="76" spans="1:67" s="131" customFormat="1">
      <c r="A76" s="130">
        <f t="shared" si="135"/>
        <v>76</v>
      </c>
      <c r="B76" s="367" t="s">
        <v>988</v>
      </c>
      <c r="C76" s="132" t="s">
        <v>154</v>
      </c>
      <c r="D76" s="368" t="s">
        <v>260</v>
      </c>
      <c r="E76" s="369">
        <f>PROFORMA!AY322+PROFORMA!AY323</f>
        <v>-105361000</v>
      </c>
      <c r="F76" s="119" t="str">
        <f>"as 376-SM Plant ("&amp;A$31&amp;")"</f>
        <v>as 376-SM Plant (31)</v>
      </c>
      <c r="G76" s="119"/>
      <c r="H76" s="82">
        <f>SUM(I76:N76)</f>
        <v>-105361000</v>
      </c>
      <c r="I76" s="82">
        <f t="shared" si="147"/>
        <v>-59933194.784118526</v>
      </c>
      <c r="J76" s="82">
        <f t="shared" si="147"/>
        <v>-33909057.02233047</v>
      </c>
      <c r="K76" s="82">
        <f t="shared" si="147"/>
        <v>0</v>
      </c>
      <c r="L76" s="82">
        <f t="shared" si="147"/>
        <v>-947554.01234413392</v>
      </c>
      <c r="M76" s="82">
        <f t="shared" si="147"/>
        <v>-10571194.18120686</v>
      </c>
      <c r="N76" s="82">
        <f t="shared" si="147"/>
        <v>0</v>
      </c>
      <c r="O76" s="82"/>
      <c r="P76" s="133" t="str">
        <f>E$1&amp;$A76&amp;"*     """</f>
        <v>E76*     "</v>
      </c>
      <c r="Q76" s="133"/>
      <c r="R76" s="108">
        <f>R$29</f>
        <v>0.38352829517570403</v>
      </c>
      <c r="S76" s="108">
        <f t="shared" ref="S76:AH76" si="160">S$29</f>
        <v>0</v>
      </c>
      <c r="T76" s="108">
        <f t="shared" si="160"/>
        <v>0</v>
      </c>
      <c r="U76" s="108">
        <f t="shared" si="160"/>
        <v>0</v>
      </c>
      <c r="V76" s="108">
        <f t="shared" si="160"/>
        <v>0</v>
      </c>
      <c r="W76" s="108">
        <f t="shared" si="160"/>
        <v>0.61647170482429592</v>
      </c>
      <c r="X76" s="108">
        <f t="shared" si="160"/>
        <v>0</v>
      </c>
      <c r="Y76" s="108">
        <f t="shared" si="160"/>
        <v>0</v>
      </c>
      <c r="Z76" s="108">
        <f t="shared" si="160"/>
        <v>0</v>
      </c>
      <c r="AA76" s="108">
        <f t="shared" si="160"/>
        <v>0</v>
      </c>
      <c r="AB76" s="108">
        <f t="shared" si="160"/>
        <v>0</v>
      </c>
      <c r="AC76" s="108">
        <f t="shared" si="160"/>
        <v>0</v>
      </c>
      <c r="AD76" s="108">
        <f t="shared" si="160"/>
        <v>0</v>
      </c>
      <c r="AE76" s="108">
        <f t="shared" si="160"/>
        <v>0</v>
      </c>
      <c r="AF76" s="108">
        <f t="shared" si="160"/>
        <v>0</v>
      </c>
      <c r="AG76" s="108">
        <f t="shared" si="160"/>
        <v>0</v>
      </c>
      <c r="AH76" s="108">
        <f t="shared" si="160"/>
        <v>0</v>
      </c>
      <c r="AI76" s="134">
        <f t="shared" si="145"/>
        <v>0</v>
      </c>
      <c r="AK76" s="82">
        <f>SUM(AL76:AO76)</f>
        <v>-105361000</v>
      </c>
      <c r="AL76" s="82">
        <f t="shared" si="150"/>
        <v>-40408924.708007351</v>
      </c>
      <c r="AM76" s="82">
        <f t="shared" si="150"/>
        <v>-64952075.291992642</v>
      </c>
      <c r="AN76" s="82">
        <f t="shared" si="150"/>
        <v>0</v>
      </c>
      <c r="AO76" s="82">
        <f t="shared" si="150"/>
        <v>0</v>
      </c>
      <c r="AP76" s="82"/>
      <c r="AQ76" s="133" t="str">
        <f t="shared" si="159"/>
        <v>E76*      "</v>
      </c>
      <c r="AS76" s="82">
        <f>SUM(AT76:AY76)</f>
        <v>-40408924.708007358</v>
      </c>
      <c r="AT76" s="82">
        <f t="shared" si="152"/>
        <v>-23212443.465452686</v>
      </c>
      <c r="AU76" s="82">
        <f t="shared" si="152"/>
        <v>-11246780.17167802</v>
      </c>
      <c r="AV76" s="82">
        <f t="shared" si="152"/>
        <v>0</v>
      </c>
      <c r="AW76" s="82">
        <f t="shared" si="152"/>
        <v>-459257.30242018198</v>
      </c>
      <c r="AX76" s="82">
        <f t="shared" si="152"/>
        <v>-5490443.7684564665</v>
      </c>
      <c r="AY76" s="82">
        <f t="shared" si="152"/>
        <v>0</v>
      </c>
      <c r="BA76" s="82">
        <f>SUM(BB76:BG76)</f>
        <v>-64952075.291992635</v>
      </c>
      <c r="BB76" s="82">
        <f t="shared" si="154"/>
        <v>-36720751.31866584</v>
      </c>
      <c r="BC76" s="82">
        <f t="shared" si="154"/>
        <v>-22662276.850652449</v>
      </c>
      <c r="BD76" s="82">
        <f t="shared" si="154"/>
        <v>0</v>
      </c>
      <c r="BE76" s="82">
        <f t="shared" si="154"/>
        <v>-488296.70992395189</v>
      </c>
      <c r="BF76" s="82">
        <f t="shared" si="154"/>
        <v>-5080750.4127503932</v>
      </c>
      <c r="BG76" s="82">
        <f t="shared" si="154"/>
        <v>0</v>
      </c>
      <c r="BI76" s="82">
        <f>SUM(BJ76:BO76)</f>
        <v>0</v>
      </c>
      <c r="BJ76" s="82">
        <f t="shared" si="156"/>
        <v>0</v>
      </c>
      <c r="BK76" s="82">
        <f t="shared" si="156"/>
        <v>0</v>
      </c>
      <c r="BL76" s="82">
        <f t="shared" si="156"/>
        <v>0</v>
      </c>
      <c r="BM76" s="82">
        <f t="shared" si="156"/>
        <v>0</v>
      </c>
      <c r="BN76" s="82">
        <f t="shared" si="156"/>
        <v>0</v>
      </c>
      <c r="BO76" s="82">
        <f t="shared" si="156"/>
        <v>0</v>
      </c>
    </row>
    <row r="77" spans="1:67">
      <c r="A77" s="50">
        <f t="shared" si="135"/>
        <v>77</v>
      </c>
      <c r="B77" s="51">
        <v>376</v>
      </c>
      <c r="C77" s="36" t="s">
        <v>154</v>
      </c>
      <c r="D77" s="28" t="s">
        <v>260</v>
      </c>
      <c r="E77" s="369"/>
      <c r="F77" s="60" t="str">
        <f>"as 376-SM Plant ("&amp;A$31&amp;")"</f>
        <v>as 376-SM Plant (31)</v>
      </c>
      <c r="G77" s="60"/>
      <c r="H77" s="2">
        <f t="shared" si="146"/>
        <v>0</v>
      </c>
      <c r="I77" s="2">
        <f t="shared" si="147"/>
        <v>0</v>
      </c>
      <c r="J77" s="2">
        <f t="shared" si="147"/>
        <v>0</v>
      </c>
      <c r="K77" s="2">
        <f t="shared" si="147"/>
        <v>0</v>
      </c>
      <c r="L77" s="2">
        <f t="shared" si="147"/>
        <v>0</v>
      </c>
      <c r="M77" s="2">
        <f t="shared" si="147"/>
        <v>0</v>
      </c>
      <c r="N77" s="2">
        <f t="shared" si="147"/>
        <v>0</v>
      </c>
      <c r="O77" s="2"/>
      <c r="P77" s="61" t="str">
        <f t="shared" si="157"/>
        <v>E77*     "</v>
      </c>
      <c r="Q77" s="61"/>
      <c r="R77" s="14">
        <f>R$30</f>
        <v>0</v>
      </c>
      <c r="S77" s="14">
        <f t="shared" ref="S77:AH77" si="161">S$30</f>
        <v>0</v>
      </c>
      <c r="T77" s="14">
        <f t="shared" si="161"/>
        <v>0</v>
      </c>
      <c r="U77" s="14">
        <f t="shared" si="161"/>
        <v>0</v>
      </c>
      <c r="V77" s="14">
        <f t="shared" si="161"/>
        <v>0</v>
      </c>
      <c r="W77" s="14">
        <f t="shared" si="161"/>
        <v>0</v>
      </c>
      <c r="X77" s="14">
        <f t="shared" si="161"/>
        <v>0</v>
      </c>
      <c r="Y77" s="14">
        <f t="shared" si="161"/>
        <v>0</v>
      </c>
      <c r="Z77" s="14">
        <f t="shared" si="161"/>
        <v>0</v>
      </c>
      <c r="AA77" s="14">
        <f t="shared" si="161"/>
        <v>0</v>
      </c>
      <c r="AB77" s="14">
        <f t="shared" si="161"/>
        <v>0</v>
      </c>
      <c r="AC77" s="14">
        <f t="shared" si="161"/>
        <v>0</v>
      </c>
      <c r="AD77" s="14">
        <f t="shared" si="161"/>
        <v>0</v>
      </c>
      <c r="AE77" s="14">
        <f t="shared" si="161"/>
        <v>0</v>
      </c>
      <c r="AF77" s="14">
        <f t="shared" si="161"/>
        <v>0</v>
      </c>
      <c r="AG77" s="14">
        <f t="shared" si="161"/>
        <v>0</v>
      </c>
      <c r="AH77" s="14">
        <f t="shared" si="161"/>
        <v>0</v>
      </c>
      <c r="AI77" s="76">
        <f t="shared" si="145"/>
        <v>0</v>
      </c>
      <c r="AK77" s="2">
        <f t="shared" si="149"/>
        <v>0</v>
      </c>
      <c r="AL77" s="2">
        <f t="shared" si="150"/>
        <v>0</v>
      </c>
      <c r="AM77" s="2">
        <f t="shared" si="150"/>
        <v>0</v>
      </c>
      <c r="AN77" s="2">
        <f t="shared" si="150"/>
        <v>0</v>
      </c>
      <c r="AO77" s="2">
        <f t="shared" si="150"/>
        <v>0</v>
      </c>
      <c r="AP77" s="2"/>
      <c r="AQ77" s="61" t="str">
        <f t="shared" si="159"/>
        <v>E77*      "</v>
      </c>
      <c r="AS77" s="2">
        <f t="shared" si="151"/>
        <v>0</v>
      </c>
      <c r="AT77" s="2">
        <f t="shared" si="152"/>
        <v>0</v>
      </c>
      <c r="AU77" s="2">
        <f t="shared" si="152"/>
        <v>0</v>
      </c>
      <c r="AV77" s="2">
        <f t="shared" si="152"/>
        <v>0</v>
      </c>
      <c r="AW77" s="2">
        <f t="shared" si="152"/>
        <v>0</v>
      </c>
      <c r="AX77" s="2">
        <f t="shared" si="152"/>
        <v>0</v>
      </c>
      <c r="AY77" s="2">
        <f t="shared" si="152"/>
        <v>0</v>
      </c>
      <c r="BA77" s="2">
        <f t="shared" si="153"/>
        <v>0</v>
      </c>
      <c r="BB77" s="2">
        <f t="shared" si="154"/>
        <v>0</v>
      </c>
      <c r="BC77" s="2">
        <f t="shared" si="154"/>
        <v>0</v>
      </c>
      <c r="BD77" s="2">
        <f t="shared" si="154"/>
        <v>0</v>
      </c>
      <c r="BE77" s="2">
        <f t="shared" si="154"/>
        <v>0</v>
      </c>
      <c r="BF77" s="2">
        <f t="shared" si="154"/>
        <v>0</v>
      </c>
      <c r="BG77" s="2">
        <f t="shared" si="154"/>
        <v>0</v>
      </c>
      <c r="BI77" s="2">
        <f t="shared" si="155"/>
        <v>0</v>
      </c>
      <c r="BJ77" s="2">
        <f t="shared" si="156"/>
        <v>0</v>
      </c>
      <c r="BK77" s="2">
        <f t="shared" si="156"/>
        <v>0</v>
      </c>
      <c r="BL77" s="2">
        <f t="shared" si="156"/>
        <v>0</v>
      </c>
      <c r="BM77" s="2">
        <f t="shared" si="156"/>
        <v>0</v>
      </c>
      <c r="BN77" s="2">
        <f t="shared" si="156"/>
        <v>0</v>
      </c>
      <c r="BO77" s="2">
        <f t="shared" si="156"/>
        <v>0</v>
      </c>
    </row>
    <row r="78" spans="1:67">
      <c r="A78" s="50">
        <f t="shared" si="135"/>
        <v>78</v>
      </c>
      <c r="B78" s="51">
        <v>378</v>
      </c>
      <c r="C78" s="36" t="s">
        <v>154</v>
      </c>
      <c r="D78" s="28" t="s">
        <v>261</v>
      </c>
      <c r="E78" s="369">
        <f>PROFORMA!AY324</f>
        <v>-1838000</v>
      </c>
      <c r="F78" s="60" t="str">
        <f>"as 378 Plant ("&amp;A$32&amp;")"</f>
        <v>as 378 Plant (32)</v>
      </c>
      <c r="G78" s="60"/>
      <c r="H78" s="2">
        <f t="shared" si="146"/>
        <v>-1837999.9999999998</v>
      </c>
      <c r="I78" s="2">
        <f t="shared" si="147"/>
        <v>-1045521.70170376</v>
      </c>
      <c r="J78" s="2">
        <f t="shared" si="147"/>
        <v>-591536.2117580832</v>
      </c>
      <c r="K78" s="2">
        <f t="shared" si="147"/>
        <v>0</v>
      </c>
      <c r="L78" s="2">
        <f t="shared" si="147"/>
        <v>-16529.876089715533</v>
      </c>
      <c r="M78" s="2">
        <f t="shared" si="147"/>
        <v>-184412.21044844115</v>
      </c>
      <c r="N78" s="2">
        <f t="shared" si="147"/>
        <v>0</v>
      </c>
      <c r="O78" s="2"/>
      <c r="P78" s="61" t="str">
        <f t="shared" si="157"/>
        <v>E78*     "</v>
      </c>
      <c r="Q78" s="61"/>
      <c r="R78" s="14">
        <f>R$32</f>
        <v>0.38352829517570403</v>
      </c>
      <c r="S78" s="14">
        <f t="shared" ref="S78:AH78" si="162">S$32</f>
        <v>0</v>
      </c>
      <c r="T78" s="14">
        <f t="shared" si="162"/>
        <v>0</v>
      </c>
      <c r="U78" s="14">
        <f t="shared" si="162"/>
        <v>0</v>
      </c>
      <c r="V78" s="14">
        <f t="shared" si="162"/>
        <v>0</v>
      </c>
      <c r="W78" s="14">
        <f t="shared" si="162"/>
        <v>0.61647170482429592</v>
      </c>
      <c r="X78" s="14">
        <f t="shared" si="162"/>
        <v>0</v>
      </c>
      <c r="Y78" s="14">
        <f t="shared" si="162"/>
        <v>0</v>
      </c>
      <c r="Z78" s="14">
        <f t="shared" si="162"/>
        <v>0</v>
      </c>
      <c r="AA78" s="14">
        <f t="shared" si="162"/>
        <v>0</v>
      </c>
      <c r="AB78" s="14">
        <f t="shared" si="162"/>
        <v>0</v>
      </c>
      <c r="AC78" s="14">
        <f t="shared" si="162"/>
        <v>0</v>
      </c>
      <c r="AD78" s="14">
        <f t="shared" si="162"/>
        <v>0</v>
      </c>
      <c r="AE78" s="14">
        <f t="shared" si="162"/>
        <v>0</v>
      </c>
      <c r="AF78" s="14">
        <f t="shared" si="162"/>
        <v>0</v>
      </c>
      <c r="AG78" s="14">
        <f t="shared" si="162"/>
        <v>0</v>
      </c>
      <c r="AH78" s="14">
        <f t="shared" si="162"/>
        <v>0</v>
      </c>
      <c r="AI78" s="76">
        <f t="shared" si="145"/>
        <v>0</v>
      </c>
      <c r="AK78" s="2">
        <f t="shared" si="149"/>
        <v>-1838000</v>
      </c>
      <c r="AL78" s="2">
        <f t="shared" si="150"/>
        <v>-704925.00653294404</v>
      </c>
      <c r="AM78" s="2">
        <f t="shared" si="150"/>
        <v>-1133074.993467056</v>
      </c>
      <c r="AN78" s="2">
        <f t="shared" si="150"/>
        <v>0</v>
      </c>
      <c r="AO78" s="2">
        <f t="shared" si="150"/>
        <v>0</v>
      </c>
      <c r="AP78" s="2"/>
      <c r="AQ78" s="61" t="str">
        <f t="shared" si="159"/>
        <v>E78*      "</v>
      </c>
      <c r="AS78" s="2">
        <f t="shared" si="151"/>
        <v>-704925.00653294392</v>
      </c>
      <c r="AT78" s="2">
        <f t="shared" si="152"/>
        <v>-404936.08725716383</v>
      </c>
      <c r="AU78" s="2">
        <f t="shared" si="152"/>
        <v>-196197.66285005078</v>
      </c>
      <c r="AV78" s="2">
        <f t="shared" si="152"/>
        <v>0</v>
      </c>
      <c r="AW78" s="2">
        <f t="shared" si="152"/>
        <v>-8011.6449335930229</v>
      </c>
      <c r="AX78" s="2">
        <f t="shared" si="152"/>
        <v>-95779.611492136421</v>
      </c>
      <c r="AY78" s="2">
        <f t="shared" si="152"/>
        <v>0</v>
      </c>
      <c r="BA78" s="2">
        <f t="shared" si="153"/>
        <v>-1133074.9934670557</v>
      </c>
      <c r="BB78" s="2">
        <f t="shared" si="154"/>
        <v>-640585.61444659613</v>
      </c>
      <c r="BC78" s="2">
        <f t="shared" si="154"/>
        <v>-395338.54890803242</v>
      </c>
      <c r="BD78" s="2">
        <f t="shared" si="154"/>
        <v>0</v>
      </c>
      <c r="BE78" s="2">
        <f t="shared" si="154"/>
        <v>-8518.2311561225088</v>
      </c>
      <c r="BF78" s="2">
        <f t="shared" si="154"/>
        <v>-88632.598956304719</v>
      </c>
      <c r="BG78" s="2">
        <f t="shared" si="154"/>
        <v>0</v>
      </c>
      <c r="BI78" s="2">
        <f t="shared" si="155"/>
        <v>0</v>
      </c>
      <c r="BJ78" s="2">
        <f t="shared" si="156"/>
        <v>0</v>
      </c>
      <c r="BK78" s="2">
        <f t="shared" si="156"/>
        <v>0</v>
      </c>
      <c r="BL78" s="2">
        <f t="shared" si="156"/>
        <v>0</v>
      </c>
      <c r="BM78" s="2">
        <f t="shared" si="156"/>
        <v>0</v>
      </c>
      <c r="BN78" s="2">
        <f t="shared" si="156"/>
        <v>0</v>
      </c>
      <c r="BO78" s="2">
        <f t="shared" si="156"/>
        <v>0</v>
      </c>
    </row>
    <row r="79" spans="1:67">
      <c r="A79" s="50">
        <f t="shared" si="135"/>
        <v>79</v>
      </c>
      <c r="B79" s="51">
        <v>379</v>
      </c>
      <c r="C79" s="36" t="s">
        <v>154</v>
      </c>
      <c r="D79" s="28" t="s">
        <v>262</v>
      </c>
      <c r="E79" s="369">
        <f>PROFORMA!AY325</f>
        <v>-724000</v>
      </c>
      <c r="F79" s="60" t="str">
        <f>"as 379 Plant ("&amp;A$33&amp;")"</f>
        <v>as 379 Plant (33)</v>
      </c>
      <c r="G79" s="60"/>
      <c r="H79" s="2">
        <f t="shared" si="146"/>
        <v>-723999.99999999988</v>
      </c>
      <c r="I79" s="2">
        <f t="shared" si="147"/>
        <v>-411837.71057318948</v>
      </c>
      <c r="J79" s="2">
        <f t="shared" si="147"/>
        <v>-233009.91148686194</v>
      </c>
      <c r="K79" s="2">
        <f t="shared" si="147"/>
        <v>0</v>
      </c>
      <c r="L79" s="2">
        <f t="shared" si="147"/>
        <v>-6511.2243139031807</v>
      </c>
      <c r="M79" s="2">
        <f t="shared" si="147"/>
        <v>-72641.153626045372</v>
      </c>
      <c r="N79" s="2">
        <f t="shared" si="147"/>
        <v>0</v>
      </c>
      <c r="O79" s="2"/>
      <c r="P79" s="61" t="str">
        <f t="shared" si="157"/>
        <v>E79*     "</v>
      </c>
      <c r="Q79" s="61"/>
      <c r="R79" s="14">
        <f>R$33</f>
        <v>0.38352829517570403</v>
      </c>
      <c r="S79" s="14">
        <f t="shared" ref="S79:AH79" si="163">S$33</f>
        <v>0</v>
      </c>
      <c r="T79" s="14">
        <f t="shared" si="163"/>
        <v>0</v>
      </c>
      <c r="U79" s="14">
        <f t="shared" si="163"/>
        <v>0</v>
      </c>
      <c r="V79" s="14">
        <f t="shared" si="163"/>
        <v>0</v>
      </c>
      <c r="W79" s="14">
        <f t="shared" si="163"/>
        <v>0.61647170482429592</v>
      </c>
      <c r="X79" s="14">
        <f t="shared" si="163"/>
        <v>0</v>
      </c>
      <c r="Y79" s="14">
        <f t="shared" si="163"/>
        <v>0</v>
      </c>
      <c r="Z79" s="14">
        <f t="shared" si="163"/>
        <v>0</v>
      </c>
      <c r="AA79" s="14">
        <f t="shared" si="163"/>
        <v>0</v>
      </c>
      <c r="AB79" s="14">
        <f t="shared" si="163"/>
        <v>0</v>
      </c>
      <c r="AC79" s="14">
        <f t="shared" si="163"/>
        <v>0</v>
      </c>
      <c r="AD79" s="14">
        <f t="shared" si="163"/>
        <v>0</v>
      </c>
      <c r="AE79" s="14">
        <f t="shared" si="163"/>
        <v>0</v>
      </c>
      <c r="AF79" s="14">
        <f t="shared" si="163"/>
        <v>0</v>
      </c>
      <c r="AG79" s="14">
        <f t="shared" si="163"/>
        <v>0</v>
      </c>
      <c r="AH79" s="14">
        <f t="shared" si="163"/>
        <v>0</v>
      </c>
      <c r="AI79" s="76">
        <f t="shared" si="145"/>
        <v>0</v>
      </c>
      <c r="AK79" s="2">
        <f t="shared" si="149"/>
        <v>-724000</v>
      </c>
      <c r="AL79" s="2">
        <f t="shared" si="150"/>
        <v>-277674.48570720974</v>
      </c>
      <c r="AM79" s="2">
        <f t="shared" si="150"/>
        <v>-446325.51429279026</v>
      </c>
      <c r="AN79" s="2">
        <f t="shared" si="150"/>
        <v>0</v>
      </c>
      <c r="AO79" s="2">
        <f t="shared" si="150"/>
        <v>0</v>
      </c>
      <c r="AP79" s="2"/>
      <c r="AQ79" s="61" t="str">
        <f t="shared" si="159"/>
        <v>E79*      "</v>
      </c>
      <c r="AS79" s="2">
        <f t="shared" si="151"/>
        <v>-277674.48570720974</v>
      </c>
      <c r="AT79" s="2">
        <f t="shared" si="152"/>
        <v>-159506.92446908957</v>
      </c>
      <c r="AU79" s="2">
        <f t="shared" si="152"/>
        <v>-77283.518989900302</v>
      </c>
      <c r="AV79" s="2">
        <f t="shared" si="152"/>
        <v>0</v>
      </c>
      <c r="AW79" s="2">
        <f t="shared" si="152"/>
        <v>-3155.8383742771211</v>
      </c>
      <c r="AX79" s="2">
        <f t="shared" si="152"/>
        <v>-37728.203873942744</v>
      </c>
      <c r="AY79" s="2">
        <f t="shared" si="152"/>
        <v>0</v>
      </c>
      <c r="BA79" s="2">
        <f t="shared" si="153"/>
        <v>-446325.51429279021</v>
      </c>
      <c r="BB79" s="2">
        <f t="shared" si="154"/>
        <v>-252330.78610409988</v>
      </c>
      <c r="BC79" s="2">
        <f t="shared" si="154"/>
        <v>-155726.39249696163</v>
      </c>
      <c r="BD79" s="2">
        <f t="shared" si="154"/>
        <v>0</v>
      </c>
      <c r="BE79" s="2">
        <f t="shared" si="154"/>
        <v>-3355.3859396260586</v>
      </c>
      <c r="BF79" s="2">
        <f t="shared" si="154"/>
        <v>-34912.949752102621</v>
      </c>
      <c r="BG79" s="2">
        <f t="shared" si="154"/>
        <v>0</v>
      </c>
      <c r="BI79" s="2">
        <f t="shared" si="155"/>
        <v>0</v>
      </c>
      <c r="BJ79" s="2">
        <f t="shared" si="156"/>
        <v>0</v>
      </c>
      <c r="BK79" s="2">
        <f t="shared" si="156"/>
        <v>0</v>
      </c>
      <c r="BL79" s="2">
        <f t="shared" si="156"/>
        <v>0</v>
      </c>
      <c r="BM79" s="2">
        <f t="shared" si="156"/>
        <v>0</v>
      </c>
      <c r="BN79" s="2">
        <f t="shared" si="156"/>
        <v>0</v>
      </c>
      <c r="BO79" s="2">
        <f t="shared" si="156"/>
        <v>0</v>
      </c>
    </row>
    <row r="80" spans="1:67">
      <c r="A80" s="50">
        <f t="shared" si="135"/>
        <v>80</v>
      </c>
      <c r="B80" s="51">
        <v>380</v>
      </c>
      <c r="C80" s="36" t="s">
        <v>154</v>
      </c>
      <c r="D80" s="28" t="s">
        <v>263</v>
      </c>
      <c r="E80" s="369">
        <f>PROFORMA!AY326</f>
        <v>-96139000</v>
      </c>
      <c r="F80" s="60" t="str">
        <f>"as 380 Plant ("&amp;A$34&amp;")"</f>
        <v>as 380 Plant (34)</v>
      </c>
      <c r="G80" s="60"/>
      <c r="H80" s="2">
        <f t="shared" si="146"/>
        <v>-96139000.000000015</v>
      </c>
      <c r="I80" s="2">
        <f t="shared" si="147"/>
        <v>-93977940.802811787</v>
      </c>
      <c r="J80" s="2">
        <f t="shared" si="147"/>
        <v>-1881046.3170279732</v>
      </c>
      <c r="K80" s="2">
        <f t="shared" si="147"/>
        <v>0</v>
      </c>
      <c r="L80" s="2">
        <f t="shared" si="147"/>
        <v>-7229.1105904842861</v>
      </c>
      <c r="M80" s="2">
        <f t="shared" si="147"/>
        <v>-272783.76956976886</v>
      </c>
      <c r="N80" s="2">
        <f t="shared" si="147"/>
        <v>0</v>
      </c>
      <c r="O80" s="2"/>
      <c r="P80" s="61" t="str">
        <f t="shared" si="157"/>
        <v>E80*     "</v>
      </c>
      <c r="Q80" s="61"/>
      <c r="R80" s="14">
        <f>R$34</f>
        <v>0</v>
      </c>
      <c r="S80" s="14">
        <f t="shared" ref="S80:AH80" si="164">S$34</f>
        <v>0</v>
      </c>
      <c r="T80" s="14">
        <f t="shared" si="164"/>
        <v>0</v>
      </c>
      <c r="U80" s="14">
        <f t="shared" si="164"/>
        <v>0</v>
      </c>
      <c r="V80" s="14">
        <f t="shared" si="164"/>
        <v>0</v>
      </c>
      <c r="W80" s="14">
        <f t="shared" si="164"/>
        <v>0</v>
      </c>
      <c r="X80" s="14">
        <f t="shared" si="164"/>
        <v>0</v>
      </c>
      <c r="Y80" s="14">
        <f t="shared" si="164"/>
        <v>0</v>
      </c>
      <c r="Z80" s="14">
        <f t="shared" si="164"/>
        <v>0</v>
      </c>
      <c r="AA80" s="14">
        <f t="shared" si="164"/>
        <v>0</v>
      </c>
      <c r="AB80" s="14">
        <f t="shared" si="164"/>
        <v>0</v>
      </c>
      <c r="AC80" s="14">
        <f t="shared" si="164"/>
        <v>1</v>
      </c>
      <c r="AD80" s="14">
        <f t="shared" si="164"/>
        <v>0</v>
      </c>
      <c r="AE80" s="14">
        <f t="shared" si="164"/>
        <v>0</v>
      </c>
      <c r="AF80" s="14">
        <f t="shared" si="164"/>
        <v>0</v>
      </c>
      <c r="AG80" s="14">
        <f t="shared" si="164"/>
        <v>0</v>
      </c>
      <c r="AH80" s="14">
        <f t="shared" si="164"/>
        <v>0</v>
      </c>
      <c r="AI80" s="76">
        <f t="shared" si="145"/>
        <v>0</v>
      </c>
      <c r="AK80" s="2">
        <f t="shared" si="149"/>
        <v>-96139000</v>
      </c>
      <c r="AL80" s="2">
        <f t="shared" si="150"/>
        <v>0</v>
      </c>
      <c r="AM80" s="2">
        <f t="shared" si="150"/>
        <v>0</v>
      </c>
      <c r="AN80" s="2">
        <f t="shared" si="150"/>
        <v>-96139000</v>
      </c>
      <c r="AO80" s="2">
        <f t="shared" si="150"/>
        <v>0</v>
      </c>
      <c r="AP80" s="2"/>
      <c r="AQ80" s="61" t="str">
        <f t="shared" si="159"/>
        <v>E80*      "</v>
      </c>
      <c r="AS80" s="2">
        <f t="shared" si="151"/>
        <v>0</v>
      </c>
      <c r="AT80" s="2">
        <f t="shared" si="152"/>
        <v>0</v>
      </c>
      <c r="AU80" s="2">
        <f t="shared" si="152"/>
        <v>0</v>
      </c>
      <c r="AV80" s="2">
        <f t="shared" si="152"/>
        <v>0</v>
      </c>
      <c r="AW80" s="2">
        <f t="shared" si="152"/>
        <v>0</v>
      </c>
      <c r="AX80" s="2">
        <f t="shared" si="152"/>
        <v>0</v>
      </c>
      <c r="AY80" s="2">
        <f t="shared" si="152"/>
        <v>0</v>
      </c>
      <c r="BA80" s="2">
        <f t="shared" si="153"/>
        <v>0</v>
      </c>
      <c r="BB80" s="2">
        <f t="shared" si="154"/>
        <v>0</v>
      </c>
      <c r="BC80" s="2">
        <f t="shared" si="154"/>
        <v>0</v>
      </c>
      <c r="BD80" s="2">
        <f t="shared" si="154"/>
        <v>0</v>
      </c>
      <c r="BE80" s="2">
        <f t="shared" si="154"/>
        <v>0</v>
      </c>
      <c r="BF80" s="2">
        <f t="shared" si="154"/>
        <v>0</v>
      </c>
      <c r="BG80" s="2">
        <f t="shared" si="154"/>
        <v>0</v>
      </c>
      <c r="BI80" s="2">
        <f t="shared" si="155"/>
        <v>-96139000.000000015</v>
      </c>
      <c r="BJ80" s="2">
        <f t="shared" si="156"/>
        <v>-93977940.802811787</v>
      </c>
      <c r="BK80" s="2">
        <f t="shared" si="156"/>
        <v>-1881046.3170279732</v>
      </c>
      <c r="BL80" s="2">
        <f t="shared" si="156"/>
        <v>0</v>
      </c>
      <c r="BM80" s="2">
        <f t="shared" si="156"/>
        <v>-7229.1105904842861</v>
      </c>
      <c r="BN80" s="2">
        <f t="shared" si="156"/>
        <v>-272783.76956976886</v>
      </c>
      <c r="BO80" s="2">
        <f t="shared" si="156"/>
        <v>0</v>
      </c>
    </row>
    <row r="81" spans="1:67">
      <c r="A81" s="50">
        <f t="shared" si="135"/>
        <v>81</v>
      </c>
      <c r="B81" s="51">
        <v>381</v>
      </c>
      <c r="C81" s="36" t="s">
        <v>154</v>
      </c>
      <c r="D81" s="28" t="s">
        <v>264</v>
      </c>
      <c r="E81" s="369">
        <f>PROFORMA!AY327</f>
        <v>-20530000</v>
      </c>
      <c r="F81" s="60" t="str">
        <f>"as 381 Plant ("&amp;A$35&amp;")"</f>
        <v>as 381 Plant (35)</v>
      </c>
      <c r="G81" s="60"/>
      <c r="H81" s="2">
        <f t="shared" si="146"/>
        <v>-20529999.999999996</v>
      </c>
      <c r="I81" s="2">
        <f t="shared" si="147"/>
        <v>-17544708.092557181</v>
      </c>
      <c r="J81" s="2">
        <f t="shared" si="147"/>
        <v>-2841676.243158428</v>
      </c>
      <c r="K81" s="2">
        <f t="shared" si="147"/>
        <v>0</v>
      </c>
      <c r="L81" s="2">
        <f t="shared" si="147"/>
        <v>-21053.689733955562</v>
      </c>
      <c r="M81" s="2">
        <f t="shared" si="147"/>
        <v>-122561.9745504336</v>
      </c>
      <c r="N81" s="2">
        <f t="shared" si="147"/>
        <v>0</v>
      </c>
      <c r="O81" s="2"/>
      <c r="P81" s="61" t="str">
        <f t="shared" si="157"/>
        <v>E81*     "</v>
      </c>
      <c r="Q81" s="61"/>
      <c r="R81" s="14">
        <f>R$35</f>
        <v>0</v>
      </c>
      <c r="S81" s="14">
        <f t="shared" ref="S81:AH81" si="165">S$35</f>
        <v>0</v>
      </c>
      <c r="T81" s="14">
        <f t="shared" si="165"/>
        <v>0</v>
      </c>
      <c r="U81" s="14">
        <f t="shared" si="165"/>
        <v>0</v>
      </c>
      <c r="V81" s="14">
        <f t="shared" si="165"/>
        <v>0</v>
      </c>
      <c r="W81" s="14">
        <f t="shared" si="165"/>
        <v>0</v>
      </c>
      <c r="X81" s="14">
        <f t="shared" si="165"/>
        <v>0</v>
      </c>
      <c r="Y81" s="14">
        <f t="shared" si="165"/>
        <v>0</v>
      </c>
      <c r="Z81" s="14">
        <f t="shared" si="165"/>
        <v>0</v>
      </c>
      <c r="AA81" s="14">
        <f t="shared" si="165"/>
        <v>0</v>
      </c>
      <c r="AB81" s="14">
        <f t="shared" si="165"/>
        <v>0</v>
      </c>
      <c r="AC81" s="14">
        <f t="shared" si="165"/>
        <v>0</v>
      </c>
      <c r="AD81" s="14">
        <f t="shared" si="165"/>
        <v>1</v>
      </c>
      <c r="AE81" s="14">
        <f t="shared" si="165"/>
        <v>0</v>
      </c>
      <c r="AF81" s="14">
        <f t="shared" si="165"/>
        <v>0</v>
      </c>
      <c r="AG81" s="14">
        <f t="shared" si="165"/>
        <v>0</v>
      </c>
      <c r="AH81" s="14">
        <f t="shared" si="165"/>
        <v>0</v>
      </c>
      <c r="AI81" s="76">
        <f t="shared" si="145"/>
        <v>0</v>
      </c>
      <c r="AK81" s="2">
        <f t="shared" si="149"/>
        <v>-20530000</v>
      </c>
      <c r="AL81" s="2">
        <f t="shared" si="150"/>
        <v>0</v>
      </c>
      <c r="AM81" s="2">
        <f t="shared" si="150"/>
        <v>0</v>
      </c>
      <c r="AN81" s="2">
        <f t="shared" si="150"/>
        <v>-20530000</v>
      </c>
      <c r="AO81" s="2">
        <f t="shared" si="150"/>
        <v>0</v>
      </c>
      <c r="AP81" s="2"/>
      <c r="AQ81" s="61" t="str">
        <f t="shared" si="159"/>
        <v>E81*      "</v>
      </c>
      <c r="AS81" s="2">
        <f t="shared" si="151"/>
        <v>0</v>
      </c>
      <c r="AT81" s="2">
        <f t="shared" si="152"/>
        <v>0</v>
      </c>
      <c r="AU81" s="2">
        <f t="shared" si="152"/>
        <v>0</v>
      </c>
      <c r="AV81" s="2">
        <f t="shared" si="152"/>
        <v>0</v>
      </c>
      <c r="AW81" s="2">
        <f t="shared" si="152"/>
        <v>0</v>
      </c>
      <c r="AX81" s="2">
        <f t="shared" si="152"/>
        <v>0</v>
      </c>
      <c r="AY81" s="2">
        <f t="shared" si="152"/>
        <v>0</v>
      </c>
      <c r="BA81" s="2">
        <f t="shared" si="153"/>
        <v>0</v>
      </c>
      <c r="BB81" s="2">
        <f t="shared" si="154"/>
        <v>0</v>
      </c>
      <c r="BC81" s="2">
        <f t="shared" si="154"/>
        <v>0</v>
      </c>
      <c r="BD81" s="2">
        <f t="shared" si="154"/>
        <v>0</v>
      </c>
      <c r="BE81" s="2">
        <f t="shared" si="154"/>
        <v>0</v>
      </c>
      <c r="BF81" s="2">
        <f t="shared" si="154"/>
        <v>0</v>
      </c>
      <c r="BG81" s="2">
        <f t="shared" si="154"/>
        <v>0</v>
      </c>
      <c r="BI81" s="2">
        <f t="shared" si="155"/>
        <v>-20529999.999999996</v>
      </c>
      <c r="BJ81" s="2">
        <f t="shared" si="156"/>
        <v>-17544708.092557181</v>
      </c>
      <c r="BK81" s="2">
        <f t="shared" si="156"/>
        <v>-2841676.243158428</v>
      </c>
      <c r="BL81" s="2">
        <f t="shared" si="156"/>
        <v>0</v>
      </c>
      <c r="BM81" s="2">
        <f t="shared" si="156"/>
        <v>-21053.689733955562</v>
      </c>
      <c r="BN81" s="2">
        <f t="shared" si="156"/>
        <v>-122561.9745504336</v>
      </c>
      <c r="BO81" s="2">
        <f t="shared" si="156"/>
        <v>0</v>
      </c>
    </row>
    <row r="82" spans="1:67">
      <c r="A82" s="50">
        <f t="shared" si="135"/>
        <v>82</v>
      </c>
      <c r="B82" s="51">
        <v>382</v>
      </c>
      <c r="C82" s="36" t="s">
        <v>154</v>
      </c>
      <c r="D82" s="28" t="s">
        <v>265</v>
      </c>
      <c r="E82" s="369">
        <f>PROFORMA!AY328</f>
        <v>0</v>
      </c>
      <c r="F82" s="60" t="str">
        <f>"as 382 Plant ("&amp;A$36&amp;")"</f>
        <v>as 382 Plant (36)</v>
      </c>
      <c r="G82" s="60"/>
      <c r="H82" s="2">
        <f t="shared" si="146"/>
        <v>0</v>
      </c>
      <c r="I82" s="2">
        <f t="shared" si="147"/>
        <v>0</v>
      </c>
      <c r="J82" s="2">
        <f t="shared" si="147"/>
        <v>0</v>
      </c>
      <c r="K82" s="2">
        <f t="shared" si="147"/>
        <v>0</v>
      </c>
      <c r="L82" s="2">
        <f t="shared" si="147"/>
        <v>0</v>
      </c>
      <c r="M82" s="2">
        <f t="shared" si="147"/>
        <v>0</v>
      </c>
      <c r="N82" s="2">
        <f t="shared" si="147"/>
        <v>0</v>
      </c>
      <c r="O82" s="2"/>
      <c r="P82" s="61" t="str">
        <f t="shared" si="157"/>
        <v>E82*     "</v>
      </c>
      <c r="Q82" s="61"/>
      <c r="R82" s="14">
        <f>R$36</f>
        <v>0</v>
      </c>
      <c r="S82" s="14">
        <f t="shared" ref="S82:AH82" si="166">S$36</f>
        <v>0</v>
      </c>
      <c r="T82" s="14">
        <f t="shared" si="166"/>
        <v>0</v>
      </c>
      <c r="U82" s="14">
        <f t="shared" si="166"/>
        <v>0</v>
      </c>
      <c r="V82" s="14">
        <f t="shared" si="166"/>
        <v>0</v>
      </c>
      <c r="W82" s="14">
        <f t="shared" si="166"/>
        <v>0</v>
      </c>
      <c r="X82" s="14">
        <f t="shared" si="166"/>
        <v>0</v>
      </c>
      <c r="Y82" s="14">
        <f t="shared" si="166"/>
        <v>0</v>
      </c>
      <c r="Z82" s="14">
        <f t="shared" si="166"/>
        <v>0</v>
      </c>
      <c r="AA82" s="14">
        <f t="shared" si="166"/>
        <v>0</v>
      </c>
      <c r="AB82" s="14">
        <f t="shared" si="166"/>
        <v>1</v>
      </c>
      <c r="AC82" s="14">
        <f t="shared" si="166"/>
        <v>0</v>
      </c>
      <c r="AD82" s="14">
        <f t="shared" si="166"/>
        <v>0</v>
      </c>
      <c r="AE82" s="14">
        <f t="shared" si="166"/>
        <v>0</v>
      </c>
      <c r="AF82" s="14">
        <f t="shared" si="166"/>
        <v>0</v>
      </c>
      <c r="AG82" s="14">
        <f t="shared" si="166"/>
        <v>0</v>
      </c>
      <c r="AH82" s="14">
        <f t="shared" si="166"/>
        <v>0</v>
      </c>
      <c r="AI82" s="76">
        <f t="shared" si="145"/>
        <v>0</v>
      </c>
      <c r="AK82" s="2">
        <f t="shared" si="149"/>
        <v>0</v>
      </c>
      <c r="AL82" s="2">
        <f t="shared" si="150"/>
        <v>0</v>
      </c>
      <c r="AM82" s="2">
        <f t="shared" si="150"/>
        <v>0</v>
      </c>
      <c r="AN82" s="2">
        <f t="shared" si="150"/>
        <v>0</v>
      </c>
      <c r="AO82" s="2">
        <f t="shared" si="150"/>
        <v>0</v>
      </c>
      <c r="AP82" s="2"/>
      <c r="AQ82" s="61" t="str">
        <f t="shared" si="159"/>
        <v>E82*      "</v>
      </c>
      <c r="AS82" s="2">
        <f t="shared" si="151"/>
        <v>0</v>
      </c>
      <c r="AT82" s="2">
        <f t="shared" si="152"/>
        <v>0</v>
      </c>
      <c r="AU82" s="2">
        <f t="shared" si="152"/>
        <v>0</v>
      </c>
      <c r="AV82" s="2">
        <f t="shared" si="152"/>
        <v>0</v>
      </c>
      <c r="AW82" s="2">
        <f t="shared" si="152"/>
        <v>0</v>
      </c>
      <c r="AX82" s="2">
        <f t="shared" si="152"/>
        <v>0</v>
      </c>
      <c r="AY82" s="2">
        <f t="shared" si="152"/>
        <v>0</v>
      </c>
      <c r="BA82" s="2">
        <f t="shared" si="153"/>
        <v>0</v>
      </c>
      <c r="BB82" s="2">
        <f t="shared" si="154"/>
        <v>0</v>
      </c>
      <c r="BC82" s="2">
        <f t="shared" si="154"/>
        <v>0</v>
      </c>
      <c r="BD82" s="2">
        <f t="shared" si="154"/>
        <v>0</v>
      </c>
      <c r="BE82" s="2">
        <f t="shared" si="154"/>
        <v>0</v>
      </c>
      <c r="BF82" s="2">
        <f t="shared" si="154"/>
        <v>0</v>
      </c>
      <c r="BG82" s="2">
        <f t="shared" si="154"/>
        <v>0</v>
      </c>
      <c r="BI82" s="2">
        <f t="shared" si="155"/>
        <v>0</v>
      </c>
      <c r="BJ82" s="2">
        <f t="shared" si="156"/>
        <v>0</v>
      </c>
      <c r="BK82" s="2">
        <f t="shared" si="156"/>
        <v>0</v>
      </c>
      <c r="BL82" s="2">
        <f t="shared" si="156"/>
        <v>0</v>
      </c>
      <c r="BM82" s="2">
        <f t="shared" si="156"/>
        <v>0</v>
      </c>
      <c r="BN82" s="2">
        <f t="shared" si="156"/>
        <v>0</v>
      </c>
      <c r="BO82" s="2">
        <f t="shared" si="156"/>
        <v>0</v>
      </c>
    </row>
    <row r="83" spans="1:67">
      <c r="A83" s="50">
        <f t="shared" si="135"/>
        <v>83</v>
      </c>
      <c r="B83" s="51">
        <v>383</v>
      </c>
      <c r="C83" s="36" t="s">
        <v>154</v>
      </c>
      <c r="D83" s="28" t="s">
        <v>266</v>
      </c>
      <c r="E83" s="369">
        <f>PROFORMA!AY329</f>
        <v>0</v>
      </c>
      <c r="F83" s="60" t="str">
        <f>"as 383 Plant ("&amp;A$37&amp;")"</f>
        <v>as 383 Plant (37)</v>
      </c>
      <c r="G83" s="60"/>
      <c r="H83" s="2">
        <f t="shared" si="146"/>
        <v>0</v>
      </c>
      <c r="I83" s="2">
        <f t="shared" si="147"/>
        <v>0</v>
      </c>
      <c r="J83" s="2">
        <f t="shared" si="147"/>
        <v>0</v>
      </c>
      <c r="K83" s="2">
        <f t="shared" si="147"/>
        <v>0</v>
      </c>
      <c r="L83" s="2">
        <f t="shared" si="147"/>
        <v>0</v>
      </c>
      <c r="M83" s="2">
        <f t="shared" si="147"/>
        <v>0</v>
      </c>
      <c r="N83" s="2">
        <f t="shared" si="147"/>
        <v>0</v>
      </c>
      <c r="O83" s="2"/>
      <c r="P83" s="61" t="str">
        <f t="shared" si="157"/>
        <v>E83*     "</v>
      </c>
      <c r="Q83" s="61"/>
      <c r="R83" s="14">
        <f>R$37</f>
        <v>0</v>
      </c>
      <c r="S83" s="14">
        <f t="shared" ref="S83:AH83" si="167">S$37</f>
        <v>0</v>
      </c>
      <c r="T83" s="14">
        <f t="shared" si="167"/>
        <v>0</v>
      </c>
      <c r="U83" s="14">
        <f t="shared" si="167"/>
        <v>0</v>
      </c>
      <c r="V83" s="14">
        <f t="shared" si="167"/>
        <v>0</v>
      </c>
      <c r="W83" s="14">
        <f t="shared" si="167"/>
        <v>0</v>
      </c>
      <c r="X83" s="14">
        <f t="shared" si="167"/>
        <v>0</v>
      </c>
      <c r="Y83" s="14">
        <f t="shared" si="167"/>
        <v>0</v>
      </c>
      <c r="Z83" s="14">
        <f t="shared" si="167"/>
        <v>0</v>
      </c>
      <c r="AA83" s="14">
        <f t="shared" si="167"/>
        <v>0</v>
      </c>
      <c r="AB83" s="14">
        <f t="shared" si="167"/>
        <v>0</v>
      </c>
      <c r="AC83" s="14">
        <f t="shared" si="167"/>
        <v>0</v>
      </c>
      <c r="AD83" s="14">
        <f t="shared" si="167"/>
        <v>0</v>
      </c>
      <c r="AE83" s="14">
        <f t="shared" si="167"/>
        <v>0</v>
      </c>
      <c r="AF83" s="14">
        <f t="shared" si="167"/>
        <v>0</v>
      </c>
      <c r="AG83" s="14">
        <f t="shared" si="167"/>
        <v>0</v>
      </c>
      <c r="AH83" s="14">
        <f t="shared" si="167"/>
        <v>0</v>
      </c>
      <c r="AI83" s="76">
        <f t="shared" si="145"/>
        <v>0</v>
      </c>
      <c r="AK83" s="2">
        <f t="shared" si="149"/>
        <v>0</v>
      </c>
      <c r="AL83" s="2">
        <f t="shared" si="150"/>
        <v>0</v>
      </c>
      <c r="AM83" s="2">
        <f t="shared" si="150"/>
        <v>0</v>
      </c>
      <c r="AN83" s="2">
        <f t="shared" si="150"/>
        <v>0</v>
      </c>
      <c r="AO83" s="2">
        <f t="shared" si="150"/>
        <v>0</v>
      </c>
      <c r="AP83" s="2"/>
      <c r="AQ83" s="61" t="str">
        <f t="shared" si="159"/>
        <v>E83*      "</v>
      </c>
      <c r="AS83" s="2">
        <f t="shared" si="151"/>
        <v>0</v>
      </c>
      <c r="AT83" s="2">
        <f t="shared" si="152"/>
        <v>0</v>
      </c>
      <c r="AU83" s="2">
        <f t="shared" si="152"/>
        <v>0</v>
      </c>
      <c r="AV83" s="2">
        <f t="shared" si="152"/>
        <v>0</v>
      </c>
      <c r="AW83" s="2">
        <f t="shared" si="152"/>
        <v>0</v>
      </c>
      <c r="AX83" s="2">
        <f t="shared" si="152"/>
        <v>0</v>
      </c>
      <c r="AY83" s="2">
        <f t="shared" si="152"/>
        <v>0</v>
      </c>
      <c r="BA83" s="2">
        <f t="shared" si="153"/>
        <v>0</v>
      </c>
      <c r="BB83" s="2">
        <f t="shared" si="154"/>
        <v>0</v>
      </c>
      <c r="BC83" s="2">
        <f t="shared" si="154"/>
        <v>0</v>
      </c>
      <c r="BD83" s="2">
        <f t="shared" si="154"/>
        <v>0</v>
      </c>
      <c r="BE83" s="2">
        <f t="shared" si="154"/>
        <v>0</v>
      </c>
      <c r="BF83" s="2">
        <f t="shared" si="154"/>
        <v>0</v>
      </c>
      <c r="BG83" s="2">
        <f t="shared" si="154"/>
        <v>0</v>
      </c>
      <c r="BI83" s="2">
        <f t="shared" si="155"/>
        <v>0</v>
      </c>
      <c r="BJ83" s="2">
        <f t="shared" si="156"/>
        <v>0</v>
      </c>
      <c r="BK83" s="2">
        <f t="shared" si="156"/>
        <v>0</v>
      </c>
      <c r="BL83" s="2">
        <f t="shared" si="156"/>
        <v>0</v>
      </c>
      <c r="BM83" s="2">
        <f t="shared" si="156"/>
        <v>0</v>
      </c>
      <c r="BN83" s="2">
        <f t="shared" si="156"/>
        <v>0</v>
      </c>
      <c r="BO83" s="2">
        <f t="shared" si="156"/>
        <v>0</v>
      </c>
    </row>
    <row r="84" spans="1:67">
      <c r="A84" s="50">
        <f t="shared" si="135"/>
        <v>84</v>
      </c>
      <c r="B84" s="51">
        <v>384</v>
      </c>
      <c r="C84" s="36" t="s">
        <v>154</v>
      </c>
      <c r="D84" s="28" t="s">
        <v>267</v>
      </c>
      <c r="E84" s="369">
        <f>PROFORMA!AY330</f>
        <v>0</v>
      </c>
      <c r="F84" s="60" t="str">
        <f>"as 384 Plant ("&amp;A$38&amp;")"</f>
        <v>as 384 Plant (38)</v>
      </c>
      <c r="G84" s="60"/>
      <c r="H84" s="2">
        <f t="shared" si="146"/>
        <v>0</v>
      </c>
      <c r="I84" s="2">
        <f t="shared" si="147"/>
        <v>0</v>
      </c>
      <c r="J84" s="2">
        <f t="shared" si="147"/>
        <v>0</v>
      </c>
      <c r="K84" s="2">
        <f t="shared" si="147"/>
        <v>0</v>
      </c>
      <c r="L84" s="2">
        <f t="shared" si="147"/>
        <v>0</v>
      </c>
      <c r="M84" s="2">
        <f t="shared" si="147"/>
        <v>0</v>
      </c>
      <c r="N84" s="2">
        <f t="shared" si="147"/>
        <v>0</v>
      </c>
      <c r="O84" s="2"/>
      <c r="P84" s="61" t="str">
        <f t="shared" si="157"/>
        <v>E84*     "</v>
      </c>
      <c r="Q84" s="61"/>
      <c r="R84" s="14">
        <f>R$38</f>
        <v>0</v>
      </c>
      <c r="S84" s="14">
        <f t="shared" ref="S84:AH84" si="168">S$38</f>
        <v>0</v>
      </c>
      <c r="T84" s="14">
        <f t="shared" si="168"/>
        <v>0</v>
      </c>
      <c r="U84" s="14">
        <f t="shared" si="168"/>
        <v>0</v>
      </c>
      <c r="V84" s="14">
        <f t="shared" si="168"/>
        <v>0</v>
      </c>
      <c r="W84" s="14">
        <f t="shared" si="168"/>
        <v>0</v>
      </c>
      <c r="X84" s="14">
        <f t="shared" si="168"/>
        <v>0</v>
      </c>
      <c r="Y84" s="14">
        <f t="shared" si="168"/>
        <v>0</v>
      </c>
      <c r="Z84" s="14">
        <f t="shared" si="168"/>
        <v>0</v>
      </c>
      <c r="AA84" s="14">
        <f t="shared" si="168"/>
        <v>0</v>
      </c>
      <c r="AB84" s="14">
        <f t="shared" si="168"/>
        <v>1</v>
      </c>
      <c r="AC84" s="14">
        <f t="shared" si="168"/>
        <v>0</v>
      </c>
      <c r="AD84" s="14">
        <f t="shared" si="168"/>
        <v>0</v>
      </c>
      <c r="AE84" s="14">
        <f t="shared" si="168"/>
        <v>0</v>
      </c>
      <c r="AF84" s="14">
        <f t="shared" si="168"/>
        <v>0</v>
      </c>
      <c r="AG84" s="14">
        <f t="shared" si="168"/>
        <v>0</v>
      </c>
      <c r="AH84" s="14">
        <f t="shared" si="168"/>
        <v>0</v>
      </c>
      <c r="AI84" s="76">
        <f t="shared" si="145"/>
        <v>0</v>
      </c>
      <c r="AK84" s="2">
        <f t="shared" si="149"/>
        <v>0</v>
      </c>
      <c r="AL84" s="2">
        <f t="shared" si="150"/>
        <v>0</v>
      </c>
      <c r="AM84" s="2">
        <f t="shared" si="150"/>
        <v>0</v>
      </c>
      <c r="AN84" s="2">
        <f t="shared" si="150"/>
        <v>0</v>
      </c>
      <c r="AO84" s="2">
        <f t="shared" si="150"/>
        <v>0</v>
      </c>
      <c r="AP84" s="2"/>
      <c r="AQ84" s="61" t="str">
        <f t="shared" si="159"/>
        <v>E84*      "</v>
      </c>
      <c r="AS84" s="2">
        <f t="shared" si="151"/>
        <v>0</v>
      </c>
      <c r="AT84" s="2">
        <f t="shared" si="152"/>
        <v>0</v>
      </c>
      <c r="AU84" s="2">
        <f t="shared" si="152"/>
        <v>0</v>
      </c>
      <c r="AV84" s="2">
        <f t="shared" si="152"/>
        <v>0</v>
      </c>
      <c r="AW84" s="2">
        <f t="shared" si="152"/>
        <v>0</v>
      </c>
      <c r="AX84" s="2">
        <f t="shared" si="152"/>
        <v>0</v>
      </c>
      <c r="AY84" s="2">
        <f t="shared" si="152"/>
        <v>0</v>
      </c>
      <c r="BA84" s="2">
        <f t="shared" si="153"/>
        <v>0</v>
      </c>
      <c r="BB84" s="2">
        <f t="shared" si="154"/>
        <v>0</v>
      </c>
      <c r="BC84" s="2">
        <f t="shared" si="154"/>
        <v>0</v>
      </c>
      <c r="BD84" s="2">
        <f t="shared" si="154"/>
        <v>0</v>
      </c>
      <c r="BE84" s="2">
        <f t="shared" si="154"/>
        <v>0</v>
      </c>
      <c r="BF84" s="2">
        <f t="shared" si="154"/>
        <v>0</v>
      </c>
      <c r="BG84" s="2">
        <f t="shared" si="154"/>
        <v>0</v>
      </c>
      <c r="BI84" s="2">
        <f t="shared" si="155"/>
        <v>0</v>
      </c>
      <c r="BJ84" s="2">
        <f t="shared" si="156"/>
        <v>0</v>
      </c>
      <c r="BK84" s="2">
        <f t="shared" si="156"/>
        <v>0</v>
      </c>
      <c r="BL84" s="2">
        <f t="shared" si="156"/>
        <v>0</v>
      </c>
      <c r="BM84" s="2">
        <f t="shared" si="156"/>
        <v>0</v>
      </c>
      <c r="BN84" s="2">
        <f t="shared" si="156"/>
        <v>0</v>
      </c>
      <c r="BO84" s="2">
        <f t="shared" si="156"/>
        <v>0</v>
      </c>
    </row>
    <row r="85" spans="1:67">
      <c r="A85" s="50">
        <f t="shared" si="135"/>
        <v>85</v>
      </c>
      <c r="B85" s="51">
        <v>385</v>
      </c>
      <c r="C85" s="36" t="s">
        <v>154</v>
      </c>
      <c r="D85" s="28" t="s">
        <v>268</v>
      </c>
      <c r="E85" s="369">
        <f>PROFORMA!AY331</f>
        <v>-1581000</v>
      </c>
      <c r="F85" s="60" t="str">
        <f>"as 385 Plant ("&amp;A$39&amp;")"</f>
        <v>as 385 Plant (39)</v>
      </c>
      <c r="G85" s="60"/>
      <c r="H85" s="2">
        <f t="shared" si="146"/>
        <v>-1581000</v>
      </c>
      <c r="I85" s="2">
        <f t="shared" si="147"/>
        <v>0</v>
      </c>
      <c r="J85" s="2">
        <f t="shared" si="147"/>
        <v>-1485151.7480310455</v>
      </c>
      <c r="K85" s="2">
        <f t="shared" si="147"/>
        <v>0</v>
      </c>
      <c r="L85" s="2">
        <f t="shared" si="147"/>
        <v>-14126.106059748774</v>
      </c>
      <c r="M85" s="2">
        <f t="shared" si="147"/>
        <v>-81722.145909205778</v>
      </c>
      <c r="N85" s="2">
        <f t="shared" si="147"/>
        <v>0</v>
      </c>
      <c r="O85" s="2"/>
      <c r="P85" s="61" t="str">
        <f t="shared" si="157"/>
        <v>E85*     "</v>
      </c>
      <c r="Q85" s="61"/>
      <c r="R85" s="14">
        <f>R$39</f>
        <v>0</v>
      </c>
      <c r="S85" s="14">
        <f t="shared" ref="S85:AH85" si="169">S$39</f>
        <v>0</v>
      </c>
      <c r="T85" s="14">
        <f t="shared" si="169"/>
        <v>0</v>
      </c>
      <c r="U85" s="14">
        <f t="shared" si="169"/>
        <v>0</v>
      </c>
      <c r="V85" s="14">
        <f t="shared" si="169"/>
        <v>0</v>
      </c>
      <c r="W85" s="14">
        <f t="shared" si="169"/>
        <v>0</v>
      </c>
      <c r="X85" s="14">
        <f t="shared" si="169"/>
        <v>0</v>
      </c>
      <c r="Y85" s="14">
        <f t="shared" si="169"/>
        <v>0</v>
      </c>
      <c r="Z85" s="14">
        <f t="shared" si="169"/>
        <v>0</v>
      </c>
      <c r="AA85" s="14">
        <f t="shared" si="169"/>
        <v>0</v>
      </c>
      <c r="AB85" s="14">
        <f t="shared" si="169"/>
        <v>0</v>
      </c>
      <c r="AC85" s="14">
        <f t="shared" si="169"/>
        <v>0</v>
      </c>
      <c r="AD85" s="14">
        <f t="shared" si="169"/>
        <v>0</v>
      </c>
      <c r="AE85" s="14">
        <f t="shared" si="169"/>
        <v>0</v>
      </c>
      <c r="AF85" s="14">
        <f t="shared" si="169"/>
        <v>1</v>
      </c>
      <c r="AG85" s="14">
        <f t="shared" si="169"/>
        <v>0</v>
      </c>
      <c r="AH85" s="14">
        <f t="shared" si="169"/>
        <v>0</v>
      </c>
      <c r="AI85" s="76">
        <f t="shared" si="145"/>
        <v>0</v>
      </c>
      <c r="AK85" s="2">
        <f t="shared" si="149"/>
        <v>-1581000</v>
      </c>
      <c r="AL85" s="2">
        <f t="shared" si="150"/>
        <v>0</v>
      </c>
      <c r="AM85" s="2">
        <f t="shared" si="150"/>
        <v>0</v>
      </c>
      <c r="AN85" s="2">
        <f t="shared" si="150"/>
        <v>-1581000</v>
      </c>
      <c r="AO85" s="2">
        <f t="shared" si="150"/>
        <v>0</v>
      </c>
      <c r="AP85" s="2"/>
      <c r="AQ85" s="61" t="str">
        <f t="shared" si="159"/>
        <v>E85*      "</v>
      </c>
      <c r="AS85" s="2">
        <f t="shared" si="151"/>
        <v>0</v>
      </c>
      <c r="AT85" s="2">
        <f t="shared" si="152"/>
        <v>0</v>
      </c>
      <c r="AU85" s="2">
        <f t="shared" si="152"/>
        <v>0</v>
      </c>
      <c r="AV85" s="2">
        <f t="shared" si="152"/>
        <v>0</v>
      </c>
      <c r="AW85" s="2">
        <f t="shared" si="152"/>
        <v>0</v>
      </c>
      <c r="AX85" s="2">
        <f t="shared" si="152"/>
        <v>0</v>
      </c>
      <c r="AY85" s="2">
        <f t="shared" si="152"/>
        <v>0</v>
      </c>
      <c r="BA85" s="2">
        <f t="shared" si="153"/>
        <v>0</v>
      </c>
      <c r="BB85" s="2">
        <f t="shared" si="154"/>
        <v>0</v>
      </c>
      <c r="BC85" s="2">
        <f t="shared" si="154"/>
        <v>0</v>
      </c>
      <c r="BD85" s="2">
        <f t="shared" si="154"/>
        <v>0</v>
      </c>
      <c r="BE85" s="2">
        <f t="shared" si="154"/>
        <v>0</v>
      </c>
      <c r="BF85" s="2">
        <f t="shared" si="154"/>
        <v>0</v>
      </c>
      <c r="BG85" s="2">
        <f t="shared" si="154"/>
        <v>0</v>
      </c>
      <c r="BI85" s="2">
        <f t="shared" si="155"/>
        <v>-1581000</v>
      </c>
      <c r="BJ85" s="2">
        <f t="shared" si="156"/>
        <v>0</v>
      </c>
      <c r="BK85" s="2">
        <f t="shared" si="156"/>
        <v>-1485151.7480310455</v>
      </c>
      <c r="BL85" s="2">
        <f t="shared" si="156"/>
        <v>0</v>
      </c>
      <c r="BM85" s="2">
        <f t="shared" si="156"/>
        <v>-14126.106059748774</v>
      </c>
      <c r="BN85" s="2">
        <f t="shared" si="156"/>
        <v>-81722.145909205778</v>
      </c>
      <c r="BO85" s="2">
        <f t="shared" si="156"/>
        <v>0</v>
      </c>
    </row>
    <row r="86" spans="1:67">
      <c r="A86" s="50">
        <f t="shared" si="135"/>
        <v>86</v>
      </c>
      <c r="B86" s="51">
        <v>387</v>
      </c>
      <c r="C86" s="36" t="s">
        <v>154</v>
      </c>
      <c r="D86" s="28" t="s">
        <v>259</v>
      </c>
      <c r="E86" s="369">
        <f>PROFORMA!AY332</f>
        <v>0</v>
      </c>
      <c r="F86" s="60" t="str">
        <f>"as 387 Plant ("&amp;A$40&amp;")"</f>
        <v>as 387 Plant (40)</v>
      </c>
      <c r="G86" s="60"/>
      <c r="H86" s="2">
        <f t="shared" si="146"/>
        <v>0</v>
      </c>
      <c r="I86" s="2">
        <f t="shared" si="147"/>
        <v>0</v>
      </c>
      <c r="J86" s="2">
        <f t="shared" si="147"/>
        <v>0</v>
      </c>
      <c r="K86" s="2">
        <f t="shared" si="147"/>
        <v>0</v>
      </c>
      <c r="L86" s="2">
        <f t="shared" si="147"/>
        <v>0</v>
      </c>
      <c r="M86" s="2">
        <f t="shared" si="147"/>
        <v>0</v>
      </c>
      <c r="N86" s="2">
        <f t="shared" si="147"/>
        <v>0</v>
      </c>
      <c r="O86" s="2"/>
      <c r="P86" s="61" t="str">
        <f t="shared" si="157"/>
        <v>E86*     "</v>
      </c>
      <c r="Q86" s="61"/>
      <c r="R86" s="14">
        <f>R$40</f>
        <v>0.1933876764871075</v>
      </c>
      <c r="S86" s="14">
        <f t="shared" ref="S86:AH86" si="170">S$40</f>
        <v>0</v>
      </c>
      <c r="T86" s="14">
        <f t="shared" si="170"/>
        <v>0</v>
      </c>
      <c r="U86" s="14">
        <f t="shared" si="170"/>
        <v>0</v>
      </c>
      <c r="V86" s="14">
        <f t="shared" si="170"/>
        <v>0</v>
      </c>
      <c r="W86" s="14">
        <f t="shared" si="170"/>
        <v>0.31084546333511004</v>
      </c>
      <c r="X86" s="14">
        <f t="shared" si="170"/>
        <v>0</v>
      </c>
      <c r="Y86" s="14">
        <f t="shared" si="170"/>
        <v>0</v>
      </c>
      <c r="Z86" s="14">
        <f t="shared" si="170"/>
        <v>0</v>
      </c>
      <c r="AA86" s="14">
        <f t="shared" si="170"/>
        <v>0</v>
      </c>
      <c r="AB86" s="14">
        <f t="shared" si="170"/>
        <v>0</v>
      </c>
      <c r="AC86" s="14">
        <f t="shared" si="170"/>
        <v>0.3588897282899246</v>
      </c>
      <c r="AD86" s="14">
        <f t="shared" si="170"/>
        <v>0.13220566312906262</v>
      </c>
      <c r="AE86" s="14">
        <f t="shared" si="170"/>
        <v>0</v>
      </c>
      <c r="AF86" s="14">
        <f t="shared" si="170"/>
        <v>4.6714687587951949E-3</v>
      </c>
      <c r="AG86" s="14">
        <f t="shared" si="170"/>
        <v>0</v>
      </c>
      <c r="AH86" s="14">
        <f t="shared" si="170"/>
        <v>0</v>
      </c>
      <c r="AI86" s="76">
        <f t="shared" si="145"/>
        <v>0</v>
      </c>
      <c r="AK86" s="2">
        <f t="shared" si="149"/>
        <v>0</v>
      </c>
      <c r="AL86" s="2">
        <f t="shared" si="150"/>
        <v>0</v>
      </c>
      <c r="AM86" s="2">
        <f t="shared" si="150"/>
        <v>0</v>
      </c>
      <c r="AN86" s="2">
        <f t="shared" si="150"/>
        <v>0</v>
      </c>
      <c r="AO86" s="2">
        <f t="shared" si="150"/>
        <v>0</v>
      </c>
      <c r="AP86" s="2"/>
      <c r="AQ86" s="61" t="str">
        <f t="shared" si="159"/>
        <v>E86*      "</v>
      </c>
      <c r="AS86" s="2">
        <f t="shared" si="151"/>
        <v>0</v>
      </c>
      <c r="AT86" s="2">
        <f t="shared" si="152"/>
        <v>0</v>
      </c>
      <c r="AU86" s="2">
        <f t="shared" si="152"/>
        <v>0</v>
      </c>
      <c r="AV86" s="2">
        <f t="shared" si="152"/>
        <v>0</v>
      </c>
      <c r="AW86" s="2">
        <f t="shared" si="152"/>
        <v>0</v>
      </c>
      <c r="AX86" s="2">
        <f t="shared" si="152"/>
        <v>0</v>
      </c>
      <c r="AY86" s="2">
        <f t="shared" si="152"/>
        <v>0</v>
      </c>
      <c r="BA86" s="2">
        <f t="shared" si="153"/>
        <v>0</v>
      </c>
      <c r="BB86" s="2">
        <f t="shared" si="154"/>
        <v>0</v>
      </c>
      <c r="BC86" s="2">
        <f t="shared" si="154"/>
        <v>0</v>
      </c>
      <c r="BD86" s="2">
        <f t="shared" si="154"/>
        <v>0</v>
      </c>
      <c r="BE86" s="2">
        <f t="shared" si="154"/>
        <v>0</v>
      </c>
      <c r="BF86" s="2">
        <f t="shared" si="154"/>
        <v>0</v>
      </c>
      <c r="BG86" s="2">
        <f t="shared" si="154"/>
        <v>0</v>
      </c>
      <c r="BI86" s="2">
        <f t="shared" si="155"/>
        <v>0</v>
      </c>
      <c r="BJ86" s="2">
        <f t="shared" si="156"/>
        <v>0</v>
      </c>
      <c r="BK86" s="2">
        <f t="shared" si="156"/>
        <v>0</v>
      </c>
      <c r="BL86" s="2">
        <f t="shared" si="156"/>
        <v>0</v>
      </c>
      <c r="BM86" s="2">
        <f t="shared" si="156"/>
        <v>0</v>
      </c>
      <c r="BN86" s="2">
        <f t="shared" si="156"/>
        <v>0</v>
      </c>
      <c r="BO86" s="2">
        <f t="shared" si="156"/>
        <v>0</v>
      </c>
    </row>
    <row r="87" spans="1:67">
      <c r="A87" s="50">
        <f t="shared" si="135"/>
        <v>87</v>
      </c>
      <c r="B87" s="51"/>
      <c r="D87" s="52" t="s">
        <v>221</v>
      </c>
      <c r="E87" s="4">
        <f>SUM(E74:E86)</f>
        <v>-226474000</v>
      </c>
      <c r="F87" s="60"/>
      <c r="G87" s="60"/>
      <c r="H87" s="4">
        <f>IF(ROUND(SUM(H73:H86),3)&lt;&gt;ROUND(SUM(I87:N87),3),#VALUE!,SUM(H73:H86))</f>
        <v>-226474000</v>
      </c>
      <c r="I87" s="4">
        <f t="shared" ref="I87:N87" si="171">SUM(I73:I86)</f>
        <v>-173139142.77683884</v>
      </c>
      <c r="J87" s="4">
        <f t="shared" si="171"/>
        <v>-40999266.576714762</v>
      </c>
      <c r="K87" s="4">
        <f t="shared" si="171"/>
        <v>0</v>
      </c>
      <c r="L87" s="4">
        <f t="shared" si="171"/>
        <v>-1014430.4809833812</v>
      </c>
      <c r="M87" s="4">
        <f t="shared" si="171"/>
        <v>-11321160.165463034</v>
      </c>
      <c r="N87" s="4">
        <f t="shared" si="171"/>
        <v>0</v>
      </c>
      <c r="O87" s="5"/>
      <c r="P87" s="61" t="str">
        <f>$A73&amp;":"&amp;A86</f>
        <v>73:86</v>
      </c>
      <c r="Q87" s="61"/>
      <c r="R87" s="13">
        <f t="shared" ref="R87:AH87" si="172">SUMPRODUCT($E74:$E86,R$74:R$86)/$E87</f>
        <v>0.18302204178347239</v>
      </c>
      <c r="S87" s="13">
        <f t="shared" si="172"/>
        <v>0</v>
      </c>
      <c r="T87" s="13">
        <f t="shared" si="172"/>
        <v>0</v>
      </c>
      <c r="U87" s="13">
        <f t="shared" si="172"/>
        <v>0</v>
      </c>
      <c r="V87" s="13">
        <f t="shared" si="172"/>
        <v>0</v>
      </c>
      <c r="W87" s="13">
        <f t="shared" si="172"/>
        <v>0.2941840577029432</v>
      </c>
      <c r="X87" s="13">
        <f t="shared" si="172"/>
        <v>0</v>
      </c>
      <c r="Y87" s="13">
        <f t="shared" si="172"/>
        <v>0</v>
      </c>
      <c r="Z87" s="13">
        <f t="shared" si="172"/>
        <v>0</v>
      </c>
      <c r="AA87" s="13">
        <f t="shared" si="172"/>
        <v>0</v>
      </c>
      <c r="AB87" s="13">
        <f t="shared" si="172"/>
        <v>0</v>
      </c>
      <c r="AC87" s="13">
        <f t="shared" si="172"/>
        <v>0.42498046490199876</v>
      </c>
      <c r="AD87" s="13">
        <f t="shared" si="172"/>
        <v>9.0826293104735417E-2</v>
      </c>
      <c r="AE87" s="13">
        <f t="shared" si="172"/>
        <v>0</v>
      </c>
      <c r="AF87" s="13">
        <f t="shared" si="172"/>
        <v>6.9871425068502233E-3</v>
      </c>
      <c r="AG87" s="13">
        <f t="shared" si="172"/>
        <v>0</v>
      </c>
      <c r="AH87" s="13">
        <f t="shared" si="172"/>
        <v>0</v>
      </c>
      <c r="AI87" s="76">
        <f t="shared" si="145"/>
        <v>0</v>
      </c>
      <c r="AK87" s="4">
        <f>IF(ROUND(SUM(AK73:AK86),3)&lt;&gt;ROUND(SUM(AL87:AO87),3),#VALUE!,SUM(AK73:AK86))</f>
        <v>-226474000</v>
      </c>
      <c r="AL87" s="4">
        <f>SUM(AL73:AL86)</f>
        <v>-41449733.890870124</v>
      </c>
      <c r="AM87" s="4">
        <f>SUM(AM73:AM86)</f>
        <v>-66625040.284216359</v>
      </c>
      <c r="AN87" s="4">
        <f>SUM(AN73:AN86)</f>
        <v>-118399225.82491352</v>
      </c>
      <c r="AO87" s="4">
        <f>SUM(AO73:AO86)</f>
        <v>0</v>
      </c>
      <c r="AP87" s="5"/>
      <c r="AQ87" s="61" t="str">
        <f>$A73&amp;":"&amp;$A86</f>
        <v>73:86</v>
      </c>
      <c r="AS87" s="4">
        <f>IF(ROUND(SUM(AS73:AS86),3)&lt;&gt;ROUND(SUM(AT87:AY87),3),#VALUE!,SUM(AS73:AS86))</f>
        <v>-41449733.890870132</v>
      </c>
      <c r="AT87" s="4">
        <f t="shared" ref="AT87:AY87" si="173">SUM(AT73:AT86)</f>
        <v>-23810324.366518553</v>
      </c>
      <c r="AU87" s="4">
        <f t="shared" si="173"/>
        <v>-11536462.516974425</v>
      </c>
      <c r="AV87" s="4">
        <f t="shared" si="173"/>
        <v>0</v>
      </c>
      <c r="AW87" s="4">
        <f t="shared" si="173"/>
        <v>-471086.3530843535</v>
      </c>
      <c r="AX87" s="4">
        <f t="shared" si="173"/>
        <v>-5631860.6542927977</v>
      </c>
      <c r="AY87" s="4">
        <f t="shared" si="173"/>
        <v>0</v>
      </c>
      <c r="BA87" s="4">
        <f>IF(ROUND(SUM(BA73:BA86),3)&lt;&gt;ROUND(SUM(BB87:BG87),3),#VALUE!,SUM(BA73:BA86))</f>
        <v>-66625040.284216352</v>
      </c>
      <c r="BB87" s="4">
        <f t="shared" ref="BB87:BG87" si="174">SUM(BB73:BB86)</f>
        <v>-37666564.538152821</v>
      </c>
      <c r="BC87" s="4">
        <f t="shared" si="174"/>
        <v>-23245987.157748632</v>
      </c>
      <c r="BD87" s="4">
        <f t="shared" si="174"/>
        <v>0</v>
      </c>
      <c r="BE87" s="4">
        <f t="shared" si="174"/>
        <v>-500873.72609854519</v>
      </c>
      <c r="BF87" s="4">
        <f t="shared" si="174"/>
        <v>-5211614.8622163441</v>
      </c>
      <c r="BG87" s="4">
        <f t="shared" si="174"/>
        <v>0</v>
      </c>
      <c r="BI87" s="4">
        <f>IF(ROUND(SUM(BI73:BI86),3)&lt;&gt;ROUND(SUM(BJ87:BO87),3),#VALUE!,SUM(BI73:BI86))</f>
        <v>-118399225.82491353</v>
      </c>
      <c r="BJ87" s="4">
        <f t="shared" ref="BJ87:BO87" si="175">SUM(BJ73:BJ86)</f>
        <v>-111662253.87216744</v>
      </c>
      <c r="BK87" s="4">
        <f t="shared" si="175"/>
        <v>-6216816.9019917045</v>
      </c>
      <c r="BL87" s="4">
        <f t="shared" si="175"/>
        <v>0</v>
      </c>
      <c r="BM87" s="4">
        <f t="shared" si="175"/>
        <v>-42470.401800482497</v>
      </c>
      <c r="BN87" s="4">
        <f t="shared" si="175"/>
        <v>-477684.64895389194</v>
      </c>
      <c r="BO87" s="4">
        <f t="shared" si="175"/>
        <v>0</v>
      </c>
    </row>
    <row r="88" spans="1:67">
      <c r="B88" s="51"/>
      <c r="D88" s="52"/>
      <c r="E88" s="5"/>
      <c r="F88" s="60"/>
      <c r="G88" s="60"/>
      <c r="H88" s="5"/>
      <c r="I88" s="5"/>
      <c r="J88" s="5"/>
      <c r="K88" s="5"/>
      <c r="L88" s="5"/>
      <c r="M88" s="5"/>
      <c r="N88" s="5"/>
      <c r="O88" s="5"/>
      <c r="P88" s="61"/>
      <c r="Q88" s="6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76"/>
      <c r="AK88" s="5"/>
      <c r="AL88" s="5"/>
      <c r="AM88" s="5"/>
      <c r="AN88" s="5"/>
      <c r="AO88" s="5"/>
      <c r="AP88" s="5"/>
      <c r="AQ88" s="61"/>
      <c r="AS88" s="5"/>
      <c r="AT88" s="5"/>
      <c r="AU88" s="5"/>
      <c r="AV88" s="5"/>
      <c r="AW88" s="5"/>
      <c r="AX88" s="5"/>
      <c r="AY88" s="5"/>
      <c r="BA88" s="5"/>
      <c r="BB88" s="5"/>
      <c r="BC88" s="5"/>
      <c r="BD88" s="5"/>
      <c r="BE88" s="5"/>
      <c r="BF88" s="5"/>
      <c r="BG88" s="5"/>
      <c r="BI88" s="5"/>
      <c r="BJ88" s="5"/>
      <c r="BK88" s="5"/>
      <c r="BL88" s="5"/>
      <c r="BM88" s="5"/>
      <c r="BN88" s="5"/>
      <c r="BO88" s="5"/>
    </row>
    <row r="89" spans="1:67">
      <c r="A89" s="50">
        <f>RowHdr</f>
        <v>89</v>
      </c>
      <c r="B89" s="51"/>
      <c r="D89" t="s">
        <v>402</v>
      </c>
      <c r="E89" s="2">
        <f>E71+E87</f>
        <v>-240968000</v>
      </c>
      <c r="F89" s="60" t="str">
        <f>"("&amp;A$24&amp;"+"&amp;A$41&amp;")"</f>
        <v>(24+41)</v>
      </c>
      <c r="G89" s="60" t="s">
        <v>403</v>
      </c>
      <c r="H89" s="2">
        <f t="shared" ref="H89:M89" si="176">H71+H87</f>
        <v>-240968000</v>
      </c>
      <c r="I89" s="2">
        <f t="shared" si="176"/>
        <v>-183487018.76501834</v>
      </c>
      <c r="J89" s="2">
        <f t="shared" si="176"/>
        <v>-44858303.754477091</v>
      </c>
      <c r="K89" s="2">
        <f t="shared" si="176"/>
        <v>0</v>
      </c>
      <c r="L89" s="2">
        <f t="shared" si="176"/>
        <v>-1119511.9793526405</v>
      </c>
      <c r="M89" s="2">
        <f t="shared" si="176"/>
        <v>-11503165.501151944</v>
      </c>
      <c r="N89" s="2">
        <f>N70+N87</f>
        <v>0</v>
      </c>
      <c r="O89" s="2"/>
      <c r="P89" s="61"/>
      <c r="Q89" s="61"/>
      <c r="R89" s="14">
        <f>($E71*R71+$E87*R87)/$E89</f>
        <v>0.17201343701599434</v>
      </c>
      <c r="S89" s="14">
        <f>($E71*S71+$E87*S87)/$E89</f>
        <v>0</v>
      </c>
      <c r="T89" s="14">
        <f>($E71*T71+$E87*T87)/$E89</f>
        <v>7.8193785066896851E-3</v>
      </c>
      <c r="U89" s="14">
        <f t="shared" ref="U89:AH89" si="177">($E71*U71+$E87*U87)/$E89</f>
        <v>5.2329686929384812E-2</v>
      </c>
      <c r="V89" s="14">
        <f t="shared" si="177"/>
        <v>0</v>
      </c>
      <c r="W89" s="14">
        <f>($E71*W71+$E87*W87)/$E89</f>
        <v>0.27648916156591896</v>
      </c>
      <c r="X89" s="14">
        <f t="shared" si="177"/>
        <v>0</v>
      </c>
      <c r="Y89" s="14">
        <f t="shared" si="177"/>
        <v>0</v>
      </c>
      <c r="Z89" s="14">
        <f t="shared" si="177"/>
        <v>0</v>
      </c>
      <c r="AA89" s="14">
        <f t="shared" si="177"/>
        <v>0</v>
      </c>
      <c r="AB89" s="14">
        <f t="shared" si="177"/>
        <v>0</v>
      </c>
      <c r="AC89" s="14">
        <f t="shared" si="177"/>
        <v>0.39941828710955507</v>
      </c>
      <c r="AD89" s="14">
        <f t="shared" si="177"/>
        <v>8.5363176457462608E-2</v>
      </c>
      <c r="AE89" s="14">
        <f t="shared" si="177"/>
        <v>0</v>
      </c>
      <c r="AF89" s="14">
        <f t="shared" si="177"/>
        <v>6.5668724149945115E-3</v>
      </c>
      <c r="AG89" s="14">
        <f t="shared" si="177"/>
        <v>0</v>
      </c>
      <c r="AH89" s="14">
        <f t="shared" si="177"/>
        <v>0</v>
      </c>
      <c r="AI89" s="76">
        <f t="shared" ref="AI89:AI114" si="178">IF(SUM(R89:AH89)&lt;&gt;0,(ROUND(SUM(R89:AH89),8)&lt;&gt;1)+0,0)</f>
        <v>0</v>
      </c>
      <c r="AP89" s="2"/>
      <c r="AQ89" s="61"/>
      <c r="AS89" s="2"/>
      <c r="AT89" s="2"/>
      <c r="AU89" s="2"/>
      <c r="AV89" s="2"/>
      <c r="AW89" s="2"/>
      <c r="AX89" s="2"/>
      <c r="AY89" s="2"/>
      <c r="BA89" s="2"/>
      <c r="BB89" s="2"/>
      <c r="BC89" s="2"/>
      <c r="BD89" s="2"/>
      <c r="BE89" s="2"/>
      <c r="BF89" s="2"/>
      <c r="BG89" s="2"/>
      <c r="BI89" s="2"/>
      <c r="BJ89" s="2"/>
      <c r="BK89" s="2"/>
      <c r="BL89" s="2"/>
      <c r="BM89" s="2"/>
      <c r="BN89" s="2"/>
      <c r="BO89" s="2"/>
    </row>
    <row r="90" spans="1:67">
      <c r="A90" s="50">
        <f t="shared" si="135"/>
        <v>90</v>
      </c>
      <c r="B90" s="51"/>
      <c r="E90" s="2"/>
      <c r="F90" s="60"/>
      <c r="G90" s="60"/>
      <c r="P90" s="61"/>
      <c r="Q90" s="61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76">
        <f t="shared" si="178"/>
        <v>0</v>
      </c>
      <c r="AQ90" s="61"/>
    </row>
    <row r="91" spans="1:67">
      <c r="A91" s="50">
        <f t="shared" si="135"/>
        <v>91</v>
      </c>
      <c r="B91" s="51"/>
      <c r="D91" t="s">
        <v>106</v>
      </c>
      <c r="E91" s="2"/>
      <c r="F91" s="60"/>
      <c r="G91" s="60"/>
      <c r="P91" s="61"/>
      <c r="Q91" s="61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76">
        <f t="shared" si="178"/>
        <v>0</v>
      </c>
      <c r="AQ91" s="61"/>
    </row>
    <row r="92" spans="1:67">
      <c r="A92" s="50">
        <f t="shared" si="135"/>
        <v>92</v>
      </c>
      <c r="B92" s="51">
        <v>389</v>
      </c>
      <c r="C92" s="36" t="s">
        <v>151</v>
      </c>
      <c r="D92" s="28" t="s">
        <v>252</v>
      </c>
      <c r="E92" s="369">
        <f>PROFORMA!AY336</f>
        <v>-72000</v>
      </c>
      <c r="F92" s="60" t="str">
        <f>"as 389 Plant ("&amp;A$46&amp;")"</f>
        <v>as 389 Plant (46)</v>
      </c>
      <c r="G92" s="60"/>
      <c r="H92" s="2">
        <f t="shared" ref="H92:H101" si="179">SUM(I92:N92)</f>
        <v>-72000</v>
      </c>
      <c r="I92" s="2">
        <f t="shared" ref="I92:N101" si="180">$E92*SUMPRODUCT($R92:$AH92,INDEX(AllocFactors,I$4,0))</f>
        <v>-60603.924053070165</v>
      </c>
      <c r="J92" s="2">
        <f t="shared" si="180"/>
        <v>-9196.929960819838</v>
      </c>
      <c r="K92" s="2">
        <f t="shared" si="180"/>
        <v>0</v>
      </c>
      <c r="L92" s="2">
        <f t="shared" si="180"/>
        <v>-221.94405938814668</v>
      </c>
      <c r="M92" s="2">
        <f t="shared" si="180"/>
        <v>-1977.2019267218552</v>
      </c>
      <c r="N92" s="2">
        <f t="shared" si="180"/>
        <v>0</v>
      </c>
      <c r="O92" s="2"/>
      <c r="P92" s="61" t="s">
        <v>997</v>
      </c>
      <c r="Q92" s="61"/>
      <c r="R92" s="14">
        <f t="shared" ref="R92:R101" si="181">(R$116*0.25)+(R$255*0.25)+(BS$254*0.25)</f>
        <v>9.9370957155623774E-2</v>
      </c>
      <c r="S92" s="14">
        <f t="shared" ref="S92:S101" si="182">(S$116*0.25)+(S$255*0.25)+(BT$254*0.25)</f>
        <v>1.5218388550417537E-2</v>
      </c>
      <c r="T92" s="14">
        <f t="shared" ref="T92:T101" si="183">(T$116*0.25)+(T$255*0.25)+(BU$254*0.25)</f>
        <v>8.699877677308605E-3</v>
      </c>
      <c r="U92" s="14">
        <f t="shared" ref="U92:U101" si="184">(U$116*0.25)+(U$255*0.25)+(BV$254*0.25)</f>
        <v>5.822225830198835E-2</v>
      </c>
      <c r="V92" s="14">
        <f t="shared" ref="V92:V101" si="185">(V$116*0.25)+(V$255*0.25)+(BW$254*0.25)</f>
        <v>0</v>
      </c>
      <c r="W92" s="14">
        <f t="shared" ref="W92:W101" si="186">(W$116*0.25)+(W$255*0.25)+(BX$254*0.25)</f>
        <v>0.15327818313927072</v>
      </c>
      <c r="X92" s="14">
        <f t="shared" ref="X92:X101" si="187">(X$116*0.25)+(X$255*0.25)+(BY$254*0.25)</f>
        <v>0</v>
      </c>
      <c r="Y92" s="14">
        <f t="shared" ref="Y92:Y101" si="188">(Y$116*0.25)+(Y$255*0.25)+(BZ$254*0.25)</f>
        <v>0</v>
      </c>
      <c r="Z92" s="14">
        <f t="shared" ref="Z92:Z101" si="189">(Z$116*0.25)+(Z$255*0.25)+(CA$254*0.25)</f>
        <v>0</v>
      </c>
      <c r="AA92" s="14">
        <f t="shared" ref="AA92:AA101" si="190">(AA$116*0.25)+(AA$255*0.25)+(CB$254*0.25)</f>
        <v>0</v>
      </c>
      <c r="AB92" s="14">
        <f t="shared" ref="AB92:AB101" si="191">(AB$116*0.25)+(AB$255*0.25)+(CC$254*0.25)+0.25</f>
        <v>0.41313387731559803</v>
      </c>
      <c r="AC92" s="14">
        <f t="shared" ref="AC92:AC101" si="192">(AC$116*0.25)+(AC$255*0.25)+(CD$254*0.25)</f>
        <v>0.17108548237195526</v>
      </c>
      <c r="AD92" s="14">
        <f t="shared" ref="AD92:AD101" si="193">(AD$116*0.25)+(AD$255*0.25)+(CE$254*0.25)</f>
        <v>7.9473703927617212E-2</v>
      </c>
      <c r="AE92" s="14">
        <f t="shared" ref="AE92:AE101" si="194">(AE$116*0.25)+(AE$255*0.25)+(CF$254*0.25)</f>
        <v>0</v>
      </c>
      <c r="AF92" s="14">
        <f t="shared" ref="AF92:AF101" si="195">(AF$116*0.25)+(AF$255*0.25)+(CG$254*0.25)</f>
        <v>1.5172715602204624E-3</v>
      </c>
      <c r="AG92" s="14">
        <f t="shared" ref="AG92:AG101" si="196">(AG$116*0.25)+(AG$255*0.25)+(CH$254*0.25)</f>
        <v>0</v>
      </c>
      <c r="AH92" s="14">
        <f t="shared" ref="AH92:AH101" si="197">(AH$116*0.25)+(AH$255*0.25)+(CI$254*0.25)</f>
        <v>-1.4146429571039994E-18</v>
      </c>
      <c r="AI92" s="76">
        <f t="shared" si="178"/>
        <v>0</v>
      </c>
      <c r="AK92" s="2">
        <f t="shared" ref="AK92:AK101" si="198">SUM(AL92:AO92)</f>
        <v>-72000</v>
      </c>
      <c r="AL92" s="2">
        <f t="shared" ref="AL92:AO101" si="199">SUMIF($R$4:$AH$4,AL$5,$R92:$AH92)*$E92</f>
        <v>-13068.826681344355</v>
      </c>
      <c r="AM92" s="2">
        <f t="shared" si="199"/>
        <v>-11036.029186027492</v>
      </c>
      <c r="AN92" s="2">
        <f t="shared" si="199"/>
        <v>-47895.144132628149</v>
      </c>
      <c r="AO92" s="2">
        <f t="shared" si="199"/>
        <v>1.0185429291148796E-13</v>
      </c>
      <c r="AP92" s="2"/>
      <c r="AQ92" s="61" t="str">
        <f>E$1&amp;$A92&amp;"*["&amp;R$1&amp;$A92&amp;":"&amp;$AH$1&amp;$A92&amp;" when "&amp;R$1&amp;$A$4&amp;":"&amp;$AH$1&amp;$A$4&amp;" = E,D,C,or R]"</f>
        <v>E92*[R92:AH92 when R4:AH4 = E,D,C,or R]</v>
      </c>
      <c r="AS92" s="2">
        <f t="shared" ref="AS92:AS101" si="200">SUM(AT92:AY92)</f>
        <v>-13068.826681344359</v>
      </c>
      <c r="AT92" s="2">
        <f t="shared" ref="AT92:AY101" si="201">$E92*SUMPRODUCT($R92:$V92,INDEX(AllocFactors_E,AT$4,0))</f>
        <v>-8278.3889514152306</v>
      </c>
      <c r="AU92" s="2">
        <f t="shared" si="201"/>
        <v>-3627.1471170072855</v>
      </c>
      <c r="AV92" s="2">
        <f t="shared" si="201"/>
        <v>0</v>
      </c>
      <c r="AW92" s="2">
        <f t="shared" si="201"/>
        <v>-130.65962735504763</v>
      </c>
      <c r="AX92" s="2">
        <f t="shared" si="201"/>
        <v>-1032.6309855667942</v>
      </c>
      <c r="AY92" s="2">
        <f t="shared" si="201"/>
        <v>0</v>
      </c>
      <c r="BA92" s="2">
        <f t="shared" ref="BA92:BA101" si="202">SUM(BB92:BG92)</f>
        <v>-11036.02918602749</v>
      </c>
      <c r="BB92" s="2">
        <f t="shared" ref="BB92:BG101" si="203">$E92*SUMPRODUCT($W92:$AA92,INDEX(AllocFactors_D,BB$4,0))</f>
        <v>-6239.2353356508302</v>
      </c>
      <c r="BC92" s="2">
        <f t="shared" si="203"/>
        <v>-3850.5551611907986</v>
      </c>
      <c r="BD92" s="2">
        <f t="shared" si="203"/>
        <v>0</v>
      </c>
      <c r="BE92" s="2">
        <f t="shared" si="203"/>
        <v>-82.966659924818103</v>
      </c>
      <c r="BF92" s="2">
        <f t="shared" si="203"/>
        <v>-863.27202926104326</v>
      </c>
      <c r="BG92" s="2">
        <f t="shared" si="203"/>
        <v>0</v>
      </c>
      <c r="BI92" s="2">
        <f t="shared" ref="BI92:BI101" si="204">SUM(BJ92:BO92)</f>
        <v>-47895.144132628157</v>
      </c>
      <c r="BJ92" s="2">
        <f t="shared" ref="BJ92:BO101" si="205">$E92*SUMPRODUCT($AB92:$AG92,INDEX(AllocFactors_C,BJ$4,0))</f>
        <v>-46086.2997660041</v>
      </c>
      <c r="BK92" s="2">
        <f t="shared" si="205"/>
        <v>-1719.2276826217542</v>
      </c>
      <c r="BL92" s="2">
        <f t="shared" si="205"/>
        <v>0</v>
      </c>
      <c r="BM92" s="2">
        <f t="shared" si="205"/>
        <v>-8.3177721082809271</v>
      </c>
      <c r="BN92" s="2">
        <f t="shared" si="205"/>
        <v>-81.298911894018119</v>
      </c>
      <c r="BO92" s="2">
        <f t="shared" si="205"/>
        <v>0</v>
      </c>
    </row>
    <row r="93" spans="1:67">
      <c r="A93" s="50">
        <f t="shared" si="135"/>
        <v>93</v>
      </c>
      <c r="B93" s="51">
        <v>390</v>
      </c>
      <c r="C93" s="36" t="s">
        <v>151</v>
      </c>
      <c r="D93" s="28" t="s">
        <v>253</v>
      </c>
      <c r="E93" s="369">
        <f>PROFORMA!AY337</f>
        <v>-7546000</v>
      </c>
      <c r="F93" s="60" t="str">
        <f>"as 390 Plant ("&amp;A$47&amp;")"</f>
        <v>as 390 Plant (47)</v>
      </c>
      <c r="G93" s="60"/>
      <c r="H93" s="2">
        <f t="shared" si="179"/>
        <v>-7546000.0000000009</v>
      </c>
      <c r="I93" s="2">
        <f t="shared" si="180"/>
        <v>-6351627.9292287147</v>
      </c>
      <c r="J93" s="2">
        <f t="shared" si="180"/>
        <v>-963889.35394925694</v>
      </c>
      <c r="K93" s="2">
        <f t="shared" si="180"/>
        <v>0</v>
      </c>
      <c r="L93" s="2">
        <f t="shared" si="180"/>
        <v>-23260.970446429928</v>
      </c>
      <c r="M93" s="2">
        <f t="shared" si="180"/>
        <v>-207221.74637559889</v>
      </c>
      <c r="N93" s="2">
        <f t="shared" si="180"/>
        <v>0</v>
      </c>
      <c r="O93" s="2"/>
      <c r="P93" s="61" t="s">
        <v>997</v>
      </c>
      <c r="Q93" s="61"/>
      <c r="R93" s="14">
        <f t="shared" si="181"/>
        <v>9.9370957155623774E-2</v>
      </c>
      <c r="S93" s="14">
        <f t="shared" si="182"/>
        <v>1.5218388550417537E-2</v>
      </c>
      <c r="T93" s="14">
        <f t="shared" si="183"/>
        <v>8.699877677308605E-3</v>
      </c>
      <c r="U93" s="14">
        <f t="shared" si="184"/>
        <v>5.822225830198835E-2</v>
      </c>
      <c r="V93" s="14">
        <f t="shared" si="185"/>
        <v>0</v>
      </c>
      <c r="W93" s="14">
        <f t="shared" si="186"/>
        <v>0.15327818313927072</v>
      </c>
      <c r="X93" s="14">
        <f t="shared" si="187"/>
        <v>0</v>
      </c>
      <c r="Y93" s="14">
        <f t="shared" si="188"/>
        <v>0</v>
      </c>
      <c r="Z93" s="14">
        <f t="shared" si="189"/>
        <v>0</v>
      </c>
      <c r="AA93" s="14">
        <f t="shared" si="190"/>
        <v>0</v>
      </c>
      <c r="AB93" s="14">
        <f t="shared" si="191"/>
        <v>0.41313387731559803</v>
      </c>
      <c r="AC93" s="14">
        <f t="shared" si="192"/>
        <v>0.17108548237195526</v>
      </c>
      <c r="AD93" s="14">
        <f t="shared" si="193"/>
        <v>7.9473703927617212E-2</v>
      </c>
      <c r="AE93" s="14">
        <f t="shared" si="194"/>
        <v>0</v>
      </c>
      <c r="AF93" s="14">
        <f t="shared" si="195"/>
        <v>1.5172715602204624E-3</v>
      </c>
      <c r="AG93" s="14">
        <f t="shared" si="196"/>
        <v>0</v>
      </c>
      <c r="AH93" s="14">
        <f t="shared" si="197"/>
        <v>-1.4146429571039994E-18</v>
      </c>
      <c r="AI93" s="76">
        <f t="shared" si="178"/>
        <v>0</v>
      </c>
      <c r="AK93" s="2">
        <f t="shared" si="198"/>
        <v>-7546000</v>
      </c>
      <c r="AL93" s="2">
        <f t="shared" si="199"/>
        <v>-1369685.6407975624</v>
      </c>
      <c r="AM93" s="2">
        <f t="shared" si="199"/>
        <v>-1156637.1699689368</v>
      </c>
      <c r="AN93" s="2">
        <f t="shared" si="199"/>
        <v>-5019677.1892335005</v>
      </c>
      <c r="AO93" s="2">
        <f t="shared" si="199"/>
        <v>1.067489575430678E-11</v>
      </c>
      <c r="AP93" s="2"/>
      <c r="AQ93" s="61" t="str">
        <f t="shared" ref="AQ93:AQ101" si="206">E$1&amp;$A93&amp;"*      """</f>
        <v>E93*      "</v>
      </c>
      <c r="AS93" s="2">
        <f t="shared" si="200"/>
        <v>-1369685.6407975629</v>
      </c>
      <c r="AT93" s="2">
        <f t="shared" si="201"/>
        <v>-867621.15315804619</v>
      </c>
      <c r="AU93" s="2">
        <f t="shared" si="201"/>
        <v>-380145.16867968027</v>
      </c>
      <c r="AV93" s="2">
        <f t="shared" si="201"/>
        <v>0</v>
      </c>
      <c r="AW93" s="2">
        <f t="shared" si="201"/>
        <v>-13693.854833627631</v>
      </c>
      <c r="AX93" s="2">
        <f t="shared" si="201"/>
        <v>-108225.46412620872</v>
      </c>
      <c r="AY93" s="2">
        <f t="shared" si="201"/>
        <v>0</v>
      </c>
      <c r="BA93" s="2">
        <f t="shared" si="202"/>
        <v>-1156637.1699689368</v>
      </c>
      <c r="BB93" s="2">
        <f t="shared" si="203"/>
        <v>-653906.52559473843</v>
      </c>
      <c r="BC93" s="2">
        <f t="shared" si="203"/>
        <v>-403559.57286591345</v>
      </c>
      <c r="BD93" s="2">
        <f t="shared" si="203"/>
        <v>0</v>
      </c>
      <c r="BE93" s="2">
        <f t="shared" si="203"/>
        <v>-8695.3668860094076</v>
      </c>
      <c r="BF93" s="2">
        <f t="shared" si="203"/>
        <v>-90475.704622275458</v>
      </c>
      <c r="BG93" s="2">
        <f t="shared" si="203"/>
        <v>0</v>
      </c>
      <c r="BI93" s="2">
        <f t="shared" si="204"/>
        <v>-5019677.1892335005</v>
      </c>
      <c r="BJ93" s="2">
        <f t="shared" si="205"/>
        <v>-4830100.2504759301</v>
      </c>
      <c r="BK93" s="2">
        <f t="shared" si="205"/>
        <v>-180184.61240366331</v>
      </c>
      <c r="BL93" s="2">
        <f t="shared" si="205"/>
        <v>0</v>
      </c>
      <c r="BM93" s="2">
        <f t="shared" si="205"/>
        <v>-871.74872679288717</v>
      </c>
      <c r="BN93" s="2">
        <f t="shared" si="205"/>
        <v>-8520.5776271147315</v>
      </c>
      <c r="BO93" s="2">
        <f t="shared" si="205"/>
        <v>0</v>
      </c>
    </row>
    <row r="94" spans="1:67">
      <c r="A94" s="50">
        <f t="shared" si="135"/>
        <v>94</v>
      </c>
      <c r="B94" s="51">
        <v>391</v>
      </c>
      <c r="C94" s="36" t="s">
        <v>151</v>
      </c>
      <c r="D94" s="28" t="s">
        <v>269</v>
      </c>
      <c r="E94" s="369">
        <f>PROFORMA!AY338</f>
        <v>-11162000</v>
      </c>
      <c r="F94" s="60" t="str">
        <f>"as 391 Plant ("&amp;A$48&amp;")"</f>
        <v>as 391 Plant (48)</v>
      </c>
      <c r="G94" s="60"/>
      <c r="H94" s="2">
        <f t="shared" si="179"/>
        <v>-11161999.999999998</v>
      </c>
      <c r="I94" s="2">
        <f t="shared" si="180"/>
        <v>-9395291.6705606822</v>
      </c>
      <c r="J94" s="2">
        <f t="shared" si="180"/>
        <v>-1425779.6142037644</v>
      </c>
      <c r="K94" s="2">
        <f t="shared" si="180"/>
        <v>0</v>
      </c>
      <c r="L94" s="2">
        <f t="shared" si="180"/>
        <v>-34407.494317923512</v>
      </c>
      <c r="M94" s="2">
        <f t="shared" si="180"/>
        <v>-306521.22091762983</v>
      </c>
      <c r="N94" s="2">
        <f t="shared" si="180"/>
        <v>0</v>
      </c>
      <c r="O94" s="2"/>
      <c r="P94" s="61" t="s">
        <v>997</v>
      </c>
      <c r="Q94" s="61"/>
      <c r="R94" s="14">
        <f t="shared" si="181"/>
        <v>9.9370957155623774E-2</v>
      </c>
      <c r="S94" s="14">
        <f t="shared" si="182"/>
        <v>1.5218388550417537E-2</v>
      </c>
      <c r="T94" s="14">
        <f t="shared" si="183"/>
        <v>8.699877677308605E-3</v>
      </c>
      <c r="U94" s="14">
        <f t="shared" si="184"/>
        <v>5.822225830198835E-2</v>
      </c>
      <c r="V94" s="14">
        <f t="shared" si="185"/>
        <v>0</v>
      </c>
      <c r="W94" s="14">
        <f t="shared" si="186"/>
        <v>0.15327818313927072</v>
      </c>
      <c r="X94" s="14">
        <f t="shared" si="187"/>
        <v>0</v>
      </c>
      <c r="Y94" s="14">
        <f t="shared" si="188"/>
        <v>0</v>
      </c>
      <c r="Z94" s="14">
        <f t="shared" si="189"/>
        <v>0</v>
      </c>
      <c r="AA94" s="14">
        <f t="shared" si="190"/>
        <v>0</v>
      </c>
      <c r="AB94" s="14">
        <f t="shared" si="191"/>
        <v>0.41313387731559803</v>
      </c>
      <c r="AC94" s="14">
        <f t="shared" si="192"/>
        <v>0.17108548237195526</v>
      </c>
      <c r="AD94" s="14">
        <f t="shared" si="193"/>
        <v>7.9473703927617212E-2</v>
      </c>
      <c r="AE94" s="14">
        <f t="shared" si="194"/>
        <v>0</v>
      </c>
      <c r="AF94" s="14">
        <f t="shared" si="195"/>
        <v>1.5172715602204624E-3</v>
      </c>
      <c r="AG94" s="14">
        <f t="shared" si="196"/>
        <v>0</v>
      </c>
      <c r="AH94" s="14">
        <f t="shared" si="197"/>
        <v>-1.4146429571039994E-18</v>
      </c>
      <c r="AI94" s="76">
        <f t="shared" si="178"/>
        <v>0</v>
      </c>
      <c r="AK94" s="2">
        <f t="shared" si="198"/>
        <v>-11162000</v>
      </c>
      <c r="AL94" s="2">
        <f t="shared" si="199"/>
        <v>-2026031.1585717457</v>
      </c>
      <c r="AM94" s="2">
        <f t="shared" si="199"/>
        <v>-1710891.0802005397</v>
      </c>
      <c r="AN94" s="2">
        <f t="shared" si="199"/>
        <v>-7425077.7612277139</v>
      </c>
      <c r="AO94" s="2">
        <f t="shared" si="199"/>
        <v>1.579024468719484E-11</v>
      </c>
      <c r="AP94" s="2"/>
      <c r="AQ94" s="61" t="str">
        <f t="shared" si="206"/>
        <v>E94*      "</v>
      </c>
      <c r="AS94" s="2">
        <f t="shared" si="200"/>
        <v>-2026031.1585717462</v>
      </c>
      <c r="AT94" s="2">
        <f t="shared" si="201"/>
        <v>-1283380.2427180111</v>
      </c>
      <c r="AU94" s="2">
        <f t="shared" si="201"/>
        <v>-562308.55722271279</v>
      </c>
      <c r="AV94" s="2">
        <f t="shared" si="201"/>
        <v>0</v>
      </c>
      <c r="AW94" s="2">
        <f t="shared" si="201"/>
        <v>-20255.871674125578</v>
      </c>
      <c r="AX94" s="2">
        <f t="shared" si="201"/>
        <v>-160086.48695689661</v>
      </c>
      <c r="AY94" s="2">
        <f t="shared" si="201"/>
        <v>0</v>
      </c>
      <c r="BA94" s="2">
        <f t="shared" si="202"/>
        <v>-1710891.0802005397</v>
      </c>
      <c r="BB94" s="2">
        <f t="shared" si="203"/>
        <v>-967254.7891185357</v>
      </c>
      <c r="BC94" s="2">
        <f t="shared" si="203"/>
        <v>-596943.00985016243</v>
      </c>
      <c r="BD94" s="2">
        <f t="shared" si="203"/>
        <v>0</v>
      </c>
      <c r="BE94" s="2">
        <f t="shared" si="203"/>
        <v>-12862.136917789161</v>
      </c>
      <c r="BF94" s="2">
        <f t="shared" si="203"/>
        <v>-133831.1443140523</v>
      </c>
      <c r="BG94" s="2">
        <f t="shared" si="203"/>
        <v>0</v>
      </c>
      <c r="BI94" s="2">
        <f t="shared" si="204"/>
        <v>-7425077.7612277148</v>
      </c>
      <c r="BJ94" s="2">
        <f t="shared" si="205"/>
        <v>-7144656.6387241352</v>
      </c>
      <c r="BK94" s="2">
        <f t="shared" si="205"/>
        <v>-266528.0471308892</v>
      </c>
      <c r="BL94" s="2">
        <f t="shared" si="205"/>
        <v>0</v>
      </c>
      <c r="BM94" s="2">
        <f t="shared" si="205"/>
        <v>-1289.4857260087738</v>
      </c>
      <c r="BN94" s="2">
        <f t="shared" si="205"/>
        <v>-12603.589646680975</v>
      </c>
      <c r="BO94" s="2">
        <f t="shared" si="205"/>
        <v>0</v>
      </c>
    </row>
    <row r="95" spans="1:67">
      <c r="A95" s="50">
        <f t="shared" si="135"/>
        <v>95</v>
      </c>
      <c r="B95" s="51">
        <v>392</v>
      </c>
      <c r="C95" s="36" t="s">
        <v>151</v>
      </c>
      <c r="D95" s="28" t="s">
        <v>270</v>
      </c>
      <c r="E95" s="369">
        <f>PROFORMA!AY339</f>
        <v>-11377000</v>
      </c>
      <c r="F95" s="60" t="str">
        <f>"as 392 Plant ("&amp;A$49&amp;")"</f>
        <v>as 392 Plant (49)</v>
      </c>
      <c r="G95" s="60"/>
      <c r="H95" s="2">
        <f t="shared" si="179"/>
        <v>-11377000</v>
      </c>
      <c r="I95" s="2">
        <f t="shared" si="180"/>
        <v>-9576261.7215524893</v>
      </c>
      <c r="J95" s="2">
        <f t="shared" si="180"/>
        <v>-1453242.6689478792</v>
      </c>
      <c r="K95" s="2">
        <f t="shared" si="180"/>
        <v>0</v>
      </c>
      <c r="L95" s="2">
        <f t="shared" si="180"/>
        <v>-35070.243939707565</v>
      </c>
      <c r="M95" s="2">
        <f t="shared" si="180"/>
        <v>-312425.36555992428</v>
      </c>
      <c r="N95" s="2">
        <f t="shared" si="180"/>
        <v>0</v>
      </c>
      <c r="O95" s="2"/>
      <c r="P95" s="61" t="s">
        <v>997</v>
      </c>
      <c r="Q95" s="61"/>
      <c r="R95" s="14">
        <f t="shared" si="181"/>
        <v>9.9370957155623774E-2</v>
      </c>
      <c r="S95" s="14">
        <f t="shared" si="182"/>
        <v>1.5218388550417537E-2</v>
      </c>
      <c r="T95" s="14">
        <f t="shared" si="183"/>
        <v>8.699877677308605E-3</v>
      </c>
      <c r="U95" s="14">
        <f t="shared" si="184"/>
        <v>5.822225830198835E-2</v>
      </c>
      <c r="V95" s="14">
        <f t="shared" si="185"/>
        <v>0</v>
      </c>
      <c r="W95" s="14">
        <f t="shared" si="186"/>
        <v>0.15327818313927072</v>
      </c>
      <c r="X95" s="14">
        <f t="shared" si="187"/>
        <v>0</v>
      </c>
      <c r="Y95" s="14">
        <f t="shared" si="188"/>
        <v>0</v>
      </c>
      <c r="Z95" s="14">
        <f t="shared" si="189"/>
        <v>0</v>
      </c>
      <c r="AA95" s="14">
        <f t="shared" si="190"/>
        <v>0</v>
      </c>
      <c r="AB95" s="14">
        <f t="shared" si="191"/>
        <v>0.41313387731559803</v>
      </c>
      <c r="AC95" s="14">
        <f t="shared" si="192"/>
        <v>0.17108548237195526</v>
      </c>
      <c r="AD95" s="14">
        <f t="shared" si="193"/>
        <v>7.9473703927617212E-2</v>
      </c>
      <c r="AE95" s="14">
        <f t="shared" si="194"/>
        <v>0</v>
      </c>
      <c r="AF95" s="14">
        <f t="shared" si="195"/>
        <v>1.5172715602204624E-3</v>
      </c>
      <c r="AG95" s="14">
        <f t="shared" si="196"/>
        <v>0</v>
      </c>
      <c r="AH95" s="14">
        <f t="shared" si="197"/>
        <v>-1.4146429571039994E-18</v>
      </c>
      <c r="AI95" s="76">
        <f t="shared" si="178"/>
        <v>0</v>
      </c>
      <c r="AK95" s="2">
        <f t="shared" si="198"/>
        <v>-11377000</v>
      </c>
      <c r="AL95" s="2">
        <f t="shared" si="199"/>
        <v>-2065056.1271340933</v>
      </c>
      <c r="AM95" s="2">
        <f t="shared" si="199"/>
        <v>-1743845.889575483</v>
      </c>
      <c r="AN95" s="2">
        <f t="shared" si="199"/>
        <v>-7568097.9832904227</v>
      </c>
      <c r="AO95" s="2">
        <f t="shared" si="199"/>
        <v>1.60943929229722E-11</v>
      </c>
      <c r="AP95" s="2"/>
      <c r="AQ95" s="61" t="str">
        <f t="shared" si="206"/>
        <v>E95*      "</v>
      </c>
      <c r="AS95" s="2">
        <f t="shared" si="200"/>
        <v>-2065056.1271340935</v>
      </c>
      <c r="AT95" s="2">
        <f t="shared" si="201"/>
        <v>-1308100.4319479314</v>
      </c>
      <c r="AU95" s="2">
        <f t="shared" si="201"/>
        <v>-573139.62153044285</v>
      </c>
      <c r="AV95" s="2">
        <f t="shared" si="201"/>
        <v>0</v>
      </c>
      <c r="AW95" s="2">
        <f t="shared" si="201"/>
        <v>-20646.035839144122</v>
      </c>
      <c r="AX95" s="2">
        <f t="shared" si="201"/>
        <v>-163170.03781657523</v>
      </c>
      <c r="AY95" s="2">
        <f t="shared" si="201"/>
        <v>0</v>
      </c>
      <c r="BA95" s="2">
        <f t="shared" si="202"/>
        <v>-1743845.8895754826</v>
      </c>
      <c r="BB95" s="2">
        <f t="shared" si="203"/>
        <v>-985885.83907915966</v>
      </c>
      <c r="BC95" s="2">
        <f t="shared" si="203"/>
        <v>-608441.19540094049</v>
      </c>
      <c r="BD95" s="2">
        <f t="shared" si="203"/>
        <v>0</v>
      </c>
      <c r="BE95" s="2">
        <f t="shared" si="203"/>
        <v>-13109.884582842438</v>
      </c>
      <c r="BF95" s="2">
        <f t="shared" si="203"/>
        <v>-136408.97051254014</v>
      </c>
      <c r="BG95" s="2">
        <f t="shared" si="203"/>
        <v>0</v>
      </c>
      <c r="BI95" s="2">
        <f t="shared" si="204"/>
        <v>-7568097.9832904227</v>
      </c>
      <c r="BJ95" s="2">
        <f t="shared" si="205"/>
        <v>-7282275.4505253974</v>
      </c>
      <c r="BK95" s="2">
        <f t="shared" si="205"/>
        <v>-271661.85201649583</v>
      </c>
      <c r="BL95" s="2">
        <f t="shared" si="205"/>
        <v>0</v>
      </c>
      <c r="BM95" s="2">
        <f t="shared" si="205"/>
        <v>-1314.3235177210015</v>
      </c>
      <c r="BN95" s="2">
        <f t="shared" si="205"/>
        <v>-12846.357230808946</v>
      </c>
      <c r="BO95" s="2">
        <f t="shared" si="205"/>
        <v>0</v>
      </c>
    </row>
    <row r="96" spans="1:67">
      <c r="A96" s="50">
        <f t="shared" si="135"/>
        <v>96</v>
      </c>
      <c r="B96" s="51">
        <v>393</v>
      </c>
      <c r="C96" s="36" t="s">
        <v>151</v>
      </c>
      <c r="D96" s="28" t="s">
        <v>271</v>
      </c>
      <c r="E96" s="369">
        <f>PROFORMA!AY340</f>
        <v>-430000</v>
      </c>
      <c r="F96" s="60" t="str">
        <f>"as 393 Plant ("&amp;A$50&amp;")"</f>
        <v>as 393 Plant (50)</v>
      </c>
      <c r="G96" s="60"/>
      <c r="H96" s="2">
        <f t="shared" si="179"/>
        <v>-430000.00000000006</v>
      </c>
      <c r="I96" s="2">
        <f t="shared" si="180"/>
        <v>-361940.10198361345</v>
      </c>
      <c r="J96" s="2">
        <f t="shared" si="180"/>
        <v>-54926.109488229587</v>
      </c>
      <c r="K96" s="2">
        <f t="shared" si="180"/>
        <v>0</v>
      </c>
      <c r="L96" s="2">
        <f t="shared" si="180"/>
        <v>-1325.4992435680981</v>
      </c>
      <c r="M96" s="2">
        <f>$E96*SUMPRODUCT($R96:$AH96,INDEX(AllocFactors,M$4,0))</f>
        <v>-11808.289284588858</v>
      </c>
      <c r="N96" s="2">
        <f t="shared" si="180"/>
        <v>0</v>
      </c>
      <c r="O96" s="2"/>
      <c r="P96" s="61" t="s">
        <v>997</v>
      </c>
      <c r="Q96" s="61"/>
      <c r="R96" s="14">
        <f t="shared" si="181"/>
        <v>9.9370957155623774E-2</v>
      </c>
      <c r="S96" s="14">
        <f t="shared" si="182"/>
        <v>1.5218388550417537E-2</v>
      </c>
      <c r="T96" s="14">
        <f t="shared" si="183"/>
        <v>8.699877677308605E-3</v>
      </c>
      <c r="U96" s="14">
        <f t="shared" si="184"/>
        <v>5.822225830198835E-2</v>
      </c>
      <c r="V96" s="14">
        <f t="shared" si="185"/>
        <v>0</v>
      </c>
      <c r="W96" s="14">
        <f t="shared" si="186"/>
        <v>0.15327818313927072</v>
      </c>
      <c r="X96" s="14">
        <f t="shared" si="187"/>
        <v>0</v>
      </c>
      <c r="Y96" s="14">
        <f t="shared" si="188"/>
        <v>0</v>
      </c>
      <c r="Z96" s="14">
        <f t="shared" si="189"/>
        <v>0</v>
      </c>
      <c r="AA96" s="14">
        <f t="shared" si="190"/>
        <v>0</v>
      </c>
      <c r="AB96" s="14">
        <f t="shared" si="191"/>
        <v>0.41313387731559803</v>
      </c>
      <c r="AC96" s="14">
        <f t="shared" si="192"/>
        <v>0.17108548237195526</v>
      </c>
      <c r="AD96" s="14">
        <f t="shared" si="193"/>
        <v>7.9473703927617212E-2</v>
      </c>
      <c r="AE96" s="14">
        <f t="shared" si="194"/>
        <v>0</v>
      </c>
      <c r="AF96" s="14">
        <f t="shared" si="195"/>
        <v>1.5172715602204624E-3</v>
      </c>
      <c r="AG96" s="14">
        <f t="shared" si="196"/>
        <v>0</v>
      </c>
      <c r="AH96" s="14">
        <f t="shared" si="197"/>
        <v>-1.4146429571039994E-18</v>
      </c>
      <c r="AI96" s="76">
        <f t="shared" si="178"/>
        <v>0</v>
      </c>
      <c r="AK96" s="2">
        <f>SUM(AL96:AO96)</f>
        <v>-430000</v>
      </c>
      <c r="AL96" s="2">
        <f>SUMIF($R$4:$AH$4,AL$5,$R96:$AH96)*$E96</f>
        <v>-78049.937124695454</v>
      </c>
      <c r="AM96" s="2">
        <f t="shared" si="199"/>
        <v>-65909.618749886402</v>
      </c>
      <c r="AN96" s="2">
        <f t="shared" si="199"/>
        <v>-286040.44412541814</v>
      </c>
      <c r="AO96" s="2">
        <f t="shared" si="199"/>
        <v>6.0829647155471977E-13</v>
      </c>
      <c r="AP96" s="2"/>
      <c r="AQ96" s="61" t="str">
        <f t="shared" si="206"/>
        <v>E96*      "</v>
      </c>
      <c r="AS96" s="2">
        <f t="shared" si="200"/>
        <v>-78049.937124695483</v>
      </c>
      <c r="AT96" s="2">
        <f t="shared" si="201"/>
        <v>-49440.378459840955</v>
      </c>
      <c r="AU96" s="2">
        <f t="shared" si="201"/>
        <v>-21662.128615460177</v>
      </c>
      <c r="AV96" s="2">
        <f t="shared" si="201"/>
        <v>0</v>
      </c>
      <c r="AW96" s="2">
        <f t="shared" si="201"/>
        <v>-780.32833003709004</v>
      </c>
      <c r="AX96" s="2">
        <f t="shared" si="201"/>
        <v>-6167.1017193572425</v>
      </c>
      <c r="AY96" s="2">
        <f t="shared" si="201"/>
        <v>0</v>
      </c>
      <c r="BA96" s="2">
        <f t="shared" si="202"/>
        <v>-65909.618749886416</v>
      </c>
      <c r="BB96" s="2">
        <f t="shared" si="203"/>
        <v>-37262.099921248016</v>
      </c>
      <c r="BC96" s="2">
        <f t="shared" si="203"/>
        <v>-22996.37110155616</v>
      </c>
      <c r="BD96" s="2">
        <f t="shared" si="203"/>
        <v>0</v>
      </c>
      <c r="BE96" s="2">
        <f t="shared" si="203"/>
        <v>-495.49533010655256</v>
      </c>
      <c r="BF96" s="2">
        <f t="shared" si="203"/>
        <v>-5155.6523969756754</v>
      </c>
      <c r="BG96" s="2">
        <f t="shared" si="203"/>
        <v>0</v>
      </c>
      <c r="BI96" s="2">
        <f t="shared" si="204"/>
        <v>-286040.44412541814</v>
      </c>
      <c r="BJ96" s="2">
        <f t="shared" si="205"/>
        <v>-275237.62360252446</v>
      </c>
      <c r="BK96" s="2">
        <f t="shared" si="205"/>
        <v>-10267.609771213254</v>
      </c>
      <c r="BL96" s="2">
        <f t="shared" si="205"/>
        <v>0</v>
      </c>
      <c r="BM96" s="2">
        <f t="shared" si="205"/>
        <v>-49.675583424455539</v>
      </c>
      <c r="BN96" s="2">
        <f t="shared" si="205"/>
        <v>-485.53516825594153</v>
      </c>
      <c r="BO96" s="2">
        <f t="shared" si="205"/>
        <v>0</v>
      </c>
    </row>
    <row r="97" spans="1:67">
      <c r="A97" s="50">
        <f t="shared" si="135"/>
        <v>97</v>
      </c>
      <c r="B97" s="51">
        <v>394</v>
      </c>
      <c r="C97" s="36" t="s">
        <v>151</v>
      </c>
      <c r="D97" s="28" t="s">
        <v>272</v>
      </c>
      <c r="E97" s="369">
        <f>PROFORMA!AY341</f>
        <v>-4133000</v>
      </c>
      <c r="F97" s="60" t="str">
        <f>"as 394 Plant ("&amp;A$51&amp;")"</f>
        <v>as 394 Plant (51)</v>
      </c>
      <c r="G97" s="60"/>
      <c r="H97" s="2">
        <f t="shared" si="179"/>
        <v>-4133000</v>
      </c>
      <c r="I97" s="2">
        <f t="shared" si="180"/>
        <v>-3478833.584879708</v>
      </c>
      <c r="J97" s="2">
        <f t="shared" si="180"/>
        <v>-527929.3267787277</v>
      </c>
      <c r="K97" s="2">
        <f t="shared" si="180"/>
        <v>0</v>
      </c>
      <c r="L97" s="2">
        <f t="shared" si="180"/>
        <v>-12740.205520155698</v>
      </c>
      <c r="M97" s="2">
        <f t="shared" si="180"/>
        <v>-113496.88282140871</v>
      </c>
      <c r="N97" s="2">
        <f t="shared" si="180"/>
        <v>0</v>
      </c>
      <c r="O97" s="2"/>
      <c r="P97" s="61" t="s">
        <v>997</v>
      </c>
      <c r="Q97" s="61"/>
      <c r="R97" s="14">
        <f t="shared" si="181"/>
        <v>9.9370957155623774E-2</v>
      </c>
      <c r="S97" s="14">
        <f t="shared" si="182"/>
        <v>1.5218388550417537E-2</v>
      </c>
      <c r="T97" s="14">
        <f t="shared" si="183"/>
        <v>8.699877677308605E-3</v>
      </c>
      <c r="U97" s="14">
        <f t="shared" si="184"/>
        <v>5.822225830198835E-2</v>
      </c>
      <c r="V97" s="14">
        <f t="shared" si="185"/>
        <v>0</v>
      </c>
      <c r="W97" s="14">
        <f t="shared" si="186"/>
        <v>0.15327818313927072</v>
      </c>
      <c r="X97" s="14">
        <f t="shared" si="187"/>
        <v>0</v>
      </c>
      <c r="Y97" s="14">
        <f t="shared" si="188"/>
        <v>0</v>
      </c>
      <c r="Z97" s="14">
        <f t="shared" si="189"/>
        <v>0</v>
      </c>
      <c r="AA97" s="14">
        <f t="shared" si="190"/>
        <v>0</v>
      </c>
      <c r="AB97" s="14">
        <f t="shared" si="191"/>
        <v>0.41313387731559803</v>
      </c>
      <c r="AC97" s="14">
        <f t="shared" si="192"/>
        <v>0.17108548237195526</v>
      </c>
      <c r="AD97" s="14">
        <f t="shared" si="193"/>
        <v>7.9473703927617212E-2</v>
      </c>
      <c r="AE97" s="14">
        <f t="shared" si="194"/>
        <v>0</v>
      </c>
      <c r="AF97" s="14">
        <f t="shared" si="195"/>
        <v>1.5172715602204624E-3</v>
      </c>
      <c r="AG97" s="14">
        <f t="shared" si="196"/>
        <v>0</v>
      </c>
      <c r="AH97" s="14">
        <f t="shared" si="197"/>
        <v>-1.4146429571039994E-18</v>
      </c>
      <c r="AI97" s="76">
        <f t="shared" si="178"/>
        <v>0</v>
      </c>
      <c r="AK97" s="2">
        <f t="shared" si="198"/>
        <v>-4133000</v>
      </c>
      <c r="AL97" s="2">
        <f t="shared" si="199"/>
        <v>-750186.95380550309</v>
      </c>
      <c r="AM97" s="2">
        <f t="shared" si="199"/>
        <v>-633498.7309146059</v>
      </c>
      <c r="AN97" s="2">
        <f t="shared" si="199"/>
        <v>-2749314.3152798908</v>
      </c>
      <c r="AO97" s="2">
        <f t="shared" si="199"/>
        <v>5.8467193417108295E-12</v>
      </c>
      <c r="AP97" s="2"/>
      <c r="AQ97" s="61" t="str">
        <f t="shared" si="206"/>
        <v>E97*      "</v>
      </c>
      <c r="AS97" s="2">
        <f t="shared" si="200"/>
        <v>-750186.9538055032</v>
      </c>
      <c r="AT97" s="2">
        <f t="shared" si="201"/>
        <v>-475202.52133609925</v>
      </c>
      <c r="AU97" s="2">
        <f t="shared" si="201"/>
        <v>-208208.31992487656</v>
      </c>
      <c r="AV97" s="2">
        <f t="shared" si="201"/>
        <v>0</v>
      </c>
      <c r="AW97" s="2">
        <f t="shared" si="201"/>
        <v>-7500.2255535890536</v>
      </c>
      <c r="AX97" s="2">
        <f t="shared" si="201"/>
        <v>-59275.886990938328</v>
      </c>
      <c r="AY97" s="2">
        <f t="shared" si="201"/>
        <v>0</v>
      </c>
      <c r="BA97" s="2">
        <f t="shared" si="202"/>
        <v>-633498.73091460578</v>
      </c>
      <c r="BB97" s="2">
        <f t="shared" si="203"/>
        <v>-358149.43947562337</v>
      </c>
      <c r="BC97" s="2">
        <f t="shared" si="203"/>
        <v>-221032.5622389107</v>
      </c>
      <c r="BD97" s="2">
        <f t="shared" si="203"/>
        <v>0</v>
      </c>
      <c r="BE97" s="2">
        <f t="shared" si="203"/>
        <v>-4762.5167426287944</v>
      </c>
      <c r="BF97" s="2">
        <f t="shared" si="203"/>
        <v>-49554.212457442947</v>
      </c>
      <c r="BG97" s="2">
        <f t="shared" si="203"/>
        <v>0</v>
      </c>
      <c r="BI97" s="2">
        <f t="shared" si="204"/>
        <v>-2749314.3152798912</v>
      </c>
      <c r="BJ97" s="2">
        <f t="shared" si="205"/>
        <v>-2645481.6240679855</v>
      </c>
      <c r="BK97" s="2">
        <f t="shared" si="205"/>
        <v>-98688.444614940425</v>
      </c>
      <c r="BL97" s="2">
        <f t="shared" si="205"/>
        <v>0</v>
      </c>
      <c r="BM97" s="2">
        <f t="shared" si="205"/>
        <v>-477.46322393784823</v>
      </c>
      <c r="BN97" s="2">
        <f t="shared" si="205"/>
        <v>-4666.783373027456</v>
      </c>
      <c r="BO97" s="2">
        <f t="shared" si="205"/>
        <v>0</v>
      </c>
    </row>
    <row r="98" spans="1:67">
      <c r="A98" s="50">
        <f t="shared" si="135"/>
        <v>98</v>
      </c>
      <c r="B98" s="51">
        <v>395</v>
      </c>
      <c r="C98" s="36" t="s">
        <v>151</v>
      </c>
      <c r="D98" s="28" t="s">
        <v>273</v>
      </c>
      <c r="E98" s="369">
        <f>PROFORMA!AY342</f>
        <v>-317000</v>
      </c>
      <c r="F98" s="60" t="str">
        <f>"as 395 Plant ("&amp;A$52&amp;")"</f>
        <v>as 395 Plant (52)</v>
      </c>
      <c r="G98" s="60"/>
      <c r="H98" s="2">
        <f t="shared" si="179"/>
        <v>-317000</v>
      </c>
      <c r="I98" s="2">
        <f t="shared" si="180"/>
        <v>-266825.61006698944</v>
      </c>
      <c r="J98" s="2">
        <f t="shared" si="180"/>
        <v>-40492.038855276231</v>
      </c>
      <c r="K98" s="2">
        <f t="shared" si="180"/>
        <v>0</v>
      </c>
      <c r="L98" s="2">
        <f t="shared" si="180"/>
        <v>-977.17037258392349</v>
      </c>
      <c r="M98" s="2">
        <f t="shared" si="180"/>
        <v>-8705.1807051503911</v>
      </c>
      <c r="N98" s="2">
        <f t="shared" si="180"/>
        <v>0</v>
      </c>
      <c r="O98" s="2"/>
      <c r="P98" s="61" t="s">
        <v>997</v>
      </c>
      <c r="Q98" s="61"/>
      <c r="R98" s="14">
        <f t="shared" si="181"/>
        <v>9.9370957155623774E-2</v>
      </c>
      <c r="S98" s="14">
        <f t="shared" si="182"/>
        <v>1.5218388550417537E-2</v>
      </c>
      <c r="T98" s="14">
        <f t="shared" si="183"/>
        <v>8.699877677308605E-3</v>
      </c>
      <c r="U98" s="14">
        <f t="shared" si="184"/>
        <v>5.822225830198835E-2</v>
      </c>
      <c r="V98" s="14">
        <f t="shared" si="185"/>
        <v>0</v>
      </c>
      <c r="W98" s="14">
        <f t="shared" si="186"/>
        <v>0.15327818313927072</v>
      </c>
      <c r="X98" s="14">
        <f t="shared" si="187"/>
        <v>0</v>
      </c>
      <c r="Y98" s="14">
        <f t="shared" si="188"/>
        <v>0</v>
      </c>
      <c r="Z98" s="14">
        <f t="shared" si="189"/>
        <v>0</v>
      </c>
      <c r="AA98" s="14">
        <f t="shared" si="190"/>
        <v>0</v>
      </c>
      <c r="AB98" s="14">
        <f t="shared" si="191"/>
        <v>0.41313387731559803</v>
      </c>
      <c r="AC98" s="14">
        <f t="shared" si="192"/>
        <v>0.17108548237195526</v>
      </c>
      <c r="AD98" s="14">
        <f t="shared" si="193"/>
        <v>7.9473703927617212E-2</v>
      </c>
      <c r="AE98" s="14">
        <f t="shared" si="194"/>
        <v>0</v>
      </c>
      <c r="AF98" s="14">
        <f t="shared" si="195"/>
        <v>1.5172715602204624E-3</v>
      </c>
      <c r="AG98" s="14">
        <f t="shared" si="196"/>
        <v>0</v>
      </c>
      <c r="AH98" s="14">
        <f t="shared" si="197"/>
        <v>-1.4146429571039994E-18</v>
      </c>
      <c r="AI98" s="76">
        <f t="shared" si="178"/>
        <v>0</v>
      </c>
      <c r="AK98" s="2">
        <f t="shared" si="198"/>
        <v>-317000</v>
      </c>
      <c r="AL98" s="2">
        <f t="shared" si="199"/>
        <v>-57539.139694252226</v>
      </c>
      <c r="AM98" s="2">
        <f t="shared" si="199"/>
        <v>-48589.18405514882</v>
      </c>
      <c r="AN98" s="2">
        <f t="shared" si="199"/>
        <v>-210871.67625059895</v>
      </c>
      <c r="AO98" s="2">
        <f t="shared" si="199"/>
        <v>4.4844181740196782E-13</v>
      </c>
      <c r="AP98" s="2"/>
      <c r="AQ98" s="61" t="str">
        <f t="shared" si="206"/>
        <v>E98*      "</v>
      </c>
      <c r="AS98" s="2">
        <f t="shared" si="200"/>
        <v>-57539.139694252241</v>
      </c>
      <c r="AT98" s="2">
        <f t="shared" si="201"/>
        <v>-36447.906911092054</v>
      </c>
      <c r="AU98" s="2">
        <f t="shared" si="201"/>
        <v>-15969.52272349041</v>
      </c>
      <c r="AV98" s="2">
        <f t="shared" si="201"/>
        <v>0</v>
      </c>
      <c r="AW98" s="2">
        <f t="shared" si="201"/>
        <v>-575.26530377152915</v>
      </c>
      <c r="AX98" s="2">
        <f t="shared" si="201"/>
        <v>-4546.4447558982465</v>
      </c>
      <c r="AY98" s="2">
        <f t="shared" si="201"/>
        <v>0</v>
      </c>
      <c r="BA98" s="2">
        <f t="shared" si="202"/>
        <v>-48589.184055148813</v>
      </c>
      <c r="BB98" s="2">
        <f t="shared" si="203"/>
        <v>-27469.966686129352</v>
      </c>
      <c r="BC98" s="2">
        <f t="shared" si="203"/>
        <v>-16953.138695798378</v>
      </c>
      <c r="BD98" s="2">
        <f t="shared" si="203"/>
        <v>0</v>
      </c>
      <c r="BE98" s="2">
        <f t="shared" si="203"/>
        <v>-365.28376661343526</v>
      </c>
      <c r="BF98" s="2">
        <f t="shared" si="203"/>
        <v>-3800.794906607649</v>
      </c>
      <c r="BG98" s="2">
        <f t="shared" si="203"/>
        <v>0</v>
      </c>
      <c r="BI98" s="2">
        <f t="shared" si="204"/>
        <v>-210871.67625059895</v>
      </c>
      <c r="BJ98" s="2">
        <f t="shared" si="205"/>
        <v>-202907.73646976805</v>
      </c>
      <c r="BK98" s="2">
        <f t="shared" si="205"/>
        <v>-7569.377435987446</v>
      </c>
      <c r="BL98" s="2">
        <f t="shared" si="205"/>
        <v>0</v>
      </c>
      <c r="BM98" s="2">
        <f t="shared" si="205"/>
        <v>-36.621302198959079</v>
      </c>
      <c r="BN98" s="2">
        <f t="shared" si="205"/>
        <v>-357.94104264449641</v>
      </c>
      <c r="BO98" s="2">
        <f t="shared" si="205"/>
        <v>0</v>
      </c>
    </row>
    <row r="99" spans="1:67">
      <c r="A99" s="50">
        <f t="shared" si="135"/>
        <v>99</v>
      </c>
      <c r="B99" s="51">
        <v>396</v>
      </c>
      <c r="C99" s="36" t="s">
        <v>151</v>
      </c>
      <c r="D99" s="28" t="s">
        <v>274</v>
      </c>
      <c r="E99" s="369">
        <f>PROFORMA!AY343</f>
        <v>-3593000</v>
      </c>
      <c r="F99" s="60" t="str">
        <f>"as 396 Plant ("&amp;A$53&amp;")"</f>
        <v>as 396 Plant (53)</v>
      </c>
      <c r="G99" s="60"/>
      <c r="H99" s="2">
        <f t="shared" si="179"/>
        <v>-3593000.0000000005</v>
      </c>
      <c r="I99" s="2">
        <f t="shared" si="180"/>
        <v>-3024304.154481682</v>
      </c>
      <c r="J99" s="2">
        <f t="shared" si="180"/>
        <v>-458952.35207257885</v>
      </c>
      <c r="K99" s="2">
        <f t="shared" si="180"/>
        <v>0</v>
      </c>
      <c r="L99" s="2">
        <f t="shared" si="180"/>
        <v>-11075.625074744597</v>
      </c>
      <c r="M99" s="2">
        <f t="shared" si="180"/>
        <v>-98667.868370994809</v>
      </c>
      <c r="N99" s="2">
        <f t="shared" si="180"/>
        <v>0</v>
      </c>
      <c r="O99" s="2"/>
      <c r="P99" s="61" t="s">
        <v>997</v>
      </c>
      <c r="Q99" s="61"/>
      <c r="R99" s="14">
        <f t="shared" si="181"/>
        <v>9.9370957155623774E-2</v>
      </c>
      <c r="S99" s="14">
        <f t="shared" si="182"/>
        <v>1.5218388550417537E-2</v>
      </c>
      <c r="T99" s="14">
        <f t="shared" si="183"/>
        <v>8.699877677308605E-3</v>
      </c>
      <c r="U99" s="14">
        <f t="shared" si="184"/>
        <v>5.822225830198835E-2</v>
      </c>
      <c r="V99" s="14">
        <f t="shared" si="185"/>
        <v>0</v>
      </c>
      <c r="W99" s="14">
        <f t="shared" si="186"/>
        <v>0.15327818313927072</v>
      </c>
      <c r="X99" s="14">
        <f t="shared" si="187"/>
        <v>0</v>
      </c>
      <c r="Y99" s="14">
        <f t="shared" si="188"/>
        <v>0</v>
      </c>
      <c r="Z99" s="14">
        <f t="shared" si="189"/>
        <v>0</v>
      </c>
      <c r="AA99" s="14">
        <f t="shared" si="190"/>
        <v>0</v>
      </c>
      <c r="AB99" s="14">
        <f t="shared" si="191"/>
        <v>0.41313387731559803</v>
      </c>
      <c r="AC99" s="14">
        <f t="shared" si="192"/>
        <v>0.17108548237195526</v>
      </c>
      <c r="AD99" s="14">
        <f t="shared" si="193"/>
        <v>7.9473703927617212E-2</v>
      </c>
      <c r="AE99" s="14">
        <f t="shared" si="194"/>
        <v>0</v>
      </c>
      <c r="AF99" s="14">
        <f t="shared" si="195"/>
        <v>1.5172715602204624E-3</v>
      </c>
      <c r="AG99" s="14">
        <f t="shared" si="196"/>
        <v>0</v>
      </c>
      <c r="AH99" s="14">
        <f t="shared" si="197"/>
        <v>-1.4146429571039994E-18</v>
      </c>
      <c r="AI99" s="76">
        <f t="shared" si="178"/>
        <v>0</v>
      </c>
      <c r="AK99" s="2">
        <f t="shared" si="198"/>
        <v>-3592999.9999999995</v>
      </c>
      <c r="AL99" s="2">
        <f t="shared" si="199"/>
        <v>-652170.75369542034</v>
      </c>
      <c r="AM99" s="2">
        <f t="shared" si="199"/>
        <v>-550728.51201939967</v>
      </c>
      <c r="AN99" s="2">
        <f t="shared" si="199"/>
        <v>-2390100.7342851795</v>
      </c>
      <c r="AO99" s="2">
        <f t="shared" si="199"/>
        <v>5.08281214487467E-12</v>
      </c>
      <c r="AP99" s="2"/>
      <c r="AQ99" s="61" t="str">
        <f t="shared" si="206"/>
        <v>E99*      "</v>
      </c>
      <c r="AS99" s="2">
        <f t="shared" si="200"/>
        <v>-652170.75369542057</v>
      </c>
      <c r="AT99" s="2">
        <f t="shared" si="201"/>
        <v>-413114.60420048499</v>
      </c>
      <c r="AU99" s="2">
        <f t="shared" si="201"/>
        <v>-181004.71654732191</v>
      </c>
      <c r="AV99" s="2">
        <f t="shared" si="201"/>
        <v>0</v>
      </c>
      <c r="AW99" s="2">
        <f t="shared" si="201"/>
        <v>-6520.2783484261963</v>
      </c>
      <c r="AX99" s="2">
        <f t="shared" si="201"/>
        <v>-51531.154599187379</v>
      </c>
      <c r="AY99" s="2">
        <f t="shared" si="201"/>
        <v>0</v>
      </c>
      <c r="BA99" s="2">
        <f t="shared" si="202"/>
        <v>-550728.51201939967</v>
      </c>
      <c r="BB99" s="2">
        <f t="shared" si="203"/>
        <v>-311355.17445824214</v>
      </c>
      <c r="BC99" s="2">
        <f t="shared" si="203"/>
        <v>-192153.39852997972</v>
      </c>
      <c r="BD99" s="2">
        <f t="shared" si="203"/>
        <v>0</v>
      </c>
      <c r="BE99" s="2">
        <f t="shared" si="203"/>
        <v>-4140.266793192659</v>
      </c>
      <c r="BF99" s="2">
        <f t="shared" si="203"/>
        <v>-43079.67223798512</v>
      </c>
      <c r="BG99" s="2">
        <f t="shared" si="203"/>
        <v>0</v>
      </c>
      <c r="BI99" s="2">
        <f t="shared" si="204"/>
        <v>-2390100.73428518</v>
      </c>
      <c r="BJ99" s="2">
        <f t="shared" si="205"/>
        <v>-2299834.3758229548</v>
      </c>
      <c r="BK99" s="2">
        <f t="shared" si="205"/>
        <v>-85794.236995277257</v>
      </c>
      <c r="BL99" s="2">
        <f t="shared" si="205"/>
        <v>0</v>
      </c>
      <c r="BM99" s="2">
        <f t="shared" si="205"/>
        <v>-415.07993312574126</v>
      </c>
      <c r="BN99" s="2">
        <f t="shared" si="205"/>
        <v>-4057.0415338223206</v>
      </c>
      <c r="BO99" s="2">
        <f t="shared" si="205"/>
        <v>0</v>
      </c>
    </row>
    <row r="100" spans="1:67">
      <c r="A100" s="50">
        <f t="shared" si="135"/>
        <v>100</v>
      </c>
      <c r="B100" s="51">
        <v>397</v>
      </c>
      <c r="C100" s="36" t="s">
        <v>151</v>
      </c>
      <c r="D100" s="28" t="s">
        <v>275</v>
      </c>
      <c r="E100" s="369">
        <f>PROFORMA!AY344</f>
        <v>-6632000</v>
      </c>
      <c r="F100" s="60" t="str">
        <f>"as 397 Plant ("&amp;A$54&amp;")"</f>
        <v>as 397 Plant (54)</v>
      </c>
      <c r="G100" s="60"/>
      <c r="H100" s="2">
        <f t="shared" si="179"/>
        <v>-6632000.0000000009</v>
      </c>
      <c r="I100" s="2">
        <f t="shared" si="180"/>
        <v>-5582294.7822216852</v>
      </c>
      <c r="J100" s="2">
        <f t="shared" si="180"/>
        <v>-847139.4375021829</v>
      </c>
      <c r="K100" s="2">
        <f t="shared" si="180"/>
        <v>0</v>
      </c>
      <c r="L100" s="2">
        <f t="shared" si="180"/>
        <v>-20443.513914752621</v>
      </c>
      <c r="M100" s="2">
        <f t="shared" si="180"/>
        <v>-182122.26636137976</v>
      </c>
      <c r="N100" s="2">
        <f t="shared" si="180"/>
        <v>0</v>
      </c>
      <c r="O100" s="2"/>
      <c r="P100" s="61" t="s">
        <v>997</v>
      </c>
      <c r="Q100" s="61"/>
      <c r="R100" s="14">
        <f t="shared" si="181"/>
        <v>9.9370957155623774E-2</v>
      </c>
      <c r="S100" s="14">
        <f t="shared" si="182"/>
        <v>1.5218388550417537E-2</v>
      </c>
      <c r="T100" s="14">
        <f t="shared" si="183"/>
        <v>8.699877677308605E-3</v>
      </c>
      <c r="U100" s="14">
        <f t="shared" si="184"/>
        <v>5.822225830198835E-2</v>
      </c>
      <c r="V100" s="14">
        <f t="shared" si="185"/>
        <v>0</v>
      </c>
      <c r="W100" s="14">
        <f t="shared" si="186"/>
        <v>0.15327818313927072</v>
      </c>
      <c r="X100" s="14">
        <f t="shared" si="187"/>
        <v>0</v>
      </c>
      <c r="Y100" s="14">
        <f t="shared" si="188"/>
        <v>0</v>
      </c>
      <c r="Z100" s="14">
        <f t="shared" si="189"/>
        <v>0</v>
      </c>
      <c r="AA100" s="14">
        <f t="shared" si="190"/>
        <v>0</v>
      </c>
      <c r="AB100" s="14">
        <f t="shared" si="191"/>
        <v>0.41313387731559803</v>
      </c>
      <c r="AC100" s="14">
        <f t="shared" si="192"/>
        <v>0.17108548237195526</v>
      </c>
      <c r="AD100" s="14">
        <f t="shared" si="193"/>
        <v>7.9473703927617212E-2</v>
      </c>
      <c r="AE100" s="14">
        <f t="shared" si="194"/>
        <v>0</v>
      </c>
      <c r="AF100" s="14">
        <f t="shared" si="195"/>
        <v>1.5172715602204624E-3</v>
      </c>
      <c r="AG100" s="14">
        <f t="shared" si="196"/>
        <v>0</v>
      </c>
      <c r="AH100" s="14">
        <f t="shared" si="197"/>
        <v>-1.4146429571039994E-18</v>
      </c>
      <c r="AI100" s="76">
        <f t="shared" si="178"/>
        <v>0</v>
      </c>
      <c r="AK100" s="2">
        <f t="shared" si="198"/>
        <v>-6631999.9999999991</v>
      </c>
      <c r="AL100" s="2">
        <f t="shared" si="199"/>
        <v>-1203784.1465371633</v>
      </c>
      <c r="AM100" s="2">
        <f t="shared" si="199"/>
        <v>-1016540.9105796434</v>
      </c>
      <c r="AN100" s="2">
        <f t="shared" si="199"/>
        <v>-4411674.9428831926</v>
      </c>
      <c r="AO100" s="2">
        <f t="shared" si="199"/>
        <v>9.3819120915137242E-12</v>
      </c>
      <c r="AP100" s="2"/>
      <c r="AQ100" s="61" t="str">
        <f t="shared" si="206"/>
        <v>E100*      "</v>
      </c>
      <c r="AS100" s="2">
        <f t="shared" si="200"/>
        <v>-1203784.1465371635</v>
      </c>
      <c r="AT100" s="2">
        <f t="shared" si="201"/>
        <v>-762531.60452480288</v>
      </c>
      <c r="AU100" s="2">
        <f t="shared" si="201"/>
        <v>-334100.55111100443</v>
      </c>
      <c r="AV100" s="2">
        <f t="shared" si="201"/>
        <v>0</v>
      </c>
      <c r="AW100" s="2">
        <f t="shared" si="201"/>
        <v>-12035.203453037166</v>
      </c>
      <c r="AX100" s="2">
        <f t="shared" si="201"/>
        <v>-95116.787448319141</v>
      </c>
      <c r="AY100" s="2">
        <f t="shared" si="201"/>
        <v>0</v>
      </c>
      <c r="BA100" s="2">
        <f t="shared" si="202"/>
        <v>-1016540.9105796432</v>
      </c>
      <c r="BB100" s="2">
        <f t="shared" si="203"/>
        <v>-574702.89925050421</v>
      </c>
      <c r="BC100" s="2">
        <f t="shared" si="203"/>
        <v>-354678.91429190803</v>
      </c>
      <c r="BD100" s="2">
        <f t="shared" si="203"/>
        <v>0</v>
      </c>
      <c r="BE100" s="2">
        <f t="shared" si="203"/>
        <v>-7642.1512308526899</v>
      </c>
      <c r="BF100" s="2">
        <f t="shared" si="203"/>
        <v>-79516.945806378324</v>
      </c>
      <c r="BG100" s="2">
        <f t="shared" si="203"/>
        <v>0</v>
      </c>
      <c r="BI100" s="2">
        <f t="shared" si="204"/>
        <v>-4411674.9428831926</v>
      </c>
      <c r="BJ100" s="2">
        <f t="shared" si="205"/>
        <v>-4245060.2784463773</v>
      </c>
      <c r="BK100" s="2">
        <f t="shared" si="205"/>
        <v>-158359.97209927047</v>
      </c>
      <c r="BL100" s="2">
        <f t="shared" si="205"/>
        <v>0</v>
      </c>
      <c r="BM100" s="2">
        <f t="shared" si="205"/>
        <v>-766.15923086276541</v>
      </c>
      <c r="BN100" s="2">
        <f t="shared" si="205"/>
        <v>-7488.5331066823346</v>
      </c>
      <c r="BO100" s="2">
        <f t="shared" si="205"/>
        <v>0</v>
      </c>
    </row>
    <row r="101" spans="1:67">
      <c r="A101" s="50">
        <f t="shared" si="135"/>
        <v>101</v>
      </c>
      <c r="B101" s="51">
        <v>398</v>
      </c>
      <c r="C101" s="36" t="s">
        <v>151</v>
      </c>
      <c r="D101" s="28" t="s">
        <v>276</v>
      </c>
      <c r="E101" s="369">
        <f>PROFORMA!AY345</f>
        <v>-137000</v>
      </c>
      <c r="F101" s="60" t="str">
        <f>"as 398 Plant ("&amp;A$55&amp;")"</f>
        <v>as 398 Plant (55)</v>
      </c>
      <c r="G101" s="60"/>
      <c r="H101" s="2">
        <f t="shared" si="179"/>
        <v>-137000</v>
      </c>
      <c r="I101" s="2">
        <f t="shared" si="180"/>
        <v>-115315.79993431405</v>
      </c>
      <c r="J101" s="2">
        <f t="shared" si="180"/>
        <v>-17499.713953226637</v>
      </c>
      <c r="K101" s="2">
        <f t="shared" si="180"/>
        <v>0</v>
      </c>
      <c r="L101" s="2">
        <f t="shared" si="180"/>
        <v>-422.31022411355684</v>
      </c>
      <c r="M101" s="2">
        <f t="shared" si="180"/>
        <v>-3762.1758883457524</v>
      </c>
      <c r="N101" s="2">
        <f t="shared" si="180"/>
        <v>0</v>
      </c>
      <c r="O101" s="2"/>
      <c r="P101" s="61" t="s">
        <v>997</v>
      </c>
      <c r="Q101" s="61"/>
      <c r="R101" s="14">
        <f t="shared" si="181"/>
        <v>9.9370957155623774E-2</v>
      </c>
      <c r="S101" s="14">
        <f t="shared" si="182"/>
        <v>1.5218388550417537E-2</v>
      </c>
      <c r="T101" s="14">
        <f t="shared" si="183"/>
        <v>8.699877677308605E-3</v>
      </c>
      <c r="U101" s="14">
        <f t="shared" si="184"/>
        <v>5.822225830198835E-2</v>
      </c>
      <c r="V101" s="14">
        <f t="shared" si="185"/>
        <v>0</v>
      </c>
      <c r="W101" s="14">
        <f t="shared" si="186"/>
        <v>0.15327818313927072</v>
      </c>
      <c r="X101" s="14">
        <f t="shared" si="187"/>
        <v>0</v>
      </c>
      <c r="Y101" s="14">
        <f t="shared" si="188"/>
        <v>0</v>
      </c>
      <c r="Z101" s="14">
        <f t="shared" si="189"/>
        <v>0</v>
      </c>
      <c r="AA101" s="14">
        <f t="shared" si="190"/>
        <v>0</v>
      </c>
      <c r="AB101" s="14">
        <f t="shared" si="191"/>
        <v>0.41313387731559803</v>
      </c>
      <c r="AC101" s="14">
        <f t="shared" si="192"/>
        <v>0.17108548237195526</v>
      </c>
      <c r="AD101" s="14">
        <f t="shared" si="193"/>
        <v>7.9473703927617212E-2</v>
      </c>
      <c r="AE101" s="14">
        <f t="shared" si="194"/>
        <v>0</v>
      </c>
      <c r="AF101" s="14">
        <f t="shared" si="195"/>
        <v>1.5172715602204624E-3</v>
      </c>
      <c r="AG101" s="14">
        <f t="shared" si="196"/>
        <v>0</v>
      </c>
      <c r="AH101" s="14">
        <f t="shared" si="197"/>
        <v>-1.4146429571039994E-18</v>
      </c>
      <c r="AI101" s="76">
        <f t="shared" si="178"/>
        <v>0</v>
      </c>
      <c r="AK101" s="2">
        <f t="shared" si="198"/>
        <v>-137000</v>
      </c>
      <c r="AL101" s="2">
        <f t="shared" si="199"/>
        <v>-24867.072990891342</v>
      </c>
      <c r="AM101" s="2">
        <f t="shared" si="199"/>
        <v>-20999.111090080089</v>
      </c>
      <c r="AN101" s="2">
        <f t="shared" si="199"/>
        <v>-91133.815919028566</v>
      </c>
      <c r="AO101" s="2">
        <f t="shared" si="199"/>
        <v>1.9380608512324792E-13</v>
      </c>
      <c r="AP101" s="2"/>
      <c r="AQ101" s="61" t="str">
        <f t="shared" si="206"/>
        <v>E101*      "</v>
      </c>
      <c r="AS101" s="2">
        <f t="shared" si="200"/>
        <v>-24867.072990891345</v>
      </c>
      <c r="AT101" s="2">
        <f t="shared" si="201"/>
        <v>-15751.93453255398</v>
      </c>
      <c r="AU101" s="2">
        <f t="shared" si="201"/>
        <v>-6901.6549309721959</v>
      </c>
      <c r="AV101" s="2">
        <f t="shared" si="201"/>
        <v>0</v>
      </c>
      <c r="AW101" s="2">
        <f t="shared" si="201"/>
        <v>-248.61623538391007</v>
      </c>
      <c r="AX101" s="2">
        <f t="shared" si="201"/>
        <v>-1964.8672919812609</v>
      </c>
      <c r="AY101" s="2">
        <f t="shared" si="201"/>
        <v>0</v>
      </c>
      <c r="BA101" s="2">
        <f t="shared" si="202"/>
        <v>-20999.111090080085</v>
      </c>
      <c r="BB101" s="2">
        <f t="shared" si="203"/>
        <v>-11871.878347002274</v>
      </c>
      <c r="BC101" s="2">
        <f t="shared" si="203"/>
        <v>-7326.7507928213809</v>
      </c>
      <c r="BD101" s="2">
        <f t="shared" si="203"/>
        <v>0</v>
      </c>
      <c r="BE101" s="2">
        <f t="shared" si="203"/>
        <v>-157.86711680138998</v>
      </c>
      <c r="BF101" s="2">
        <f t="shared" si="203"/>
        <v>-1642.6148334550408</v>
      </c>
      <c r="BG101" s="2">
        <f t="shared" si="203"/>
        <v>0</v>
      </c>
      <c r="BI101" s="2">
        <f t="shared" si="204"/>
        <v>-91133.815919028566</v>
      </c>
      <c r="BJ101" s="2">
        <f t="shared" si="205"/>
        <v>-87691.987054757803</v>
      </c>
      <c r="BK101" s="2">
        <f t="shared" si="205"/>
        <v>-3271.3082294330602</v>
      </c>
      <c r="BL101" s="2">
        <f t="shared" si="205"/>
        <v>0</v>
      </c>
      <c r="BM101" s="2">
        <f t="shared" si="205"/>
        <v>-15.826871928256764</v>
      </c>
      <c r="BN101" s="2">
        <f t="shared" si="205"/>
        <v>-154.69376290945112</v>
      </c>
      <c r="BO101" s="2">
        <f t="shared" si="205"/>
        <v>0</v>
      </c>
    </row>
    <row r="102" spans="1:67">
      <c r="A102" s="50">
        <f t="shared" si="135"/>
        <v>102</v>
      </c>
      <c r="D102" s="52" t="s">
        <v>220</v>
      </c>
      <c r="E102" s="4">
        <f>SUM(E92:E101)</f>
        <v>-45399000</v>
      </c>
      <c r="F102" s="60"/>
      <c r="G102" s="60"/>
      <c r="H102" s="4">
        <f>IF(ROUND(SUM(H91:H101),3)&lt;&gt;ROUND(SUM(I102:N102),3),#VALUE!,SUM(H91:H101))</f>
        <v>-45399000</v>
      </c>
      <c r="I102" s="4">
        <f t="shared" ref="I102:N102" si="207">SUM(I91:I101)</f>
        <v>-38213299.278962947</v>
      </c>
      <c r="J102" s="4">
        <f t="shared" si="207"/>
        <v>-5799047.5457119429</v>
      </c>
      <c r="K102" s="4">
        <f t="shared" si="207"/>
        <v>0</v>
      </c>
      <c r="L102" s="4">
        <f t="shared" si="207"/>
        <v>-139944.97711336764</v>
      </c>
      <c r="M102" s="4">
        <f t="shared" si="207"/>
        <v>-1246708.198211743</v>
      </c>
      <c r="N102" s="4">
        <f t="shared" si="207"/>
        <v>0</v>
      </c>
      <c r="O102" s="5"/>
      <c r="P102" s="61" t="str">
        <f>$A91&amp;":"&amp;$A101</f>
        <v>91:101</v>
      </c>
      <c r="Q102" s="61"/>
      <c r="R102" s="13">
        <f>SUMPRODUCT($E92:$E101,R$92:R$101)/$E102</f>
        <v>9.9370957155623774E-2</v>
      </c>
      <c r="S102" s="13">
        <f t="shared" ref="S102:AH102" si="208">SUMPRODUCT($E92:$E101,S$92:S$101)/$E102</f>
        <v>1.5218388550417536E-2</v>
      </c>
      <c r="T102" s="13">
        <f t="shared" si="208"/>
        <v>8.699877677308605E-3</v>
      </c>
      <c r="U102" s="13">
        <f>SUMPRODUCT($E92:$E101,U$92:U$101)/$E102</f>
        <v>5.8222258301988364E-2</v>
      </c>
      <c r="V102" s="13">
        <f>SUMPRODUCT($E92:$E101,V$92:V$101)/$E102</f>
        <v>0</v>
      </c>
      <c r="W102" s="13">
        <f t="shared" si="208"/>
        <v>0.15327818313927069</v>
      </c>
      <c r="X102" s="13">
        <f t="shared" si="208"/>
        <v>0</v>
      </c>
      <c r="Y102" s="13">
        <f>SUMPRODUCT($E92:$E101,Y$92:Y$101)/$E102</f>
        <v>0</v>
      </c>
      <c r="Z102" s="13">
        <f t="shared" si="208"/>
        <v>0</v>
      </c>
      <c r="AA102" s="13">
        <f t="shared" si="208"/>
        <v>0</v>
      </c>
      <c r="AB102" s="13">
        <f t="shared" si="208"/>
        <v>0.41313387731559809</v>
      </c>
      <c r="AC102" s="13">
        <f t="shared" si="208"/>
        <v>0.17108548237195528</v>
      </c>
      <c r="AD102" s="13">
        <f t="shared" si="208"/>
        <v>7.9473703927617212E-2</v>
      </c>
      <c r="AE102" s="13">
        <f t="shared" si="208"/>
        <v>0</v>
      </c>
      <c r="AF102" s="13">
        <f t="shared" si="208"/>
        <v>1.5172715602204624E-3</v>
      </c>
      <c r="AG102" s="13">
        <f>SUMPRODUCT($E92:$E101,AG$92:AG$101)/$E102</f>
        <v>0</v>
      </c>
      <c r="AH102" s="13">
        <f t="shared" si="208"/>
        <v>-1.4146429571039994E-18</v>
      </c>
      <c r="AI102" s="76">
        <f t="shared" si="178"/>
        <v>0</v>
      </c>
      <c r="AK102" s="4">
        <f>IF(ROUND(SUM(AK91:AK101),3)&lt;&gt;ROUND(SUM(AL102:AO102),3),#VALUE!,SUM(AK91:AK101))</f>
        <v>-45399000</v>
      </c>
      <c r="AL102" s="4">
        <f>SUM(AL91:AL101)</f>
        <v>-8240439.7570326719</v>
      </c>
      <c r="AM102" s="4">
        <f>SUM(AM91:AM101)</f>
        <v>-6958676.2363397507</v>
      </c>
      <c r="AN102" s="4">
        <f>SUM(AN91:AN101)</f>
        <v>-30199884.006627571</v>
      </c>
      <c r="AO102" s="4">
        <f>SUM(AO91:AO101)</f>
        <v>6.4223375609564466E-11</v>
      </c>
      <c r="AP102" s="5"/>
      <c r="AQ102" s="61" t="str">
        <f>$A91&amp;":"&amp;$A101</f>
        <v>91:101</v>
      </c>
      <c r="AS102" s="4">
        <f>IF(ROUND(SUM(AS91:AS101),3)&lt;&gt;ROUND(SUM(AT102:AY102),3),#VALUE!,SUM(AS91:AS101))</f>
        <v>-8240439.7570326738</v>
      </c>
      <c r="AT102" s="4">
        <f t="shared" ref="AT102:AY102" si="209">SUM(AT91:AT101)</f>
        <v>-5219869.1667402787</v>
      </c>
      <c r="AU102" s="4">
        <f t="shared" si="209"/>
        <v>-2287067.3884029686</v>
      </c>
      <c r="AV102" s="4">
        <f t="shared" si="209"/>
        <v>0</v>
      </c>
      <c r="AW102" s="4">
        <f t="shared" si="209"/>
        <v>-82386.339198497328</v>
      </c>
      <c r="AX102" s="4">
        <f t="shared" si="209"/>
        <v>-651116.86269092897</v>
      </c>
      <c r="AY102" s="4">
        <f t="shared" si="209"/>
        <v>0</v>
      </c>
      <c r="BA102" s="4">
        <f>IF(ROUND(SUM(BA91:BA101),3)&lt;&gt;ROUND(SUM(BB102:BG102),3),#VALUE!,SUM(BA91:BA101))</f>
        <v>-6958676.2363397507</v>
      </c>
      <c r="BB102" s="4">
        <f t="shared" ref="BB102:BG102" si="210">SUM(BB91:BB101)</f>
        <v>-3934097.8472668342</v>
      </c>
      <c r="BC102" s="4">
        <f t="shared" si="210"/>
        <v>-2427935.4689291813</v>
      </c>
      <c r="BD102" s="4">
        <f t="shared" si="210"/>
        <v>0</v>
      </c>
      <c r="BE102" s="4">
        <f t="shared" si="210"/>
        <v>-52313.936026761345</v>
      </c>
      <c r="BF102" s="4">
        <f t="shared" si="210"/>
        <v>-544328.9841169737</v>
      </c>
      <c r="BG102" s="4">
        <f t="shared" si="210"/>
        <v>0</v>
      </c>
      <c r="BI102" s="4">
        <f>IF(ROUND(SUM(BI91:BI101),3)&lt;&gt;ROUND(SUM(BJ102:BO102),3),#VALUE!,SUM(BI91:BI101))</f>
        <v>-30199884.006627571</v>
      </c>
      <c r="BJ102" s="4">
        <f t="shared" ref="BJ102:BO102" si="211">SUM(BJ91:BJ101)</f>
        <v>-29059332.264955834</v>
      </c>
      <c r="BK102" s="4">
        <f t="shared" si="211"/>
        <v>-1084044.688379792</v>
      </c>
      <c r="BL102" s="4">
        <f t="shared" si="211"/>
        <v>0</v>
      </c>
      <c r="BM102" s="4">
        <f t="shared" si="211"/>
        <v>-5244.7018881089689</v>
      </c>
      <c r="BN102" s="4">
        <f t="shared" si="211"/>
        <v>-51262.351403840672</v>
      </c>
      <c r="BO102" s="4">
        <f t="shared" si="211"/>
        <v>0</v>
      </c>
    </row>
    <row r="103" spans="1:67">
      <c r="A103" s="50">
        <f t="shared" si="135"/>
        <v>103</v>
      </c>
      <c r="E103" s="2"/>
      <c r="F103" s="60"/>
      <c r="G103" s="60"/>
      <c r="P103" s="61"/>
      <c r="Q103" s="61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76">
        <f t="shared" si="178"/>
        <v>0</v>
      </c>
      <c r="AQ103" s="61"/>
    </row>
    <row r="104" spans="1:67">
      <c r="A104" s="50">
        <f t="shared" si="135"/>
        <v>104</v>
      </c>
      <c r="D104" t="s">
        <v>107</v>
      </c>
      <c r="E104" s="2">
        <f>E71+E87+E102</f>
        <v>-286367000</v>
      </c>
      <c r="F104" s="60" t="str">
        <f>"("&amp;A$71&amp;"+"&amp;A$87&amp;"+"&amp;A$102&amp;")"</f>
        <v>(71+87+102)</v>
      </c>
      <c r="G104" s="60"/>
      <c r="H104" s="2">
        <f t="shared" ref="H104:N104" si="212">H71+H87+H102</f>
        <v>-286367000</v>
      </c>
      <c r="I104" s="2">
        <f t="shared" si="212"/>
        <v>-221700318.04398128</v>
      </c>
      <c r="J104" s="2">
        <f t="shared" si="212"/>
        <v>-50657351.300189033</v>
      </c>
      <c r="K104" s="2">
        <f t="shared" si="212"/>
        <v>0</v>
      </c>
      <c r="L104" s="2">
        <f t="shared" si="212"/>
        <v>-1259456.956466008</v>
      </c>
      <c r="M104" s="2">
        <f>M71+M87+M102</f>
        <v>-12749873.699363686</v>
      </c>
      <c r="N104" s="2">
        <f t="shared" si="212"/>
        <v>0</v>
      </c>
      <c r="O104" s="2"/>
      <c r="P104" s="61" t="str">
        <f>"Sum("&amp;$A71&amp;","&amp;$A87&amp;","&amp;$A102&amp;")"</f>
        <v>Sum(71,87,102)</v>
      </c>
      <c r="Q104" s="61"/>
      <c r="R104" s="14">
        <f>($E71*R71+$E87*R87+$E102*R102)/$E104</f>
        <v>0.16049711026332744</v>
      </c>
      <c r="S104" s="14">
        <f t="shared" ref="S104:AH104" si="213">($E71*S71+$E87*S87+$E102*S102)/$E104</f>
        <v>2.4126370070587941E-3</v>
      </c>
      <c r="T104" s="14">
        <f t="shared" si="213"/>
        <v>7.9589678512961802E-3</v>
      </c>
      <c r="U104" s="14">
        <f t="shared" si="213"/>
        <v>5.3263861774059056E-2</v>
      </c>
      <c r="V104" s="14">
        <f t="shared" si="213"/>
        <v>0</v>
      </c>
      <c r="W104" s="14">
        <f t="shared" si="213"/>
        <v>0.25695599185854551</v>
      </c>
      <c r="X104" s="14">
        <f t="shared" si="213"/>
        <v>0</v>
      </c>
      <c r="Y104" s="14">
        <f t="shared" si="213"/>
        <v>0</v>
      </c>
      <c r="Z104" s="14">
        <f t="shared" si="213"/>
        <v>0</v>
      </c>
      <c r="AA104" s="14">
        <f t="shared" si="213"/>
        <v>0</v>
      </c>
      <c r="AB104" s="14">
        <f t="shared" si="213"/>
        <v>6.5495901749331578E-2</v>
      </c>
      <c r="AC104" s="14">
        <f t="shared" si="213"/>
        <v>0.36321969927547398</v>
      </c>
      <c r="AD104" s="14">
        <f t="shared" si="213"/>
        <v>8.4429492885743626E-2</v>
      </c>
      <c r="AE104" s="14">
        <f t="shared" si="213"/>
        <v>0</v>
      </c>
      <c r="AF104" s="14">
        <f t="shared" si="213"/>
        <v>5.7663373351637803E-3</v>
      </c>
      <c r="AG104" s="14">
        <f t="shared" si="213"/>
        <v>0</v>
      </c>
      <c r="AH104" s="14">
        <f t="shared" si="213"/>
        <v>-2.2426947102691465E-19</v>
      </c>
      <c r="AI104" s="76">
        <f t="shared" si="178"/>
        <v>0</v>
      </c>
      <c r="AK104" s="2">
        <f>AK71+AK87+AK102</f>
        <v>-286367000</v>
      </c>
      <c r="AL104" s="2">
        <f>AL71+AL87+AL102</f>
        <v>-64184173.647902794</v>
      </c>
      <c r="AM104" s="2">
        <f>AM71+AM87+AM102</f>
        <v>-73583716.520556107</v>
      </c>
      <c r="AN104" s="2">
        <f>AN71+AN87+AN102</f>
        <v>-148599109.83154109</v>
      </c>
      <c r="AO104" s="2">
        <f>AO71+AO87+AO102</f>
        <v>6.4223375609564466E-11</v>
      </c>
      <c r="AP104" s="2"/>
      <c r="AQ104" s="61" t="str">
        <f>"Sum("&amp;$A71&amp;","&amp;$A87&amp;","&amp;$A102&amp;")"</f>
        <v>Sum(71,87,102)</v>
      </c>
      <c r="AS104" s="2">
        <f t="shared" ref="AS104:AY104" si="214">AS71+AS87+AS102</f>
        <v>-64184173.647902802</v>
      </c>
      <c r="AT104" s="2">
        <f t="shared" si="214"/>
        <v>-39378069.52143833</v>
      </c>
      <c r="AU104" s="2">
        <f t="shared" si="214"/>
        <v>-17682567.083139725</v>
      </c>
      <c r="AV104" s="2">
        <f t="shared" si="214"/>
        <v>0</v>
      </c>
      <c r="AW104" s="2">
        <f t="shared" si="214"/>
        <v>-658554.19065211015</v>
      </c>
      <c r="AX104" s="2">
        <f t="shared" si="214"/>
        <v>-6464982.8526726365</v>
      </c>
      <c r="AY104" s="2">
        <f t="shared" si="214"/>
        <v>0</v>
      </c>
      <c r="BA104" s="2">
        <f t="shared" ref="BA104:BG104" si="215">BA71+BA87+BA102</f>
        <v>-73583716.520556107</v>
      </c>
      <c r="BB104" s="2">
        <f t="shared" si="215"/>
        <v>-41600662.385419652</v>
      </c>
      <c r="BC104" s="2">
        <f t="shared" si="215"/>
        <v>-25673922.626677815</v>
      </c>
      <c r="BD104" s="2">
        <f t="shared" si="215"/>
        <v>0</v>
      </c>
      <c r="BE104" s="2">
        <f t="shared" si="215"/>
        <v>-553187.66212530655</v>
      </c>
      <c r="BF104" s="2">
        <f t="shared" si="215"/>
        <v>-5755943.8463333175</v>
      </c>
      <c r="BG104" s="2">
        <f t="shared" si="215"/>
        <v>0</v>
      </c>
      <c r="BI104" s="2">
        <f t="shared" ref="BI104:BO104" si="216">BI71+BI87+BI102</f>
        <v>-148599109.83154109</v>
      </c>
      <c r="BJ104" s="2">
        <f t="shared" si="216"/>
        <v>-140721586.13712329</v>
      </c>
      <c r="BK104" s="2">
        <f t="shared" si="216"/>
        <v>-7300861.590371497</v>
      </c>
      <c r="BL104" s="2">
        <f t="shared" si="216"/>
        <v>0</v>
      </c>
      <c r="BM104" s="2">
        <f t="shared" si="216"/>
        <v>-47715.103688591465</v>
      </c>
      <c r="BN104" s="2">
        <f t="shared" si="216"/>
        <v>-528947.00035773264</v>
      </c>
      <c r="BO104" s="2">
        <f t="shared" si="216"/>
        <v>0</v>
      </c>
    </row>
    <row r="105" spans="1:67">
      <c r="A105" s="50">
        <f t="shared" si="135"/>
        <v>105</v>
      </c>
      <c r="E105" s="2"/>
      <c r="F105" s="60"/>
      <c r="G105" s="60"/>
      <c r="P105" s="61"/>
      <c r="Q105" s="61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76">
        <f t="shared" si="178"/>
        <v>0</v>
      </c>
      <c r="AQ105" s="61"/>
    </row>
    <row r="106" spans="1:67">
      <c r="A106" s="50">
        <f t="shared" si="135"/>
        <v>106</v>
      </c>
      <c r="D106" t="s">
        <v>73</v>
      </c>
      <c r="E106" s="2"/>
      <c r="F106" s="60"/>
      <c r="G106" s="60"/>
      <c r="P106" s="61"/>
      <c r="Q106" s="61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76">
        <f t="shared" si="178"/>
        <v>0</v>
      </c>
      <c r="AQ106" s="61"/>
    </row>
    <row r="107" spans="1:67">
      <c r="A107" s="50">
        <f t="shared" si="135"/>
        <v>107</v>
      </c>
      <c r="B107" s="51">
        <v>303.10000000000002</v>
      </c>
      <c r="C107" s="36" t="s">
        <v>151</v>
      </c>
      <c r="D107" s="28" t="s">
        <v>227</v>
      </c>
      <c r="E107" s="369">
        <f>PROFORMA!AY351</f>
        <v>-21875000</v>
      </c>
      <c r="F107" s="61" t="s">
        <v>996</v>
      </c>
      <c r="G107" s="60"/>
      <c r="H107" s="2">
        <f>SUM(I107:N107)</f>
        <v>-21875000</v>
      </c>
      <c r="I107" s="2">
        <f t="shared" ref="I107:N109" si="217">$E107*SUMPRODUCT($R107:$AH107,INDEX(AllocFactors,I$4,0))</f>
        <v>-18412650.536957081</v>
      </c>
      <c r="J107" s="2">
        <f t="shared" si="217"/>
        <v>-2794206.1512907492</v>
      </c>
      <c r="K107" s="2">
        <f t="shared" si="217"/>
        <v>0</v>
      </c>
      <c r="L107" s="2">
        <f t="shared" si="217"/>
        <v>-67430.920821051506</v>
      </c>
      <c r="M107" s="2">
        <f t="shared" si="217"/>
        <v>-600712.39093111921</v>
      </c>
      <c r="N107" s="2">
        <f t="shared" si="217"/>
        <v>0</v>
      </c>
      <c r="O107" s="2"/>
      <c r="P107" s="61" t="s">
        <v>997</v>
      </c>
      <c r="Q107" s="61"/>
      <c r="R107" s="14">
        <f>(R$116*0.25)+(R$255*0.25)+(BS$254*0.25)</f>
        <v>9.9370957155623774E-2</v>
      </c>
      <c r="S107" s="14">
        <f>(S$116*0.25)+(S$255*0.25)+(BT$254*0.25)</f>
        <v>1.5218388550417537E-2</v>
      </c>
      <c r="T107" s="14">
        <f t="shared" ref="T107:AG107" si="218">(T$116*0.25)+(T$255*0.25)+(BU$254*0.25)</f>
        <v>8.699877677308605E-3</v>
      </c>
      <c r="U107" s="14">
        <f t="shared" si="218"/>
        <v>5.822225830198835E-2</v>
      </c>
      <c r="V107" s="14">
        <f t="shared" si="218"/>
        <v>0</v>
      </c>
      <c r="W107" s="14">
        <f t="shared" si="218"/>
        <v>0.15327818313927072</v>
      </c>
      <c r="X107" s="14">
        <f t="shared" si="218"/>
        <v>0</v>
      </c>
      <c r="Y107" s="14">
        <f t="shared" si="218"/>
        <v>0</v>
      </c>
      <c r="Z107" s="14">
        <f t="shared" si="218"/>
        <v>0</v>
      </c>
      <c r="AA107" s="14">
        <f t="shared" si="218"/>
        <v>0</v>
      </c>
      <c r="AB107" s="14">
        <f>(AB$116*0.25)+(AB$255*0.25)+(CC$254*0.25)+0.25</f>
        <v>0.41313387731559803</v>
      </c>
      <c r="AC107" s="14">
        <f t="shared" si="218"/>
        <v>0.17108548237195526</v>
      </c>
      <c r="AD107" s="14">
        <f t="shared" si="218"/>
        <v>7.9473703927617212E-2</v>
      </c>
      <c r="AE107" s="14">
        <f t="shared" si="218"/>
        <v>0</v>
      </c>
      <c r="AF107" s="14">
        <f t="shared" si="218"/>
        <v>1.5172715602204624E-3</v>
      </c>
      <c r="AG107" s="14">
        <f t="shared" si="218"/>
        <v>0</v>
      </c>
      <c r="AH107" s="14">
        <f>AH$43</f>
        <v>0</v>
      </c>
      <c r="AI107" s="76">
        <f t="shared" si="178"/>
        <v>0</v>
      </c>
      <c r="AK107" s="2">
        <f>SUM(AL107:AO107)</f>
        <v>-21875000</v>
      </c>
      <c r="AL107" s="2">
        <f t="shared" ref="AL107:AO109" si="219">SUMIF($R$4:$AH$4,AL$5,$R107:$AH107)*$E107</f>
        <v>-3970563.6618667743</v>
      </c>
      <c r="AM107" s="2">
        <f t="shared" si="219"/>
        <v>-3352960.2561715469</v>
      </c>
      <c r="AN107" s="2">
        <f t="shared" si="219"/>
        <v>-14551476.081961676</v>
      </c>
      <c r="AO107" s="2">
        <f t="shared" si="219"/>
        <v>0</v>
      </c>
      <c r="AP107" s="2"/>
      <c r="AQ107" s="61" t="str">
        <f>E$1&amp;$A107&amp;"*      """</f>
        <v>E107*      "</v>
      </c>
      <c r="AS107" s="2">
        <f>SUM(AT107:AY107)</f>
        <v>-3970563.6618667748</v>
      </c>
      <c r="AT107" s="2">
        <f t="shared" ref="AT107:AY109" si="220">$E107*SUMPRODUCT($R107:$V107,INDEX(AllocFactors_E,AT$4,0))</f>
        <v>-2515135.5321140019</v>
      </c>
      <c r="AU107" s="2">
        <f t="shared" si="220"/>
        <v>-1101997.8220074219</v>
      </c>
      <c r="AV107" s="2">
        <f t="shared" si="220"/>
        <v>0</v>
      </c>
      <c r="AW107" s="2">
        <f t="shared" si="220"/>
        <v>-39696.935394328706</v>
      </c>
      <c r="AX107" s="2">
        <f t="shared" si="220"/>
        <v>-313733.3723510225</v>
      </c>
      <c r="AY107" s="2">
        <f t="shared" si="220"/>
        <v>0</v>
      </c>
      <c r="BA107" s="2">
        <f>SUM(BB107:BG107)</f>
        <v>-3352960.2561715464</v>
      </c>
      <c r="BB107" s="2">
        <f t="shared" ref="BB107:BG109" si="221">$E107*SUMPRODUCT($W107:$AA107,INDEX(AllocFactors_D,BB$4,0))</f>
        <v>-1895601.0134355822</v>
      </c>
      <c r="BC107" s="2">
        <f t="shared" si="221"/>
        <v>-1169873.5298756766</v>
      </c>
      <c r="BD107" s="2">
        <f t="shared" si="221"/>
        <v>0</v>
      </c>
      <c r="BE107" s="2">
        <f t="shared" si="221"/>
        <v>-25206.884525769387</v>
      </c>
      <c r="BF107" s="2">
        <f t="shared" si="221"/>
        <v>-262278.82833451836</v>
      </c>
      <c r="BG107" s="2">
        <f t="shared" si="221"/>
        <v>0</v>
      </c>
      <c r="BI107" s="2">
        <f>SUM(BJ107:BO107)</f>
        <v>-14551476.081961678</v>
      </c>
      <c r="BJ107" s="2">
        <f t="shared" ref="BJ107:BO109" si="222">$E107*SUMPRODUCT($AB107:$AG107,INDEX(AllocFactors_C,BJ$4,0))</f>
        <v>-14001913.991407495</v>
      </c>
      <c r="BK107" s="2">
        <f t="shared" si="222"/>
        <v>-522334.79940765101</v>
      </c>
      <c r="BL107" s="2">
        <f t="shared" si="222"/>
        <v>0</v>
      </c>
      <c r="BM107" s="2">
        <f t="shared" si="222"/>
        <v>-2527.1009009534068</v>
      </c>
      <c r="BN107" s="2">
        <f t="shared" si="222"/>
        <v>-24700.190245578418</v>
      </c>
      <c r="BO107" s="2">
        <f t="shared" si="222"/>
        <v>0</v>
      </c>
    </row>
    <row r="108" spans="1:67">
      <c r="A108" s="50">
        <f t="shared" si="135"/>
        <v>108</v>
      </c>
      <c r="B108" s="51">
        <v>303.12</v>
      </c>
      <c r="C108" s="38" t="s">
        <v>151</v>
      </c>
      <c r="D108" s="427" t="s">
        <v>1251</v>
      </c>
      <c r="E108" s="369">
        <f>PROFORMA!AY352</f>
        <v>-3554000</v>
      </c>
      <c r="F108" s="61" t="s">
        <v>996</v>
      </c>
      <c r="G108" s="60"/>
      <c r="H108" s="2">
        <f t="shared" ref="H108:H109" si="223">SUM(I108:N108)</f>
        <v>-3554000.0000000005</v>
      </c>
      <c r="I108" s="2">
        <f>$E108*SUMPRODUCT($R108:$AH108,INDEX(AllocFactors,I$4,0))</f>
        <v>-2991477.0289529357</v>
      </c>
      <c r="J108" s="2">
        <f t="shared" si="217"/>
        <v>-453970.68167713477</v>
      </c>
      <c r="K108" s="2">
        <f t="shared" si="217"/>
        <v>0</v>
      </c>
      <c r="L108" s="2">
        <f t="shared" si="217"/>
        <v>-10955.405375909351</v>
      </c>
      <c r="M108" s="2">
        <f t="shared" si="217"/>
        <v>-97596.883994020463</v>
      </c>
      <c r="N108" s="2">
        <f t="shared" si="217"/>
        <v>0</v>
      </c>
      <c r="O108" s="2"/>
      <c r="P108" s="61" t="s">
        <v>997</v>
      </c>
      <c r="Q108" s="61"/>
      <c r="R108" s="14">
        <f>(R$116*0.25)+(R$255*0.25)+(BS$254*0.25)</f>
        <v>9.9370957155623774E-2</v>
      </c>
      <c r="S108" s="14">
        <f>(S$116*0.25)+(S$255*0.25)+(BT$254*0.25)</f>
        <v>1.5218388550417537E-2</v>
      </c>
      <c r="T108" s="14">
        <f t="shared" ref="T108" si="224">(T$116*0.25)+(T$255*0.25)+(BU$254*0.25)</f>
        <v>8.699877677308605E-3</v>
      </c>
      <c r="U108" s="14">
        <f t="shared" ref="U108" si="225">(U$116*0.25)+(U$255*0.25)+(BV$254*0.25)</f>
        <v>5.822225830198835E-2</v>
      </c>
      <c r="V108" s="14">
        <f t="shared" ref="V108" si="226">(V$116*0.25)+(V$255*0.25)+(BW$254*0.25)</f>
        <v>0</v>
      </c>
      <c r="W108" s="14">
        <f t="shared" ref="W108" si="227">(W$116*0.25)+(W$255*0.25)+(BX$254*0.25)</f>
        <v>0.15327818313927072</v>
      </c>
      <c r="X108" s="14">
        <f t="shared" ref="X108" si="228">(X$116*0.25)+(X$255*0.25)+(BY$254*0.25)</f>
        <v>0</v>
      </c>
      <c r="Y108" s="14">
        <f t="shared" ref="Y108" si="229">(Y$116*0.25)+(Y$255*0.25)+(BZ$254*0.25)</f>
        <v>0</v>
      </c>
      <c r="Z108" s="14">
        <f t="shared" ref="Z108" si="230">(Z$116*0.25)+(Z$255*0.25)+(CA$254*0.25)</f>
        <v>0</v>
      </c>
      <c r="AA108" s="14">
        <f t="shared" ref="AA108" si="231">(AA$116*0.25)+(AA$255*0.25)+(CB$254*0.25)</f>
        <v>0</v>
      </c>
      <c r="AB108" s="14">
        <f>(AB$116*0.25)+(AB$255*0.25)+(CC$254*0.25)+0.25</f>
        <v>0.41313387731559803</v>
      </c>
      <c r="AC108" s="14">
        <f t="shared" ref="AC108" si="232">(AC$116*0.25)+(AC$255*0.25)+(CD$254*0.25)</f>
        <v>0.17108548237195526</v>
      </c>
      <c r="AD108" s="14">
        <f t="shared" ref="AD108" si="233">(AD$116*0.25)+(AD$255*0.25)+(CE$254*0.25)</f>
        <v>7.9473703927617212E-2</v>
      </c>
      <c r="AE108" s="14">
        <f t="shared" ref="AE108" si="234">(AE$116*0.25)+(AE$255*0.25)+(CF$254*0.25)</f>
        <v>0</v>
      </c>
      <c r="AF108" s="14">
        <f t="shared" ref="AF108" si="235">(AF$116*0.25)+(AF$255*0.25)+(CG$254*0.25)</f>
        <v>1.5172715602204624E-3</v>
      </c>
      <c r="AG108" s="14"/>
      <c r="AH108" s="14"/>
      <c r="AI108" s="76"/>
      <c r="AK108" s="2">
        <f t="shared" ref="AK108:AK109" si="236">SUM(AL108:AO108)</f>
        <v>-3554000</v>
      </c>
      <c r="AL108" s="2">
        <f t="shared" si="219"/>
        <v>-645091.80590969219</v>
      </c>
      <c r="AM108" s="2">
        <f t="shared" si="219"/>
        <v>-544750.66287696816</v>
      </c>
      <c r="AN108" s="2">
        <f t="shared" si="219"/>
        <v>-2364157.5312133394</v>
      </c>
      <c r="AO108" s="2">
        <f t="shared" si="219"/>
        <v>0</v>
      </c>
      <c r="AP108" s="2"/>
      <c r="AQ108" s="61" t="str">
        <f>E$1&amp;$A108&amp;"*      """</f>
        <v>E108*      "</v>
      </c>
      <c r="AS108" s="2">
        <f t="shared" ref="AS108:AS109" si="237">SUM(AT108:AY108)</f>
        <v>-645091.80590969231</v>
      </c>
      <c r="AT108" s="2">
        <f t="shared" si="220"/>
        <v>-408630.47685180174</v>
      </c>
      <c r="AU108" s="2">
        <f t="shared" si="220"/>
        <v>-179040.01185894295</v>
      </c>
      <c r="AV108" s="2">
        <f t="shared" si="220"/>
        <v>0</v>
      </c>
      <c r="AW108" s="2">
        <f t="shared" si="220"/>
        <v>-6449.5043836088789</v>
      </c>
      <c r="AX108" s="2">
        <f t="shared" si="220"/>
        <v>-50971.812815338693</v>
      </c>
      <c r="AY108" s="2"/>
      <c r="BA108" s="2">
        <f>SUM(BB108:BG108)</f>
        <v>-544750.66287696804</v>
      </c>
      <c r="BB108" s="2">
        <f t="shared" si="221"/>
        <v>-307975.58865143126</v>
      </c>
      <c r="BC108" s="2">
        <f t="shared" si="221"/>
        <v>-190067.68115100136</v>
      </c>
      <c r="BD108" s="2">
        <f t="shared" si="221"/>
        <v>0</v>
      </c>
      <c r="BE108" s="2">
        <f t="shared" si="221"/>
        <v>-4095.3265190667157</v>
      </c>
      <c r="BF108" s="2">
        <f t="shared" si="221"/>
        <v>-42612.066555468722</v>
      </c>
      <c r="BG108" s="2"/>
      <c r="BI108" s="2">
        <f>SUM(BJ108:BO108)</f>
        <v>-2364157.5312133394</v>
      </c>
      <c r="BJ108" s="2">
        <f t="shared" si="222"/>
        <v>-2274870.9634497021</v>
      </c>
      <c r="BK108" s="2">
        <f t="shared" si="222"/>
        <v>-84862.988667190482</v>
      </c>
      <c r="BL108" s="2">
        <f t="shared" si="222"/>
        <v>0</v>
      </c>
      <c r="BM108" s="2">
        <f t="shared" si="222"/>
        <v>-410.57447323375578</v>
      </c>
      <c r="BN108" s="2">
        <f t="shared" si="222"/>
        <v>-4013.0046232130608</v>
      </c>
      <c r="BO108" s="2"/>
    </row>
    <row r="109" spans="1:67">
      <c r="A109" s="50">
        <f t="shared" si="135"/>
        <v>109</v>
      </c>
      <c r="B109" s="51">
        <v>303</v>
      </c>
      <c r="C109" s="36" t="s">
        <v>154</v>
      </c>
      <c r="D109" s="28" t="s">
        <v>278</v>
      </c>
      <c r="E109" s="369">
        <f>PROFORMA!AY353</f>
        <v>-1088000</v>
      </c>
      <c r="F109" s="60" t="s">
        <v>420</v>
      </c>
      <c r="G109" s="60"/>
      <c r="H109" s="2">
        <f t="shared" si="223"/>
        <v>-1088000</v>
      </c>
      <c r="I109" s="2">
        <f t="shared" si="217"/>
        <v>-816685.63907284057</v>
      </c>
      <c r="J109" s="2">
        <f t="shared" si="217"/>
        <v>-208885.60046188979</v>
      </c>
      <c r="K109" s="2">
        <f t="shared" si="217"/>
        <v>0</v>
      </c>
      <c r="L109" s="2">
        <f t="shared" si="217"/>
        <v>-5156.1145992246929</v>
      </c>
      <c r="M109" s="2">
        <f t="shared" si="217"/>
        <v>-57272.645866045052</v>
      </c>
      <c r="N109" s="2">
        <f t="shared" si="217"/>
        <v>0</v>
      </c>
      <c r="O109" s="2"/>
      <c r="P109" s="61" t="str">
        <f>E$1&amp;$A109&amp;"*     """</f>
        <v>E109*     "</v>
      </c>
      <c r="Q109" s="61"/>
      <c r="R109" s="14">
        <f>R$41</f>
        <v>0.1933876764871075</v>
      </c>
      <c r="S109" s="14">
        <f t="shared" ref="S109:AH109" si="238">S$41</f>
        <v>0</v>
      </c>
      <c r="T109" s="14">
        <f t="shared" si="238"/>
        <v>0</v>
      </c>
      <c r="U109" s="14">
        <f t="shared" si="238"/>
        <v>0</v>
      </c>
      <c r="V109" s="14">
        <f t="shared" si="238"/>
        <v>0</v>
      </c>
      <c r="W109" s="14">
        <f t="shared" si="238"/>
        <v>0.31084546333511004</v>
      </c>
      <c r="X109" s="14">
        <f t="shared" si="238"/>
        <v>0</v>
      </c>
      <c r="Y109" s="14">
        <f t="shared" si="238"/>
        <v>0</v>
      </c>
      <c r="Z109" s="14">
        <f t="shared" si="238"/>
        <v>0</v>
      </c>
      <c r="AA109" s="14">
        <f t="shared" si="238"/>
        <v>0</v>
      </c>
      <c r="AB109" s="14">
        <f t="shared" si="238"/>
        <v>0</v>
      </c>
      <c r="AC109" s="14">
        <f t="shared" si="238"/>
        <v>0.35888972828992466</v>
      </c>
      <c r="AD109" s="14">
        <f t="shared" si="238"/>
        <v>0.13220566312906262</v>
      </c>
      <c r="AE109" s="14">
        <f t="shared" si="238"/>
        <v>0</v>
      </c>
      <c r="AF109" s="14">
        <f t="shared" si="238"/>
        <v>4.6714687587951949E-3</v>
      </c>
      <c r="AG109" s="14">
        <f t="shared" si="238"/>
        <v>0</v>
      </c>
      <c r="AH109" s="14">
        <f t="shared" si="238"/>
        <v>0</v>
      </c>
      <c r="AI109" s="76">
        <f t="shared" si="178"/>
        <v>0</v>
      </c>
      <c r="AK109" s="2">
        <f t="shared" si="236"/>
        <v>-1088000</v>
      </c>
      <c r="AL109" s="2">
        <f t="shared" si="219"/>
        <v>-210405.79201797297</v>
      </c>
      <c r="AM109" s="2">
        <f t="shared" si="219"/>
        <v>-338199.86410859972</v>
      </c>
      <c r="AN109" s="2">
        <f t="shared" si="219"/>
        <v>-539394.34387342737</v>
      </c>
      <c r="AO109" s="2">
        <f t="shared" si="219"/>
        <v>0</v>
      </c>
      <c r="AP109" s="2"/>
      <c r="AQ109" s="61" t="str">
        <f>E$1&amp;$A109&amp;"*      """</f>
        <v>E109*      "</v>
      </c>
      <c r="AS109" s="2">
        <f t="shared" si="237"/>
        <v>-210405.792017973</v>
      </c>
      <c r="AT109" s="2">
        <f t="shared" si="220"/>
        <v>-120865.19468935989</v>
      </c>
      <c r="AU109" s="2">
        <f t="shared" si="220"/>
        <v>-58561.016081802074</v>
      </c>
      <c r="AV109" s="2">
        <f t="shared" si="220"/>
        <v>0</v>
      </c>
      <c r="AW109" s="2">
        <f t="shared" si="220"/>
        <v>-2391.3132347371775</v>
      </c>
      <c r="AX109" s="2">
        <f t="shared" si="220"/>
        <v>-28588.268012073844</v>
      </c>
      <c r="AY109" s="2">
        <f t="shared" si="220"/>
        <v>0</v>
      </c>
      <c r="BA109" s="2">
        <f t="shared" ref="BA109" si="239">SUM(BB109:BG109)</f>
        <v>-338199.86410859972</v>
      </c>
      <c r="BB109" s="2">
        <f t="shared" si="221"/>
        <v>-191201.79070659337</v>
      </c>
      <c r="BC109" s="2">
        <f t="shared" si="221"/>
        <v>-118000.52449174009</v>
      </c>
      <c r="BD109" s="2">
        <f t="shared" si="221"/>
        <v>0</v>
      </c>
      <c r="BE109" s="2">
        <f t="shared" si="221"/>
        <v>-2542.5189295116443</v>
      </c>
      <c r="BF109" s="2">
        <f t="shared" si="221"/>
        <v>-26455.029980754589</v>
      </c>
      <c r="BG109" s="2">
        <f t="shared" si="221"/>
        <v>0</v>
      </c>
      <c r="BI109" s="2">
        <f>SUM(BJ109:BO109)</f>
        <v>-539394.34387342725</v>
      </c>
      <c r="BJ109" s="2">
        <f t="shared" si="222"/>
        <v>-504618.65367688722</v>
      </c>
      <c r="BK109" s="2">
        <f t="shared" si="222"/>
        <v>-32324.059888347623</v>
      </c>
      <c r="BL109" s="2">
        <f t="shared" si="222"/>
        <v>0</v>
      </c>
      <c r="BM109" s="2">
        <f t="shared" si="222"/>
        <v>-222.28243497587141</v>
      </c>
      <c r="BN109" s="2">
        <f t="shared" si="222"/>
        <v>-2229.3478732166241</v>
      </c>
      <c r="BO109" s="2">
        <f t="shared" si="222"/>
        <v>0</v>
      </c>
    </row>
    <row r="110" spans="1:67">
      <c r="A110" s="50">
        <f t="shared" si="135"/>
        <v>110</v>
      </c>
      <c r="D110" s="52" t="s">
        <v>108</v>
      </c>
      <c r="E110" s="4">
        <f>SUM(E106:E109)</f>
        <v>-26517000</v>
      </c>
      <c r="F110" s="60"/>
      <c r="G110" s="60"/>
      <c r="H110" s="4">
        <f>IF(ROUND(SUM(H106:H109),3)&lt;&gt;ROUND(SUM(I110:N110),3),#VALUE!,SUM(H106:H109))</f>
        <v>-26517000</v>
      </c>
      <c r="I110" s="4">
        <f>SUM(I106:I109)</f>
        <v>-22220813.204982858</v>
      </c>
      <c r="J110" s="4">
        <f t="shared" ref="J110:N110" si="240">SUM(J106:J109)</f>
        <v>-3457062.4334297739</v>
      </c>
      <c r="K110" s="4">
        <f t="shared" si="240"/>
        <v>0</v>
      </c>
      <c r="L110" s="4">
        <f t="shared" si="240"/>
        <v>-83542.440796185547</v>
      </c>
      <c r="M110" s="4">
        <f t="shared" si="240"/>
        <v>-755581.92079118476</v>
      </c>
      <c r="N110" s="4">
        <f t="shared" si="240"/>
        <v>0</v>
      </c>
      <c r="O110" s="5"/>
      <c r="P110" s="61" t="str">
        <f>$A106&amp;":"&amp;$A109</f>
        <v>106:109</v>
      </c>
      <c r="Q110" s="61"/>
      <c r="R110" s="16">
        <f>SUMPRODUCT($E107:$E109,R107:R109)/$E110</f>
        <v>0.1032284897057861</v>
      </c>
      <c r="S110" s="16">
        <f t="shared" ref="S110:AH110" si="241">SUMPRODUCT($E107:$E109,S107:S109)/$E110</f>
        <v>1.4593973769603181E-2</v>
      </c>
      <c r="T110" s="16">
        <f t="shared" si="241"/>
        <v>8.3429192388385E-3</v>
      </c>
      <c r="U110" s="16">
        <f t="shared" si="241"/>
        <v>5.5833382598380728E-2</v>
      </c>
      <c r="V110" s="16">
        <f t="shared" si="241"/>
        <v>0</v>
      </c>
      <c r="W110" s="16">
        <f t="shared" si="241"/>
        <v>0.15974321315220857</v>
      </c>
      <c r="X110" s="16">
        <f t="shared" si="241"/>
        <v>0</v>
      </c>
      <c r="Y110" s="16">
        <f t="shared" si="241"/>
        <v>0</v>
      </c>
      <c r="Z110" s="16">
        <f t="shared" si="241"/>
        <v>0</v>
      </c>
      <c r="AA110" s="16">
        <f t="shared" si="241"/>
        <v>0</v>
      </c>
      <c r="AB110" s="16">
        <f t="shared" si="241"/>
        <v>0.3961828776354166</v>
      </c>
      <c r="AC110" s="16">
        <f t="shared" si="241"/>
        <v>0.17879114362921478</v>
      </c>
      <c r="AD110" s="16">
        <f t="shared" si="241"/>
        <v>8.1637311108337968E-2</v>
      </c>
      <c r="AE110" s="16">
        <f t="shared" si="241"/>
        <v>0</v>
      </c>
      <c r="AF110" s="16">
        <f t="shared" si="241"/>
        <v>1.6466891622134972E-3</v>
      </c>
      <c r="AG110" s="16">
        <f t="shared" si="241"/>
        <v>0</v>
      </c>
      <c r="AH110" s="16">
        <f t="shared" si="241"/>
        <v>0</v>
      </c>
      <c r="AI110" s="76">
        <f t="shared" si="178"/>
        <v>0</v>
      </c>
      <c r="AK110" s="4">
        <f>IF(ROUND(SUM(AK106:AK109),3)&lt;&gt;ROUND(SUM(AL110:AO110),3),#VALUE!,SUM(AK106:AK109))</f>
        <v>-26517000</v>
      </c>
      <c r="AL110" s="4">
        <f>SUM(AL106:AL109)</f>
        <v>-4826061.2597944392</v>
      </c>
      <c r="AM110" s="4">
        <f>SUM(AM106:AM109)</f>
        <v>-4235910.7831571149</v>
      </c>
      <c r="AN110" s="4">
        <f>SUM(AN106:AN109)</f>
        <v>-17455027.957048442</v>
      </c>
      <c r="AO110" s="4">
        <f>SUM(AO106:AO109)</f>
        <v>0</v>
      </c>
      <c r="AP110" s="5"/>
      <c r="AQ110" s="61" t="str">
        <f>$A106&amp;":"&amp;$A109</f>
        <v>106:109</v>
      </c>
      <c r="AS110" s="4">
        <f>IF(ROUND(SUM(AS106:AS109),3)&lt;&gt;ROUND(SUM(AT110:AY110),3),#VALUE!,SUM(AS106:AS109))</f>
        <v>-4826061.2597944401</v>
      </c>
      <c r="AT110" s="4">
        <f t="shared" ref="AT110:AY110" si="242">SUM(AT106:AT109)</f>
        <v>-3044631.2036551638</v>
      </c>
      <c r="AU110" s="4">
        <f t="shared" si="242"/>
        <v>-1339598.8499481669</v>
      </c>
      <c r="AV110" s="4">
        <f t="shared" si="242"/>
        <v>0</v>
      </c>
      <c r="AW110" s="4">
        <f t="shared" si="242"/>
        <v>-48537.753012674766</v>
      </c>
      <c r="AX110" s="4">
        <f t="shared" si="242"/>
        <v>-393293.45317843498</v>
      </c>
      <c r="AY110" s="4">
        <f t="shared" si="242"/>
        <v>0</v>
      </c>
      <c r="BA110" s="4">
        <f>IF(ROUND(SUM(BA106:BA109),3)&lt;&gt;ROUND(SUM(BB110:BG110),3),#VALUE!,SUM(BA106:BA109))</f>
        <v>-4235910.7831571139</v>
      </c>
      <c r="BB110" s="4">
        <f t="shared" ref="BB110:BG110" si="243">SUM(BB106:BB109)</f>
        <v>-2394778.392793607</v>
      </c>
      <c r="BC110" s="4">
        <f t="shared" si="243"/>
        <v>-1477941.735518418</v>
      </c>
      <c r="BD110" s="4">
        <f t="shared" si="243"/>
        <v>0</v>
      </c>
      <c r="BE110" s="4">
        <f t="shared" si="243"/>
        <v>-31844.729974347745</v>
      </c>
      <c r="BF110" s="4">
        <f t="shared" si="243"/>
        <v>-331345.92487074167</v>
      </c>
      <c r="BG110" s="4">
        <f t="shared" si="243"/>
        <v>0</v>
      </c>
      <c r="BI110" s="4">
        <f>IF(ROUND(SUM(BI106:BI109),3)&lt;&gt;ROUND(SUM(BJ110:BO110),3),#VALUE!,SUM(BI106:BI109))</f>
        <v>-17455027.957048446</v>
      </c>
      <c r="BJ110" s="4">
        <f t="shared" ref="BJ110:BO110" si="244">SUM(BJ106:BJ109)</f>
        <v>-16781403.608534083</v>
      </c>
      <c r="BK110" s="4">
        <f t="shared" si="244"/>
        <v>-639521.84796318912</v>
      </c>
      <c r="BL110" s="4">
        <f t="shared" si="244"/>
        <v>0</v>
      </c>
      <c r="BM110" s="4">
        <f t="shared" si="244"/>
        <v>-3159.9578091630337</v>
      </c>
      <c r="BN110" s="4">
        <f t="shared" si="244"/>
        <v>-30942.542742008103</v>
      </c>
      <c r="BO110" s="4">
        <f t="shared" si="244"/>
        <v>0</v>
      </c>
    </row>
    <row r="111" spans="1:67">
      <c r="A111" s="50">
        <f t="shared" si="135"/>
        <v>111</v>
      </c>
      <c r="E111" s="2"/>
      <c r="F111" s="60"/>
      <c r="G111" s="60"/>
      <c r="P111" s="61"/>
      <c r="Q111" s="61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76">
        <f t="shared" si="178"/>
        <v>0</v>
      </c>
      <c r="AQ111" s="61"/>
    </row>
    <row r="112" spans="1:67">
      <c r="A112" s="50">
        <f t="shared" si="135"/>
        <v>112</v>
      </c>
      <c r="C112" s="37"/>
      <c r="D112" s="17" t="s">
        <v>228</v>
      </c>
      <c r="E112" s="2">
        <f>E104+E110</f>
        <v>-312884000</v>
      </c>
      <c r="F112" s="60" t="str">
        <f>"("&amp;A$104&amp;"+"&amp;A$110&amp;")"</f>
        <v>(104+110)</v>
      </c>
      <c r="G112" s="60"/>
      <c r="H112" s="2">
        <f t="shared" ref="H112:N112" si="245">H104+H110</f>
        <v>-312884000</v>
      </c>
      <c r="I112" s="2">
        <f t="shared" si="245"/>
        <v>-243921131.24896413</v>
      </c>
      <c r="J112" s="2">
        <f t="shared" si="245"/>
        <v>-54114413.733618811</v>
      </c>
      <c r="K112" s="2">
        <f t="shared" si="245"/>
        <v>0</v>
      </c>
      <c r="L112" s="2">
        <f t="shared" si="245"/>
        <v>-1342999.3972621935</v>
      </c>
      <c r="M112" s="2">
        <f>M104+M110</f>
        <v>-13505455.620154871</v>
      </c>
      <c r="N112" s="2">
        <f t="shared" si="245"/>
        <v>0</v>
      </c>
      <c r="O112" s="2"/>
      <c r="P112" s="61" t="str">
        <f>$A104&amp;"+"&amp;$A110</f>
        <v>104+110</v>
      </c>
      <c r="Q112" s="61"/>
      <c r="R112" s="14">
        <f>($E104*R104+$E110*R110)/$E112</f>
        <v>0.1556435798452673</v>
      </c>
      <c r="S112" s="14">
        <f t="shared" ref="S112:AH112" si="246">($E104*S104+$E110*S110)/$E112</f>
        <v>3.445008451211865E-3</v>
      </c>
      <c r="T112" s="14">
        <f t="shared" si="246"/>
        <v>7.991507830788452E-3</v>
      </c>
      <c r="U112" s="14">
        <f t="shared" si="246"/>
        <v>5.3481629329122718E-2</v>
      </c>
      <c r="V112" s="14">
        <f t="shared" si="246"/>
        <v>0</v>
      </c>
      <c r="W112" s="14">
        <f t="shared" si="246"/>
        <v>0.24871718369655596</v>
      </c>
      <c r="X112" s="14">
        <f t="shared" si="246"/>
        <v>0</v>
      </c>
      <c r="Y112" s="14">
        <f t="shared" si="246"/>
        <v>0</v>
      </c>
      <c r="Z112" s="14">
        <f t="shared" si="246"/>
        <v>0</v>
      </c>
      <c r="AA112" s="14">
        <f t="shared" si="246"/>
        <v>0</v>
      </c>
      <c r="AB112" s="14">
        <f t="shared" si="246"/>
        <v>9.3521708564545253E-2</v>
      </c>
      <c r="AC112" s="14">
        <f t="shared" si="246"/>
        <v>0.3475893314392412</v>
      </c>
      <c r="AD112" s="14">
        <f t="shared" si="246"/>
        <v>8.4192854757263208E-2</v>
      </c>
      <c r="AE112" s="14">
        <f t="shared" si="246"/>
        <v>0</v>
      </c>
      <c r="AF112" s="14">
        <f t="shared" si="246"/>
        <v>5.4171960860039557E-3</v>
      </c>
      <c r="AG112" s="14">
        <f t="shared" si="246"/>
        <v>0</v>
      </c>
      <c r="AH112" s="14">
        <f t="shared" si="246"/>
        <v>-2.0526257529808002E-19</v>
      </c>
      <c r="AI112" s="76">
        <f t="shared" si="178"/>
        <v>0</v>
      </c>
      <c r="AK112" s="2">
        <f>AK104+AK110</f>
        <v>-312884000</v>
      </c>
      <c r="AL112" s="2">
        <f>AL104+AL110</f>
        <v>-69010234.907697231</v>
      </c>
      <c r="AM112" s="2">
        <f>AM104+AM110</f>
        <v>-77819627.303713217</v>
      </c>
      <c r="AN112" s="2">
        <f>AN104+AN110</f>
        <v>-166054137.78858954</v>
      </c>
      <c r="AO112" s="2">
        <f>AO104+AO110</f>
        <v>6.4223375609564466E-11</v>
      </c>
      <c r="AP112" s="2"/>
      <c r="AQ112" s="61" t="str">
        <f>$A104&amp;"+"&amp;$A110</f>
        <v>104+110</v>
      </c>
      <c r="AS112" s="2">
        <f t="shared" ref="AS112:AY112" si="247">AS104+AS110</f>
        <v>-69010234.907697245</v>
      </c>
      <c r="AT112" s="2">
        <f t="shared" si="247"/>
        <v>-42422700.725093491</v>
      </c>
      <c r="AU112" s="2">
        <f t="shared" si="247"/>
        <v>-19022165.933087893</v>
      </c>
      <c r="AV112" s="2">
        <f t="shared" si="247"/>
        <v>0</v>
      </c>
      <c r="AW112" s="2">
        <f t="shared" si="247"/>
        <v>-707091.94366478489</v>
      </c>
      <c r="AX112" s="2">
        <f t="shared" si="247"/>
        <v>-6858276.3058510711</v>
      </c>
      <c r="AY112" s="2">
        <f t="shared" si="247"/>
        <v>0</v>
      </c>
      <c r="BA112" s="2">
        <f t="shared" ref="BA112:BG112" si="248">BA104+BA110</f>
        <v>-77819627.303713217</v>
      </c>
      <c r="BB112" s="2">
        <f t="shared" si="248"/>
        <v>-43995440.778213263</v>
      </c>
      <c r="BC112" s="2">
        <f t="shared" si="248"/>
        <v>-27151864.362196233</v>
      </c>
      <c r="BD112" s="2">
        <f t="shared" si="248"/>
        <v>0</v>
      </c>
      <c r="BE112" s="2">
        <f t="shared" si="248"/>
        <v>-585032.3920996543</v>
      </c>
      <c r="BF112" s="2">
        <f t="shared" si="248"/>
        <v>-6087289.771204059</v>
      </c>
      <c r="BG112" s="2">
        <f t="shared" si="248"/>
        <v>0</v>
      </c>
      <c r="BI112" s="2">
        <f t="shared" ref="BI112:BO112" si="249">BI104+BI110</f>
        <v>-166054137.78858954</v>
      </c>
      <c r="BJ112" s="2">
        <f t="shared" si="249"/>
        <v>-157502989.74565738</v>
      </c>
      <c r="BK112" s="2">
        <f t="shared" si="249"/>
        <v>-7940383.4383346858</v>
      </c>
      <c r="BL112" s="2">
        <f t="shared" si="249"/>
        <v>0</v>
      </c>
      <c r="BM112" s="2">
        <f t="shared" si="249"/>
        <v>-50875.061497754497</v>
      </c>
      <c r="BN112" s="2">
        <f t="shared" si="249"/>
        <v>-559889.54309974075</v>
      </c>
      <c r="BO112" s="2">
        <f t="shared" si="249"/>
        <v>0</v>
      </c>
    </row>
    <row r="113" spans="1:85">
      <c r="A113" s="50">
        <f t="shared" si="135"/>
        <v>113</v>
      </c>
      <c r="E113" s="2"/>
      <c r="F113" s="60"/>
      <c r="G113" s="60"/>
      <c r="H113" s="2"/>
      <c r="I113" s="2"/>
      <c r="J113" s="2"/>
      <c r="K113" s="2"/>
      <c r="L113" s="2"/>
      <c r="M113" s="2"/>
      <c r="N113" s="2"/>
      <c r="O113" s="2"/>
      <c r="P113" s="61"/>
      <c r="Q113" s="61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76">
        <f t="shared" si="178"/>
        <v>0</v>
      </c>
      <c r="AK113" s="2"/>
      <c r="AL113" s="2"/>
      <c r="AM113" s="2"/>
      <c r="AN113" s="2"/>
      <c r="AO113" s="2"/>
      <c r="AP113" s="2"/>
      <c r="AQ113" s="61"/>
      <c r="AS113" s="2"/>
      <c r="AT113" s="2"/>
      <c r="AU113" s="2"/>
      <c r="AV113" s="2"/>
      <c r="AW113" s="2"/>
      <c r="AX113" s="2"/>
      <c r="AY113" s="2"/>
      <c r="BA113" s="2"/>
      <c r="BB113" s="2"/>
      <c r="BC113" s="2"/>
      <c r="BD113" s="2"/>
      <c r="BE113" s="2"/>
      <c r="BF113" s="2"/>
      <c r="BG113" s="2"/>
      <c r="BI113" s="2"/>
      <c r="BJ113" s="2"/>
      <c r="BK113" s="2"/>
      <c r="BL113" s="2"/>
      <c r="BM113" s="2"/>
      <c r="BN113" s="2"/>
      <c r="BO113" s="2"/>
    </row>
    <row r="114" spans="1:85">
      <c r="A114" s="50">
        <f t="shared" si="135"/>
        <v>114</v>
      </c>
      <c r="C114" s="37"/>
      <c r="D114" s="1" t="s">
        <v>109</v>
      </c>
      <c r="E114" s="2">
        <f>E58+E112</f>
        <v>639292000</v>
      </c>
      <c r="F114" s="60" t="str">
        <f>"("&amp;A$58&amp;"+"&amp;A$112&amp;")"</f>
        <v>(58+112)</v>
      </c>
      <c r="G114" s="60" t="s">
        <v>421</v>
      </c>
      <c r="H114" s="2">
        <f>H58+H112</f>
        <v>639292000</v>
      </c>
      <c r="I114" s="2">
        <f t="shared" ref="I114:N114" si="250">I58+I112</f>
        <v>484653333.96997064</v>
      </c>
      <c r="J114" s="2">
        <f t="shared" si="250"/>
        <v>120789526.56091933</v>
      </c>
      <c r="K114" s="2">
        <f t="shared" si="250"/>
        <v>0</v>
      </c>
      <c r="L114" s="2">
        <f t="shared" si="250"/>
        <v>2988575.5924214488</v>
      </c>
      <c r="M114" s="2">
        <f>M58+M112</f>
        <v>30860563.876688622</v>
      </c>
      <c r="N114" s="2">
        <f t="shared" si="250"/>
        <v>0</v>
      </c>
      <c r="O114" s="2"/>
      <c r="P114" s="61" t="str">
        <f>$A58&amp;"+"&amp;$A112</f>
        <v>58+112</v>
      </c>
      <c r="Q114" s="61"/>
      <c r="R114" s="14">
        <f>($E58*R58+$E112*R112)/$E114</f>
        <v>0.17560793401126409</v>
      </c>
      <c r="S114" s="14">
        <f t="shared" ref="S114:AH114" si="251">($E58*S58+$E112*S112)/$E114</f>
        <v>2.2999503015635123E-3</v>
      </c>
      <c r="T114" s="14">
        <f t="shared" si="251"/>
        <v>6.1838211359923909E-3</v>
      </c>
      <c r="U114" s="14">
        <f t="shared" si="251"/>
        <v>4.138403375625678E-2</v>
      </c>
      <c r="V114" s="14">
        <f t="shared" si="251"/>
        <v>0</v>
      </c>
      <c r="W114" s="14">
        <f t="shared" si="251"/>
        <v>0.28129241255650222</v>
      </c>
      <c r="X114" s="14">
        <f t="shared" si="251"/>
        <v>0</v>
      </c>
      <c r="Y114" s="14">
        <f t="shared" si="251"/>
        <v>0</v>
      </c>
      <c r="Z114" s="14">
        <f t="shared" si="251"/>
        <v>0</v>
      </c>
      <c r="AA114" s="14">
        <f t="shared" si="251"/>
        <v>0</v>
      </c>
      <c r="AB114" s="14">
        <f t="shared" si="251"/>
        <v>6.2436793657239295E-2</v>
      </c>
      <c r="AC114" s="14">
        <f t="shared" si="251"/>
        <v>0.29365195875539685</v>
      </c>
      <c r="AD114" s="14">
        <f t="shared" si="251"/>
        <v>0.13394362962750209</v>
      </c>
      <c r="AE114" s="14">
        <f t="shared" si="251"/>
        <v>0</v>
      </c>
      <c r="AF114" s="14">
        <f t="shared" si="251"/>
        <v>3.1994661982827793E-3</v>
      </c>
      <c r="AG114" s="14">
        <f t="shared" si="251"/>
        <v>0</v>
      </c>
      <c r="AH114" s="14">
        <f t="shared" si="251"/>
        <v>-2.6063789426818201E-19</v>
      </c>
      <c r="AI114" s="76">
        <f t="shared" si="178"/>
        <v>0</v>
      </c>
      <c r="AK114" s="2">
        <f>AK58+AK112</f>
        <v>639292000</v>
      </c>
      <c r="AL114" s="2">
        <f>AL58+AL112</f>
        <v>144144836.26789194</v>
      </c>
      <c r="AM114" s="2">
        <f>AM58+AM112</f>
        <v>179827989.00807148</v>
      </c>
      <c r="AN114" s="2">
        <f>AN58+AN112</f>
        <v>315319174.72403657</v>
      </c>
      <c r="AO114" s="2">
        <f>AO58+AO112</f>
        <v>-1.7265009969975761E-10</v>
      </c>
      <c r="AP114" s="2"/>
      <c r="AQ114" s="61" t="str">
        <f>$A58&amp;"+"&amp;$A112</f>
        <v>58+112</v>
      </c>
      <c r="AS114" s="2">
        <f t="shared" ref="AS114:AY114" si="252">AS58+AS112</f>
        <v>144144836.26789194</v>
      </c>
      <c r="AT114" s="2">
        <f t="shared" si="252"/>
        <v>87177419.842402041</v>
      </c>
      <c r="AU114" s="2">
        <f t="shared" si="252"/>
        <v>39816184.891057067</v>
      </c>
      <c r="AV114" s="2">
        <f t="shared" si="252"/>
        <v>0</v>
      </c>
      <c r="AW114" s="2">
        <f t="shared" si="252"/>
        <v>1515725.2677244074</v>
      </c>
      <c r="AX114" s="2">
        <f t="shared" si="252"/>
        <v>15635506.266708434</v>
      </c>
      <c r="AY114" s="2">
        <f t="shared" si="252"/>
        <v>0</v>
      </c>
      <c r="BA114" s="2">
        <f t="shared" ref="BA114:BG114" si="253">BA58+BA112</f>
        <v>179827989.00807142</v>
      </c>
      <c r="BB114" s="2">
        <f t="shared" si="253"/>
        <v>101666018.13437733</v>
      </c>
      <c r="BC114" s="2">
        <f t="shared" si="253"/>
        <v>62743363.534981743</v>
      </c>
      <c r="BD114" s="2">
        <f t="shared" si="253"/>
        <v>0</v>
      </c>
      <c r="BE114" s="2">
        <f t="shared" si="253"/>
        <v>1351910.8510410767</v>
      </c>
      <c r="BF114" s="2">
        <f t="shared" si="253"/>
        <v>14066696.487671264</v>
      </c>
      <c r="BG114" s="2">
        <f t="shared" si="253"/>
        <v>0</v>
      </c>
      <c r="BI114" s="2">
        <f t="shared" ref="BI114:BO114" si="254">BI58+BI112</f>
        <v>315319174.72403657</v>
      </c>
      <c r="BJ114" s="2">
        <f t="shared" si="254"/>
        <v>295809895.99319118</v>
      </c>
      <c r="BK114" s="2">
        <f t="shared" si="254"/>
        <v>18229978.134880513</v>
      </c>
      <c r="BL114" s="2">
        <f t="shared" si="254"/>
        <v>0</v>
      </c>
      <c r="BM114" s="2">
        <f t="shared" si="254"/>
        <v>120939.47365596378</v>
      </c>
      <c r="BN114" s="2">
        <f t="shared" si="254"/>
        <v>1158361.1223089288</v>
      </c>
      <c r="BO114" s="2">
        <f t="shared" si="254"/>
        <v>0</v>
      </c>
    </row>
    <row r="115" spans="1:85">
      <c r="C115" s="37"/>
      <c r="D115" s="1"/>
      <c r="E115" s="2"/>
      <c r="F115" s="60"/>
      <c r="G115" s="60"/>
      <c r="H115" s="2"/>
      <c r="I115" s="2"/>
      <c r="J115" s="2"/>
      <c r="K115" s="2"/>
      <c r="L115" s="2"/>
      <c r="M115" s="2"/>
      <c r="N115" s="2"/>
      <c r="O115" s="2"/>
      <c r="P115" s="61"/>
      <c r="Q115" s="61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76"/>
      <c r="AK115" s="2"/>
      <c r="AL115" s="2"/>
      <c r="AM115" s="2"/>
      <c r="AN115" s="2"/>
      <c r="AO115" s="2"/>
      <c r="AP115" s="2"/>
      <c r="AQ115" s="61"/>
      <c r="AS115" s="2"/>
      <c r="AT115" s="2"/>
      <c r="AU115" s="2"/>
      <c r="AV115" s="2"/>
      <c r="AW115" s="2"/>
      <c r="AX115" s="2"/>
      <c r="AY115" s="2"/>
      <c r="BA115" s="2"/>
      <c r="BB115" s="2"/>
      <c r="BC115" s="2"/>
      <c r="BD115" s="2"/>
      <c r="BE115" s="2"/>
      <c r="BF115" s="2"/>
      <c r="BG115" s="2"/>
      <c r="BI115" s="2"/>
      <c r="BJ115" s="2"/>
      <c r="BK115" s="2"/>
      <c r="BL115" s="2"/>
      <c r="BM115" s="2"/>
      <c r="BN115" s="2"/>
      <c r="BO115" s="2"/>
    </row>
    <row r="116" spans="1:85">
      <c r="A116" s="50">
        <f>RowHdr</f>
        <v>116</v>
      </c>
      <c r="B116" s="51"/>
      <c r="D116" t="s">
        <v>989</v>
      </c>
      <c r="E116" s="2">
        <f>E43+E89</f>
        <v>541785000</v>
      </c>
      <c r="F116" s="60" t="str">
        <f>"("&amp;A$24&amp;"+"&amp;A$41&amp;")"</f>
        <v>(24+41)</v>
      </c>
      <c r="G116" s="60" t="s">
        <v>403</v>
      </c>
      <c r="H116" s="2">
        <f t="shared" ref="H116:N116" si="255">H43+H89</f>
        <v>541785000</v>
      </c>
      <c r="I116" s="2">
        <f t="shared" si="255"/>
        <v>402660790.16706216</v>
      </c>
      <c r="J116" s="2">
        <f t="shared" si="255"/>
        <v>108277204.95113939</v>
      </c>
      <c r="K116" s="2">
        <f t="shared" si="255"/>
        <v>0</v>
      </c>
      <c r="L116" s="2">
        <f t="shared" si="255"/>
        <v>2686528.8085302999</v>
      </c>
      <c r="M116" s="2">
        <f t="shared" si="255"/>
        <v>28160476.073268138</v>
      </c>
      <c r="N116" s="2">
        <f t="shared" si="255"/>
        <v>0</v>
      </c>
      <c r="O116" s="2"/>
      <c r="P116" s="61"/>
      <c r="Q116" s="61"/>
      <c r="R116" s="14">
        <f>($E43*R43+$E89*R89)/$E116</f>
        <v>0.18917396113519439</v>
      </c>
      <c r="S116" s="14">
        <f t="shared" ref="S116:AH116" si="256">($E43*S43+$E89*S89)/$E116</f>
        <v>0</v>
      </c>
      <c r="T116" s="14">
        <f t="shared" si="256"/>
        <v>5.7453048718587628E-3</v>
      </c>
      <c r="U116" s="14">
        <f t="shared" si="256"/>
        <v>3.8449347988593258E-2</v>
      </c>
      <c r="V116" s="14">
        <f t="shared" si="256"/>
        <v>0</v>
      </c>
      <c r="W116" s="14">
        <f t="shared" si="256"/>
        <v>0.3040724655685485</v>
      </c>
      <c r="X116" s="14">
        <f t="shared" si="256"/>
        <v>0</v>
      </c>
      <c r="Y116" s="14">
        <f t="shared" si="256"/>
        <v>0</v>
      </c>
      <c r="Z116" s="14">
        <f t="shared" si="256"/>
        <v>0</v>
      </c>
      <c r="AA116" s="14">
        <f t="shared" si="256"/>
        <v>0</v>
      </c>
      <c r="AB116" s="14">
        <f t="shared" si="256"/>
        <v>0</v>
      </c>
      <c r="AC116" s="14">
        <f t="shared" si="256"/>
        <v>0.31540183339128991</v>
      </c>
      <c r="AD116" s="14">
        <f t="shared" si="256"/>
        <v>0.14366005749016014</v>
      </c>
      <c r="AE116" s="14">
        <f t="shared" si="256"/>
        <v>0</v>
      </c>
      <c r="AF116" s="14">
        <f t="shared" si="256"/>
        <v>3.497029554355045E-3</v>
      </c>
      <c r="AG116" s="14">
        <f t="shared" si="256"/>
        <v>0</v>
      </c>
      <c r="AH116" s="14">
        <f t="shared" si="256"/>
        <v>0</v>
      </c>
      <c r="AI116" s="14">
        <f>(AI43+AI89)/2</f>
        <v>0</v>
      </c>
      <c r="AP116" s="2"/>
      <c r="AQ116" s="61"/>
      <c r="AS116" s="2"/>
      <c r="AT116" s="2"/>
      <c r="AU116" s="2"/>
      <c r="AV116" s="2"/>
      <c r="AW116" s="2"/>
      <c r="AX116" s="2"/>
      <c r="AY116" s="2"/>
      <c r="BA116" s="2"/>
      <c r="BB116" s="2"/>
      <c r="BC116" s="2"/>
      <c r="BD116" s="2"/>
      <c r="BE116" s="2"/>
      <c r="BF116" s="2"/>
      <c r="BG116" s="2"/>
      <c r="BI116" s="2"/>
      <c r="BJ116" s="2"/>
      <c r="BK116" s="2"/>
      <c r="BL116" s="2"/>
      <c r="BM116" s="2"/>
      <c r="BN116" s="2"/>
      <c r="BO116" s="2"/>
    </row>
    <row r="117" spans="1:85">
      <c r="C117" s="37"/>
      <c r="D117" s="1"/>
      <c r="E117" s="2"/>
      <c r="F117" s="60"/>
      <c r="G117" s="60"/>
      <c r="H117" s="2"/>
      <c r="I117" s="2"/>
      <c r="J117" s="2"/>
      <c r="K117" s="2"/>
      <c r="L117" s="2"/>
      <c r="M117" s="2"/>
      <c r="N117" s="2"/>
      <c r="O117" s="2"/>
      <c r="P117" s="61"/>
      <c r="Q117" s="61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76"/>
      <c r="AK117" s="2"/>
      <c r="AL117" s="2"/>
      <c r="AM117" s="2"/>
      <c r="AN117" s="2"/>
      <c r="AO117" s="2"/>
      <c r="AP117" s="2"/>
      <c r="AQ117" s="61"/>
      <c r="AS117" s="2"/>
      <c r="AT117" s="2"/>
      <c r="AU117" s="2"/>
      <c r="AV117" s="2"/>
      <c r="AW117" s="2"/>
      <c r="AX117" s="2"/>
      <c r="AY117" s="2"/>
      <c r="BA117" s="2"/>
      <c r="BB117" s="2"/>
      <c r="BC117" s="2"/>
      <c r="BD117" s="2"/>
      <c r="BE117" s="2"/>
      <c r="BF117" s="2"/>
      <c r="BG117" s="2"/>
      <c r="BI117" s="2"/>
      <c r="BJ117" s="2"/>
      <c r="BK117" s="2"/>
      <c r="BL117" s="2"/>
      <c r="BM117" s="2"/>
      <c r="BN117" s="2"/>
      <c r="BO117" s="2"/>
    </row>
    <row r="118" spans="1:85" ht="15">
      <c r="A118" s="50">
        <f t="shared" si="135"/>
        <v>118</v>
      </c>
      <c r="D118" s="10"/>
      <c r="E118" s="389">
        <f>(E114/1000)-PROFORMA!AY356</f>
        <v>0</v>
      </c>
      <c r="F118" s="60"/>
      <c r="G118" s="60"/>
      <c r="P118" s="61"/>
      <c r="Q118" s="61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76">
        <f t="shared" ref="AI118:AI160" si="257">IF(SUM(R118:AH118)&lt;&gt;0,(ROUND(SUM(R118:AH118),8)&lt;&gt;1)+0,0)</f>
        <v>0</v>
      </c>
      <c r="AQ118" s="61"/>
    </row>
    <row r="119" spans="1:85">
      <c r="A119" s="50">
        <f t="shared" si="135"/>
        <v>119</v>
      </c>
      <c r="C119" s="36" t="s">
        <v>467</v>
      </c>
      <c r="D119" s="17" t="s">
        <v>395</v>
      </c>
      <c r="E119" s="369">
        <f>PROFORMA!AY367*1000</f>
        <v>-85961000</v>
      </c>
      <c r="F119" s="60" t="str">
        <f>"as Plant in Service ("&amp;A$58&amp;")"</f>
        <v>as Plant in Service (58)</v>
      </c>
      <c r="G119" s="60"/>
      <c r="H119" s="2">
        <f>SUM(I119:N119)</f>
        <v>-85961000</v>
      </c>
      <c r="I119" s="2">
        <f t="shared" ref="I119:N119" si="258">$E119*SUMPRODUCT($R119:$AH119,INDEX(AllocFactors,I$4,0))</f>
        <v>-65774593.777500004</v>
      </c>
      <c r="J119" s="2">
        <f t="shared" si="258"/>
        <v>-15790061.513479434</v>
      </c>
      <c r="K119" s="2">
        <f t="shared" si="258"/>
        <v>0</v>
      </c>
      <c r="L119" s="2">
        <f t="shared" si="258"/>
        <v>-391047.99710158154</v>
      </c>
      <c r="M119" s="2">
        <f t="shared" si="258"/>
        <v>-4005296.7119189776</v>
      </c>
      <c r="N119" s="2">
        <f t="shared" si="258"/>
        <v>0</v>
      </c>
      <c r="O119" s="2"/>
      <c r="P119" s="61" t="str">
        <f>E$1&amp;$A119&amp;"* Sum["&amp;$R$1&amp;$A119&amp;":"&amp;$AH$1&amp;$A119&amp;"* "&amp;Factors!D$1&amp;Factors!$A$58&amp;":"&amp;Factors!S$1&amp;Factors!$A$64&amp;"]"</f>
        <v>E119* Sum[R119:AH119* D1042:S1048]</v>
      </c>
      <c r="Q119" s="61"/>
      <c r="R119" s="14">
        <f>R$58</f>
        <v>0.16904766890389558</v>
      </c>
      <c r="S119" s="14">
        <f t="shared" ref="S119:AH119" si="259">S$58</f>
        <v>2.676215166561764E-3</v>
      </c>
      <c r="T119" s="14">
        <f t="shared" si="259"/>
        <v>6.7778250216338808E-3</v>
      </c>
      <c r="U119" s="14">
        <f t="shared" si="259"/>
        <v>4.5359290529395975E-2</v>
      </c>
      <c r="V119" s="14">
        <f t="shared" si="259"/>
        <v>0</v>
      </c>
      <c r="W119" s="14">
        <f t="shared" si="259"/>
        <v>0.27058822771397795</v>
      </c>
      <c r="X119" s="14">
        <f t="shared" si="259"/>
        <v>0</v>
      </c>
      <c r="Y119" s="14">
        <f t="shared" si="259"/>
        <v>0</v>
      </c>
      <c r="Z119" s="14">
        <f t="shared" si="259"/>
        <v>0</v>
      </c>
      <c r="AA119" s="14">
        <f t="shared" si="259"/>
        <v>0</v>
      </c>
      <c r="AB119" s="14">
        <f t="shared" si="259"/>
        <v>7.2651262952682066E-2</v>
      </c>
      <c r="AC119" s="14">
        <f t="shared" si="259"/>
        <v>0.31137572086955634</v>
      </c>
      <c r="AD119" s="14">
        <f t="shared" si="259"/>
        <v>0.11759557901028445</v>
      </c>
      <c r="AE119" s="14">
        <f t="shared" si="259"/>
        <v>0</v>
      </c>
      <c r="AF119" s="14">
        <f t="shared" si="259"/>
        <v>3.9282098320119977E-3</v>
      </c>
      <c r="AG119" s="14">
        <f t="shared" si="259"/>
        <v>0</v>
      </c>
      <c r="AH119" s="14">
        <f t="shared" si="259"/>
        <v>-2.4244162456526846E-19</v>
      </c>
      <c r="AI119" s="76">
        <f t="shared" si="257"/>
        <v>0</v>
      </c>
      <c r="AK119" s="2">
        <f>SUM(AL119:AO119)</f>
        <v>-85961000</v>
      </c>
      <c r="AL119" s="2">
        <f>SUMIF($R$4:$AH$4,AL$5,$R119:$AH119)*$E119</f>
        <v>-19243315.388462663</v>
      </c>
      <c r="AM119" s="2">
        <f>SUMIF($R$4:$AH$4,AM$5,$R119:$AH119)*$E119</f>
        <v>-23260034.642521258</v>
      </c>
      <c r="AN119" s="2">
        <f>SUMIF($R$4:$AH$4,AN$5,$R119:$AH119)*$E119</f>
        <v>-43457649.969016083</v>
      </c>
      <c r="AO119" s="2">
        <f>SUMIF($R$4:$AH$4,AO$5,$R119:$AH119)*$E119</f>
        <v>2.0840524489255042E-11</v>
      </c>
      <c r="AP119" s="2"/>
      <c r="AQ119" s="61" t="str">
        <f>E$1&amp;$A119&amp;"*["&amp;R$1&amp;$A119&amp;":"&amp;$AH$1&amp;$A119&amp;" when "&amp;R$1&amp;$A$4&amp;":"&amp;$AH$1&amp;$A$4&amp;" = E,D,C,or R]"</f>
        <v>E119*[R119:AH119 when R4:AH4 = E,D,C,or R]</v>
      </c>
      <c r="AS119" s="2">
        <f>SUM(AT119:AY119)</f>
        <v>-19243315.388462663</v>
      </c>
      <c r="AT119" s="2">
        <f t="shared" ref="AT119:AY119" si="260">$E119*SUMPRODUCT($R119:$V119,INDEX(AllocFactors_E,AT$4,0))</f>
        <v>-11700101.62417713</v>
      </c>
      <c r="AU119" s="2">
        <f t="shared" si="260"/>
        <v>-5311836.7562239822</v>
      </c>
      <c r="AV119" s="2">
        <f t="shared" si="260"/>
        <v>0</v>
      </c>
      <c r="AW119" s="2">
        <f t="shared" si="260"/>
        <v>-200672.55455737843</v>
      </c>
      <c r="AX119" s="2">
        <f t="shared" si="260"/>
        <v>-2030704.4535041715</v>
      </c>
      <c r="AY119" s="2">
        <f t="shared" si="260"/>
        <v>0</v>
      </c>
      <c r="BA119" s="2">
        <f>SUM(BB119:BG119)</f>
        <v>-23260034.642521255</v>
      </c>
      <c r="BB119" s="2">
        <f t="shared" ref="BB119:BG119" si="261">$E119*SUMPRODUCT($W119:$AA119,INDEX(AllocFactors_D,BB$4,0))</f>
        <v>-13150094.803466165</v>
      </c>
      <c r="BC119" s="2">
        <f t="shared" si="261"/>
        <v>-8115604.3475883845</v>
      </c>
      <c r="BD119" s="2">
        <f t="shared" si="261"/>
        <v>0</v>
      </c>
      <c r="BE119" s="2">
        <f t="shared" si="261"/>
        <v>-174864.28782454127</v>
      </c>
      <c r="BF119" s="2">
        <f t="shared" si="261"/>
        <v>-1819471.2036421641</v>
      </c>
      <c r="BG119" s="2">
        <f t="shared" si="261"/>
        <v>0</v>
      </c>
      <c r="BI119" s="2">
        <f>SUM(BJ119:BO119)</f>
        <v>-43457649.969016075</v>
      </c>
      <c r="BJ119" s="2">
        <f t="shared" ref="BJ119:BO119" si="262">$E119*SUMPRODUCT($AB119:$AG119,INDEX(AllocFactors_C,BJ$4,0))</f>
        <v>-40924397.349856712</v>
      </c>
      <c r="BK119" s="2">
        <f t="shared" si="262"/>
        <v>-2362620.4096670696</v>
      </c>
      <c r="BL119" s="2">
        <f t="shared" si="262"/>
        <v>0</v>
      </c>
      <c r="BM119" s="2">
        <f t="shared" si="262"/>
        <v>-15511.154719661887</v>
      </c>
      <c r="BN119" s="2">
        <f t="shared" si="262"/>
        <v>-155121.05477264145</v>
      </c>
      <c r="BO119" s="2">
        <f t="shared" si="262"/>
        <v>0</v>
      </c>
    </row>
    <row r="120" spans="1:85">
      <c r="A120" s="50">
        <f t="shared" si="135"/>
        <v>120</v>
      </c>
      <c r="E120" s="2"/>
      <c r="F120" s="60"/>
      <c r="G120" s="60"/>
      <c r="P120" s="61"/>
      <c r="Q120" s="61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76">
        <f t="shared" si="257"/>
        <v>0</v>
      </c>
      <c r="AQ120" s="61"/>
    </row>
    <row r="121" spans="1:85">
      <c r="A121" s="50">
        <f t="shared" si="135"/>
        <v>121</v>
      </c>
      <c r="C121" s="37"/>
      <c r="D121" s="17" t="s">
        <v>279</v>
      </c>
      <c r="E121" s="2"/>
      <c r="F121" s="60"/>
      <c r="G121" s="60"/>
      <c r="P121" s="61"/>
      <c r="Q121" s="61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76">
        <f t="shared" si="257"/>
        <v>0</v>
      </c>
      <c r="AQ121" s="61"/>
    </row>
    <row r="122" spans="1:85">
      <c r="A122" s="50">
        <f t="shared" si="135"/>
        <v>122</v>
      </c>
      <c r="C122" s="37" t="s">
        <v>154</v>
      </c>
      <c r="D122" s="28" t="s">
        <v>583</v>
      </c>
      <c r="E122" s="369">
        <f>(PROFORMA!AY370+PROFORMA!AY371)*1000</f>
        <v>-1000</v>
      </c>
      <c r="F122" s="60" t="s">
        <v>442</v>
      </c>
      <c r="G122" s="60"/>
      <c r="H122" s="2">
        <f>SUM(I122:N122)</f>
        <v>-1000</v>
      </c>
      <c r="I122" s="2">
        <f t="shared" ref="I122:N128" si="263">$E122*SUMPRODUCT($R122:$AH122,INDEX(AllocFactors,I$4,0))</f>
        <v>-1000</v>
      </c>
      <c r="J122" s="2">
        <f t="shared" si="263"/>
        <v>0</v>
      </c>
      <c r="K122" s="2">
        <f t="shared" si="263"/>
        <v>0</v>
      </c>
      <c r="L122" s="2">
        <f t="shared" si="263"/>
        <v>0</v>
      </c>
      <c r="M122" s="2">
        <f t="shared" si="263"/>
        <v>0</v>
      </c>
      <c r="N122" s="2">
        <f t="shared" si="263"/>
        <v>0</v>
      </c>
      <c r="O122" s="2"/>
      <c r="P122" s="61" t="str">
        <f>E$1&amp;$A122&amp;"* Sum["&amp;$R$1&amp;$A122&amp;":"&amp;$AH$1&amp;$A122&amp;"* "&amp;Factors!D$1&amp;Factors!$A$58&amp;":"&amp;Factors!S$1&amp;Factors!$A$64&amp;"]"</f>
        <v>E122* Sum[R122:AH122* D1042:S1048]</v>
      </c>
      <c r="Q122" s="61"/>
      <c r="R122" s="12"/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1</v>
      </c>
      <c r="AH122" s="12">
        <v>0</v>
      </c>
      <c r="AI122" s="76">
        <f t="shared" si="257"/>
        <v>0</v>
      </c>
      <c r="AK122" s="2">
        <f>SUM(AL122:AO122)</f>
        <v>-1000</v>
      </c>
      <c r="AL122" s="2">
        <f t="shared" ref="AL122:AO128" si="264">SUMIF($R$4:$AH$4,AL$5,$R122:$AH122)*$E122</f>
        <v>0</v>
      </c>
      <c r="AM122" s="2">
        <f t="shared" si="264"/>
        <v>0</v>
      </c>
      <c r="AN122" s="2">
        <f t="shared" si="264"/>
        <v>-1000</v>
      </c>
      <c r="AO122" s="2">
        <f t="shared" si="264"/>
        <v>0</v>
      </c>
      <c r="AP122" s="2"/>
      <c r="AQ122" s="61" t="str">
        <f>E$1&amp;$A122&amp;"*["&amp;R$1&amp;$A122&amp;":"&amp;$AH$1&amp;$A122&amp;" when "&amp;R$1&amp;$A$4&amp;":"&amp;$AH$1&amp;$A$4&amp;" = E,D,C,or R]"</f>
        <v>E122*[R122:AH122 when R4:AH4 = E,D,C,or R]</v>
      </c>
      <c r="AS122" s="2">
        <f>SUM(AT122:AY122)</f>
        <v>0</v>
      </c>
      <c r="AT122" s="2">
        <f t="shared" ref="AT122:AY128" si="265">$E122*SUMPRODUCT($R122:$V122,INDEX(AllocFactors_E,AT$4,0))</f>
        <v>0</v>
      </c>
      <c r="AU122" s="2">
        <f t="shared" si="265"/>
        <v>0</v>
      </c>
      <c r="AV122" s="2">
        <f t="shared" si="265"/>
        <v>0</v>
      </c>
      <c r="AW122" s="2">
        <f t="shared" si="265"/>
        <v>0</v>
      </c>
      <c r="AX122" s="2">
        <f t="shared" si="265"/>
        <v>0</v>
      </c>
      <c r="AY122" s="2">
        <f t="shared" si="265"/>
        <v>0</v>
      </c>
      <c r="BA122" s="2">
        <f>SUM(BB122:BG122)</f>
        <v>0</v>
      </c>
      <c r="BB122" s="2">
        <f t="shared" ref="BB122:BG128" si="266">$E122*SUMPRODUCT($W122:$AA122,INDEX(AllocFactors_D,BB$4,0))</f>
        <v>0</v>
      </c>
      <c r="BC122" s="2">
        <f t="shared" si="266"/>
        <v>0</v>
      </c>
      <c r="BD122" s="2">
        <f t="shared" si="266"/>
        <v>0</v>
      </c>
      <c r="BE122" s="2">
        <f t="shared" si="266"/>
        <v>0</v>
      </c>
      <c r="BF122" s="2">
        <f t="shared" si="266"/>
        <v>0</v>
      </c>
      <c r="BG122" s="2">
        <f t="shared" si="266"/>
        <v>0</v>
      </c>
      <c r="BI122" s="2">
        <f>SUM(BJ122:BO122)</f>
        <v>-1000</v>
      </c>
      <c r="BJ122" s="2">
        <f t="shared" ref="BJ122:BO128" si="267">$E122*SUMPRODUCT($AB122:$AG122,INDEX(AllocFactors_C,BJ$4,0))</f>
        <v>-1000</v>
      </c>
      <c r="BK122" s="2">
        <f t="shared" si="267"/>
        <v>0</v>
      </c>
      <c r="BL122" s="2">
        <f t="shared" si="267"/>
        <v>0</v>
      </c>
      <c r="BM122" s="2">
        <f t="shared" si="267"/>
        <v>0</v>
      </c>
      <c r="BN122" s="2">
        <f t="shared" si="267"/>
        <v>0</v>
      </c>
      <c r="BO122" s="2">
        <f t="shared" si="267"/>
        <v>0</v>
      </c>
    </row>
    <row r="123" spans="1:85">
      <c r="A123" s="50">
        <f t="shared" si="135"/>
        <v>123</v>
      </c>
      <c r="C123" s="37" t="s">
        <v>394</v>
      </c>
      <c r="D123" s="28" t="s">
        <v>280</v>
      </c>
      <c r="E123" s="369">
        <f>PROFORMA!AY372*1000</f>
        <v>19552000</v>
      </c>
      <c r="F123" s="60" t="str">
        <f>"as UG Storage Plant ("&amp;A$24&amp;")"</f>
        <v>as UG Storage Plant (24)</v>
      </c>
      <c r="G123" s="60"/>
      <c r="H123" s="2">
        <f>SUM(I123:N123)</f>
        <v>19552000</v>
      </c>
      <c r="I123" s="2">
        <f t="shared" si="263"/>
        <v>13958994.847584214</v>
      </c>
      <c r="J123" s="2">
        <f t="shared" si="263"/>
        <v>5205733.0550302947</v>
      </c>
      <c r="K123" s="2">
        <f t="shared" si="263"/>
        <v>0</v>
      </c>
      <c r="L123" s="2">
        <f t="shared" si="263"/>
        <v>141751.99780017653</v>
      </c>
      <c r="M123" s="2">
        <f t="shared" si="263"/>
        <v>245520.09958531568</v>
      </c>
      <c r="N123" s="2">
        <f t="shared" si="263"/>
        <v>0</v>
      </c>
      <c r="O123" s="2"/>
      <c r="P123" s="61" t="str">
        <f>E$1&amp;$A123&amp;"*     """</f>
        <v>E123*     "</v>
      </c>
      <c r="Q123" s="61"/>
      <c r="R123" s="14">
        <f>R$24</f>
        <v>0</v>
      </c>
      <c r="S123" s="14">
        <f t="shared" ref="S123:AH123" si="268">S$24</f>
        <v>0</v>
      </c>
      <c r="T123" s="14">
        <f t="shared" si="268"/>
        <v>0.13</v>
      </c>
      <c r="U123" s="14">
        <f t="shared" si="268"/>
        <v>0.87</v>
      </c>
      <c r="V123" s="14">
        <f t="shared" si="268"/>
        <v>0</v>
      </c>
      <c r="W123" s="14">
        <f t="shared" si="268"/>
        <v>0</v>
      </c>
      <c r="X123" s="14">
        <f t="shared" si="268"/>
        <v>0</v>
      </c>
      <c r="Y123" s="14">
        <f t="shared" si="268"/>
        <v>0</v>
      </c>
      <c r="Z123" s="14">
        <f t="shared" si="268"/>
        <v>0</v>
      </c>
      <c r="AA123" s="14">
        <f t="shared" si="268"/>
        <v>0</v>
      </c>
      <c r="AB123" s="14">
        <f t="shared" si="268"/>
        <v>0</v>
      </c>
      <c r="AC123" s="14">
        <f t="shared" si="268"/>
        <v>0</v>
      </c>
      <c r="AD123" s="14">
        <f t="shared" si="268"/>
        <v>0</v>
      </c>
      <c r="AE123" s="14">
        <f t="shared" si="268"/>
        <v>0</v>
      </c>
      <c r="AF123" s="14">
        <f t="shared" si="268"/>
        <v>0</v>
      </c>
      <c r="AG123" s="14">
        <f t="shared" si="268"/>
        <v>0</v>
      </c>
      <c r="AH123" s="14">
        <f t="shared" si="268"/>
        <v>0</v>
      </c>
      <c r="AI123" s="76">
        <f t="shared" si="257"/>
        <v>0</v>
      </c>
      <c r="AK123" s="2">
        <f>SUM(AL123:AO123)</f>
        <v>19552000</v>
      </c>
      <c r="AL123" s="2">
        <f t="shared" si="264"/>
        <v>19552000</v>
      </c>
      <c r="AM123" s="2">
        <f t="shared" si="264"/>
        <v>0</v>
      </c>
      <c r="AN123" s="2">
        <f t="shared" si="264"/>
        <v>0</v>
      </c>
      <c r="AO123" s="2">
        <f t="shared" si="264"/>
        <v>0</v>
      </c>
      <c r="AP123" s="2"/>
      <c r="AQ123" s="61" t="str">
        <f>E$1&amp;$A123&amp;"*      """</f>
        <v>E123*      "</v>
      </c>
      <c r="AS123" s="2">
        <f>SUM(AT123:AY123)</f>
        <v>19552000</v>
      </c>
      <c r="AT123" s="2">
        <f t="shared" si="265"/>
        <v>13958994.847584214</v>
      </c>
      <c r="AU123" s="2">
        <f t="shared" si="265"/>
        <v>5205733.0550302947</v>
      </c>
      <c r="AV123" s="2">
        <f t="shared" si="265"/>
        <v>0</v>
      </c>
      <c r="AW123" s="2">
        <f t="shared" si="265"/>
        <v>141751.99780017653</v>
      </c>
      <c r="AX123" s="2">
        <f t="shared" si="265"/>
        <v>245520.09958531568</v>
      </c>
      <c r="AY123" s="2">
        <f t="shared" si="265"/>
        <v>0</v>
      </c>
      <c r="BA123" s="2">
        <f>SUM(BB123:BG123)</f>
        <v>0</v>
      </c>
      <c r="BB123" s="2">
        <f t="shared" si="266"/>
        <v>0</v>
      </c>
      <c r="BC123" s="2">
        <f t="shared" si="266"/>
        <v>0</v>
      </c>
      <c r="BD123" s="2">
        <f t="shared" si="266"/>
        <v>0</v>
      </c>
      <c r="BE123" s="2">
        <f t="shared" si="266"/>
        <v>0</v>
      </c>
      <c r="BF123" s="2">
        <f t="shared" si="266"/>
        <v>0</v>
      </c>
      <c r="BG123" s="2">
        <f t="shared" si="266"/>
        <v>0</v>
      </c>
      <c r="BI123" s="2">
        <f>SUM(BJ123:BO123)</f>
        <v>0</v>
      </c>
      <c r="BJ123" s="2">
        <f t="shared" si="267"/>
        <v>0</v>
      </c>
      <c r="BK123" s="2">
        <f t="shared" si="267"/>
        <v>0</v>
      </c>
      <c r="BL123" s="2">
        <f t="shared" si="267"/>
        <v>0</v>
      </c>
      <c r="BM123" s="2">
        <f t="shared" si="267"/>
        <v>0</v>
      </c>
      <c r="BN123" s="2">
        <f t="shared" si="267"/>
        <v>0</v>
      </c>
      <c r="BO123" s="2">
        <f t="shared" si="267"/>
        <v>0</v>
      </c>
    </row>
    <row r="124" spans="1:85" s="49" customFormat="1">
      <c r="A124" s="130">
        <f t="shared" si="135"/>
        <v>124</v>
      </c>
      <c r="C124" s="443" t="s">
        <v>151</v>
      </c>
      <c r="D124" s="56" t="s">
        <v>618</v>
      </c>
      <c r="E124" s="373">
        <f>PROFORMA!AY373*1000</f>
        <v>14399000</v>
      </c>
      <c r="F124" s="119" t="s">
        <v>584</v>
      </c>
      <c r="G124" s="119"/>
      <c r="H124" s="21">
        <f>SUM(I124:N124)</f>
        <v>14399000</v>
      </c>
      <c r="I124" s="21">
        <f t="shared" si="263"/>
        <v>11017651.909612762</v>
      </c>
      <c r="J124" s="21">
        <f t="shared" si="263"/>
        <v>2644933.1177230417</v>
      </c>
      <c r="K124" s="21">
        <f t="shared" si="263"/>
        <v>0</v>
      </c>
      <c r="L124" s="21">
        <f t="shared" si="263"/>
        <v>65502.96192768433</v>
      </c>
      <c r="M124" s="21">
        <f t="shared" si="263"/>
        <v>670912.0107365126</v>
      </c>
      <c r="N124" s="21">
        <f t="shared" si="263"/>
        <v>0</v>
      </c>
      <c r="O124" s="21"/>
      <c r="P124" s="133" t="str">
        <f>E$1&amp;$A124&amp;"*     """</f>
        <v>E124*     "</v>
      </c>
      <c r="Q124" s="133"/>
      <c r="R124" s="444">
        <f>R$58</f>
        <v>0.16904766890389558</v>
      </c>
      <c r="S124" s="444">
        <f t="shared" ref="S124:AF127" si="269">S$58</f>
        <v>2.676215166561764E-3</v>
      </c>
      <c r="T124" s="444">
        <f t="shared" si="269"/>
        <v>6.7778250216338808E-3</v>
      </c>
      <c r="U124" s="444">
        <f t="shared" si="269"/>
        <v>4.5359290529395975E-2</v>
      </c>
      <c r="V124" s="444">
        <f t="shared" si="269"/>
        <v>0</v>
      </c>
      <c r="W124" s="444">
        <f t="shared" si="269"/>
        <v>0.27058822771397795</v>
      </c>
      <c r="X124" s="444">
        <f t="shared" si="269"/>
        <v>0</v>
      </c>
      <c r="Y124" s="444">
        <f t="shared" si="269"/>
        <v>0</v>
      </c>
      <c r="Z124" s="444">
        <f t="shared" si="269"/>
        <v>0</v>
      </c>
      <c r="AA124" s="444">
        <f t="shared" si="269"/>
        <v>0</v>
      </c>
      <c r="AB124" s="444">
        <f t="shared" si="269"/>
        <v>7.2651262952682066E-2</v>
      </c>
      <c r="AC124" s="444">
        <f t="shared" si="269"/>
        <v>0.31137572086955634</v>
      </c>
      <c r="AD124" s="444">
        <f t="shared" si="269"/>
        <v>0.11759557901028445</v>
      </c>
      <c r="AE124" s="444">
        <f t="shared" si="269"/>
        <v>0</v>
      </c>
      <c r="AF124" s="444">
        <f t="shared" si="269"/>
        <v>3.9282098320119977E-3</v>
      </c>
      <c r="AG124" s="444">
        <f>AG$56</f>
        <v>0</v>
      </c>
      <c r="AH124" s="444">
        <f>AH$56</f>
        <v>-1.4146429571039994E-18</v>
      </c>
      <c r="AI124" s="116">
        <f t="shared" si="257"/>
        <v>0</v>
      </c>
      <c r="AK124" s="21">
        <f>SUM(AL124:AO124)</f>
        <v>14399000</v>
      </c>
      <c r="AL124" s="21">
        <f t="shared" si="264"/>
        <v>3223374.533549794</v>
      </c>
      <c r="AM124" s="21">
        <f t="shared" si="264"/>
        <v>3896199.8908535684</v>
      </c>
      <c r="AN124" s="21">
        <f t="shared" si="264"/>
        <v>7279425.5755966371</v>
      </c>
      <c r="AO124" s="21">
        <f t="shared" si="264"/>
        <v>-2.0369443939340489E-11</v>
      </c>
      <c r="AP124" s="21"/>
      <c r="AQ124" s="133" t="str">
        <f>E$1&amp;$A124&amp;"*      """</f>
        <v>E124*      "</v>
      </c>
      <c r="AS124" s="21">
        <f>SUM(AT124:AY124)</f>
        <v>3223374.5335497945</v>
      </c>
      <c r="AT124" s="21">
        <f t="shared" si="265"/>
        <v>1959839.5003144043</v>
      </c>
      <c r="AU124" s="21">
        <f t="shared" si="265"/>
        <v>889765.56174159341</v>
      </c>
      <c r="AV124" s="21">
        <f t="shared" si="265"/>
        <v>0</v>
      </c>
      <c r="AW124" s="21">
        <f t="shared" si="265"/>
        <v>33613.895988549368</v>
      </c>
      <c r="AX124" s="21">
        <f t="shared" si="265"/>
        <v>340155.57550524734</v>
      </c>
      <c r="AY124" s="21">
        <f t="shared" si="265"/>
        <v>0</v>
      </c>
      <c r="BA124" s="21">
        <f>SUM(BB124:BG124)</f>
        <v>3896199.890853568</v>
      </c>
      <c r="BB124" s="21">
        <f t="shared" si="266"/>
        <v>2202722.3400740954</v>
      </c>
      <c r="BC124" s="21">
        <f t="shared" si="266"/>
        <v>1359414.001709207</v>
      </c>
      <c r="BD124" s="21">
        <f t="shared" si="266"/>
        <v>0</v>
      </c>
      <c r="BE124" s="21">
        <f t="shared" si="266"/>
        <v>29290.851437111825</v>
      </c>
      <c r="BF124" s="21">
        <f t="shared" si="266"/>
        <v>304772.69763315364</v>
      </c>
      <c r="BG124" s="21">
        <f t="shared" si="266"/>
        <v>0</v>
      </c>
      <c r="BI124" s="21">
        <f>SUM(BJ124:BO124)</f>
        <v>7279425.575596638</v>
      </c>
      <c r="BJ124" s="21">
        <f t="shared" si="267"/>
        <v>6855090.0692242617</v>
      </c>
      <c r="BK124" s="21">
        <f t="shared" si="267"/>
        <v>395753.55427224131</v>
      </c>
      <c r="BL124" s="21">
        <f t="shared" si="267"/>
        <v>0</v>
      </c>
      <c r="BM124" s="21">
        <f t="shared" si="267"/>
        <v>2598.2145020231442</v>
      </c>
      <c r="BN124" s="21">
        <f t="shared" si="267"/>
        <v>25983.737598111518</v>
      </c>
      <c r="BO124" s="21">
        <f t="shared" si="267"/>
        <v>0</v>
      </c>
    </row>
    <row r="125" spans="1:85">
      <c r="A125" s="50">
        <f t="shared" si="135"/>
        <v>125</v>
      </c>
      <c r="C125" s="36" t="s">
        <v>151</v>
      </c>
      <c r="D125" s="28" t="s">
        <v>279</v>
      </c>
      <c r="E125" s="373">
        <f>PROFORMA!AY377*1000</f>
        <v>7318000</v>
      </c>
      <c r="F125" s="119" t="s">
        <v>584</v>
      </c>
      <c r="G125" s="60"/>
      <c r="H125" s="2">
        <f>SUM(I125:N125)</f>
        <v>7318000</v>
      </c>
      <c r="I125" s="2">
        <f>$E125*SUMPRODUCT($R125:$AH125,INDEX(AllocFactors,I$4,0))</f>
        <v>5599498.3453396894</v>
      </c>
      <c r="J125" s="2">
        <f t="shared" si="263"/>
        <v>1344233.6659141064</v>
      </c>
      <c r="K125" s="2">
        <f t="shared" si="263"/>
        <v>0</v>
      </c>
      <c r="L125" s="2">
        <f t="shared" si="263"/>
        <v>33290.553190276682</v>
      </c>
      <c r="M125" s="2">
        <f t="shared" si="263"/>
        <v>340977.4355559274</v>
      </c>
      <c r="N125" s="2">
        <f t="shared" si="263"/>
        <v>0</v>
      </c>
      <c r="O125" s="2"/>
      <c r="P125" s="61" t="str">
        <f>E$1&amp;$A125&amp;"*     """</f>
        <v>E125*     "</v>
      </c>
      <c r="Q125" s="61"/>
      <c r="R125" s="444">
        <f>R$58</f>
        <v>0.16904766890389558</v>
      </c>
      <c r="S125" s="444">
        <f t="shared" si="269"/>
        <v>2.676215166561764E-3</v>
      </c>
      <c r="T125" s="444">
        <f t="shared" si="269"/>
        <v>6.7778250216338808E-3</v>
      </c>
      <c r="U125" s="444">
        <f t="shared" si="269"/>
        <v>4.5359290529395975E-2</v>
      </c>
      <c r="V125" s="444">
        <f t="shared" si="269"/>
        <v>0</v>
      </c>
      <c r="W125" s="444">
        <f t="shared" si="269"/>
        <v>0.27058822771397795</v>
      </c>
      <c r="X125" s="444">
        <f t="shared" si="269"/>
        <v>0</v>
      </c>
      <c r="Y125" s="444">
        <f t="shared" si="269"/>
        <v>0</v>
      </c>
      <c r="Z125" s="444">
        <f t="shared" si="269"/>
        <v>0</v>
      </c>
      <c r="AA125" s="444">
        <f t="shared" si="269"/>
        <v>0</v>
      </c>
      <c r="AB125" s="444">
        <f t="shared" si="269"/>
        <v>7.2651262952682066E-2</v>
      </c>
      <c r="AC125" s="444">
        <f t="shared" si="269"/>
        <v>0.31137572086955634</v>
      </c>
      <c r="AD125" s="444">
        <f t="shared" si="269"/>
        <v>0.11759557901028445</v>
      </c>
      <c r="AE125" s="444">
        <f t="shared" si="269"/>
        <v>0</v>
      </c>
      <c r="AF125" s="444">
        <f t="shared" si="269"/>
        <v>3.9282098320119977E-3</v>
      </c>
      <c r="AG125" s="444">
        <f>AG$56</f>
        <v>0</v>
      </c>
      <c r="AH125" s="444">
        <f>AH$56</f>
        <v>-1.4146429571039994E-18</v>
      </c>
      <c r="AI125" s="116">
        <f t="shared" si="257"/>
        <v>0</v>
      </c>
      <c r="AJ125" s="49"/>
      <c r="AK125" s="21">
        <f>SUM(AL125:AO125)</f>
        <v>7318000</v>
      </c>
      <c r="AL125" s="21">
        <f t="shared" si="264"/>
        <v>1638214.7952300434</v>
      </c>
      <c r="AM125" s="21">
        <f t="shared" si="264"/>
        <v>1980164.6504108906</v>
      </c>
      <c r="AN125" s="21">
        <f t="shared" si="264"/>
        <v>3699620.5543590658</v>
      </c>
      <c r="AO125" s="21">
        <f t="shared" si="264"/>
        <v>-1.0352357160087067E-11</v>
      </c>
      <c r="AP125" s="21"/>
      <c r="AQ125" s="133" t="str">
        <f>E$1&amp;$A125&amp;"*      """</f>
        <v>E125*      "</v>
      </c>
      <c r="AR125" s="49"/>
      <c r="AS125" s="21">
        <f>SUM(AT125:AY125)</f>
        <v>1638214.7952300436</v>
      </c>
      <c r="AT125" s="21">
        <f t="shared" si="265"/>
        <v>996048.71611228632</v>
      </c>
      <c r="AU125" s="21">
        <f t="shared" si="265"/>
        <v>452205.31848218496</v>
      </c>
      <c r="AV125" s="21">
        <f t="shared" si="265"/>
        <v>0</v>
      </c>
      <c r="AW125" s="21">
        <f t="shared" si="265"/>
        <v>17083.581557344554</v>
      </c>
      <c r="AX125" s="21">
        <f t="shared" si="265"/>
        <v>172877.17907822767</v>
      </c>
      <c r="AY125" s="21">
        <f t="shared" si="265"/>
        <v>0</v>
      </c>
      <c r="AZ125" s="49"/>
      <c r="BA125" s="21">
        <f>SUM(BB125:BG125)</f>
        <v>1980164.6504108903</v>
      </c>
      <c r="BB125" s="21">
        <f t="shared" si="266"/>
        <v>1119488.9981708613</v>
      </c>
      <c r="BC125" s="21">
        <f t="shared" si="266"/>
        <v>690894.62216181518</v>
      </c>
      <c r="BD125" s="21">
        <f t="shared" si="266"/>
        <v>0</v>
      </c>
      <c r="BE125" s="21">
        <f t="shared" si="266"/>
        <v>14886.481756843137</v>
      </c>
      <c r="BF125" s="21">
        <f t="shared" si="266"/>
        <v>154894.54832137082</v>
      </c>
      <c r="BG125" s="21">
        <f t="shared" si="266"/>
        <v>0</v>
      </c>
      <c r="BH125" s="49"/>
      <c r="BI125" s="21">
        <f>SUM(BJ125:BO125)</f>
        <v>3699620.5543590668</v>
      </c>
      <c r="BJ125" s="21">
        <f t="shared" si="267"/>
        <v>3483960.631056542</v>
      </c>
      <c r="BK125" s="21">
        <f t="shared" si="267"/>
        <v>201133.7252701064</v>
      </c>
      <c r="BL125" s="21">
        <f t="shared" si="267"/>
        <v>0</v>
      </c>
      <c r="BM125" s="21">
        <f t="shared" si="267"/>
        <v>1320.4898760889901</v>
      </c>
      <c r="BN125" s="21">
        <f t="shared" si="267"/>
        <v>13205.708156328918</v>
      </c>
      <c r="BO125" s="21">
        <f t="shared" si="267"/>
        <v>0</v>
      </c>
      <c r="BP125" s="49"/>
      <c r="BQ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</row>
    <row r="126" spans="1:85">
      <c r="D126" s="28" t="s">
        <v>1271</v>
      </c>
      <c r="E126" s="373">
        <f>PROFORMA!AY375*1000</f>
        <v>1594000</v>
      </c>
      <c r="F126" s="119" t="s">
        <v>584</v>
      </c>
      <c r="G126" s="60"/>
      <c r="H126" s="2">
        <f t="shared" ref="H126:H127" si="270">SUM(I126:N126)</f>
        <v>1594000.0000000002</v>
      </c>
      <c r="I126" s="2">
        <f>$E126*SUMPRODUCT($R126:$AH126,INDEX(AllocFactors,I$4,0))</f>
        <v>1219677.5570472076</v>
      </c>
      <c r="J126" s="2">
        <f t="shared" si="263"/>
        <v>292799.73537402099</v>
      </c>
      <c r="K126" s="2">
        <f t="shared" si="263"/>
        <v>0</v>
      </c>
      <c r="L126" s="2">
        <f t="shared" si="263"/>
        <v>7251.3175437689297</v>
      </c>
      <c r="M126" s="2">
        <f t="shared" si="263"/>
        <v>74271.390035002507</v>
      </c>
      <c r="N126" s="2">
        <f t="shared" si="263"/>
        <v>0</v>
      </c>
      <c r="O126" s="2"/>
      <c r="P126" s="61" t="str">
        <f t="shared" ref="P126:P127" si="271">E$1&amp;$A126&amp;"*     """</f>
        <v>E*     "</v>
      </c>
      <c r="Q126" s="61"/>
      <c r="R126" s="444">
        <f t="shared" ref="R126:R127" si="272">R$58</f>
        <v>0.16904766890389558</v>
      </c>
      <c r="S126" s="444">
        <f t="shared" si="269"/>
        <v>2.676215166561764E-3</v>
      </c>
      <c r="T126" s="444">
        <f t="shared" si="269"/>
        <v>6.7778250216338808E-3</v>
      </c>
      <c r="U126" s="444">
        <f t="shared" si="269"/>
        <v>4.5359290529395975E-2</v>
      </c>
      <c r="V126" s="444">
        <f t="shared" si="269"/>
        <v>0</v>
      </c>
      <c r="W126" s="444">
        <f t="shared" si="269"/>
        <v>0.27058822771397795</v>
      </c>
      <c r="X126" s="444">
        <f t="shared" si="269"/>
        <v>0</v>
      </c>
      <c r="Y126" s="444">
        <f t="shared" si="269"/>
        <v>0</v>
      </c>
      <c r="Z126" s="444">
        <f t="shared" si="269"/>
        <v>0</v>
      </c>
      <c r="AA126" s="444">
        <f t="shared" si="269"/>
        <v>0</v>
      </c>
      <c r="AB126" s="444">
        <f t="shared" si="269"/>
        <v>7.2651262952682066E-2</v>
      </c>
      <c r="AC126" s="444">
        <f t="shared" si="269"/>
        <v>0.31137572086955634</v>
      </c>
      <c r="AD126" s="444">
        <f t="shared" si="269"/>
        <v>0.11759557901028445</v>
      </c>
      <c r="AE126" s="444">
        <f t="shared" si="269"/>
        <v>0</v>
      </c>
      <c r="AF126" s="444">
        <f t="shared" si="269"/>
        <v>3.9282098320119977E-3</v>
      </c>
      <c r="AG126" s="444"/>
      <c r="AH126" s="444"/>
      <c r="AI126" s="116"/>
      <c r="AJ126" s="49"/>
      <c r="AK126" s="21">
        <f t="shared" ref="AK126:AK127" si="273">SUM(AL126:AO126)</f>
        <v>1594000</v>
      </c>
      <c r="AL126" s="21">
        <f t="shared" si="264"/>
        <v>356834.43339665059</v>
      </c>
      <c r="AM126" s="21">
        <f t="shared" si="264"/>
        <v>431317.63497608085</v>
      </c>
      <c r="AN126" s="21">
        <f t="shared" si="264"/>
        <v>805847.93162726855</v>
      </c>
      <c r="AO126" s="21">
        <f t="shared" si="264"/>
        <v>0</v>
      </c>
      <c r="AP126" s="21"/>
      <c r="AQ126" s="133" t="str">
        <f t="shared" ref="AQ126:AQ127" si="274">E$1&amp;$A126&amp;"*      """</f>
        <v>E*      "</v>
      </c>
      <c r="AR126" s="49"/>
      <c r="AS126" s="21">
        <f t="shared" ref="AS126:AS127" si="275">SUM(AT126:AY126)</f>
        <v>356834.43339665059</v>
      </c>
      <c r="AT126" s="21">
        <f t="shared" si="265"/>
        <v>216958.41124391695</v>
      </c>
      <c r="AU126" s="21">
        <f t="shared" si="265"/>
        <v>98498.944747281057</v>
      </c>
      <c r="AV126" s="21">
        <f t="shared" si="265"/>
        <v>0</v>
      </c>
      <c r="AW126" s="21">
        <f t="shared" si="265"/>
        <v>3721.1299538681637</v>
      </c>
      <c r="AX126" s="21">
        <f t="shared" si="265"/>
        <v>37655.947451584434</v>
      </c>
      <c r="AY126" s="21"/>
      <c r="AZ126" s="49"/>
      <c r="BA126" s="21">
        <f t="shared" ref="BA126:BA127" si="276">SUM(BB126:BG126)</f>
        <v>431317.63497608079</v>
      </c>
      <c r="BB126" s="21">
        <f t="shared" si="266"/>
        <v>243846.05945399738</v>
      </c>
      <c r="BC126" s="21">
        <f t="shared" si="266"/>
        <v>150490.02838561538</v>
      </c>
      <c r="BD126" s="21">
        <f t="shared" si="266"/>
        <v>0</v>
      </c>
      <c r="BE126" s="21">
        <f t="shared" si="266"/>
        <v>3242.5597048931349</v>
      </c>
      <c r="BF126" s="21">
        <f t="shared" si="266"/>
        <v>33738.987431574897</v>
      </c>
      <c r="BG126" s="21"/>
      <c r="BH126" s="49"/>
      <c r="BI126" s="21">
        <f t="shared" ref="BI126:BI127" si="277">SUM(BJ126:BO126)</f>
        <v>805847.93162726855</v>
      </c>
      <c r="BJ126" s="21">
        <f t="shared" si="267"/>
        <v>758873.08634929324</v>
      </c>
      <c r="BK126" s="21">
        <f t="shared" si="267"/>
        <v>43810.762241124568</v>
      </c>
      <c r="BL126" s="21">
        <f t="shared" si="267"/>
        <v>0</v>
      </c>
      <c r="BM126" s="21">
        <f t="shared" si="267"/>
        <v>287.6278850076319</v>
      </c>
      <c r="BN126" s="21">
        <f t="shared" si="267"/>
        <v>2876.4551518431667</v>
      </c>
      <c r="BO126" s="21"/>
      <c r="BP126" s="49"/>
      <c r="BQ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</row>
    <row r="127" spans="1:85">
      <c r="D127" s="28" t="s">
        <v>1272</v>
      </c>
      <c r="E127" s="373">
        <f>PROFORMA!AY376*1000</f>
        <v>-13534000</v>
      </c>
      <c r="F127" s="119" t="s">
        <v>584</v>
      </c>
      <c r="G127" s="60"/>
      <c r="H127" s="2">
        <f t="shared" si="270"/>
        <v>-13534000</v>
      </c>
      <c r="I127" s="2">
        <f t="shared" si="263"/>
        <v>-10355781.717112238</v>
      </c>
      <c r="J127" s="2">
        <f t="shared" si="263"/>
        <v>-2486042.4206725219</v>
      </c>
      <c r="K127" s="2">
        <f t="shared" si="263"/>
        <v>0</v>
      </c>
      <c r="L127" s="2">
        <f t="shared" si="263"/>
        <v>-61567.962131347987</v>
      </c>
      <c r="M127" s="2">
        <f t="shared" si="263"/>
        <v>-630607.90008389205</v>
      </c>
      <c r="N127" s="2">
        <f t="shared" si="263"/>
        <v>0</v>
      </c>
      <c r="O127" s="2"/>
      <c r="P127" s="61" t="str">
        <f t="shared" si="271"/>
        <v>E*     "</v>
      </c>
      <c r="Q127" s="61"/>
      <c r="R127" s="444">
        <f t="shared" si="272"/>
        <v>0.16904766890389558</v>
      </c>
      <c r="S127" s="444">
        <f t="shared" si="269"/>
        <v>2.676215166561764E-3</v>
      </c>
      <c r="T127" s="444">
        <f t="shared" si="269"/>
        <v>6.7778250216338808E-3</v>
      </c>
      <c r="U127" s="444">
        <f t="shared" si="269"/>
        <v>4.5359290529395975E-2</v>
      </c>
      <c r="V127" s="444">
        <f t="shared" si="269"/>
        <v>0</v>
      </c>
      <c r="W127" s="444">
        <f t="shared" si="269"/>
        <v>0.27058822771397795</v>
      </c>
      <c r="X127" s="444">
        <f t="shared" si="269"/>
        <v>0</v>
      </c>
      <c r="Y127" s="444">
        <f t="shared" si="269"/>
        <v>0</v>
      </c>
      <c r="Z127" s="444">
        <f t="shared" si="269"/>
        <v>0</v>
      </c>
      <c r="AA127" s="444">
        <f t="shared" si="269"/>
        <v>0</v>
      </c>
      <c r="AB127" s="444">
        <f t="shared" si="269"/>
        <v>7.2651262952682066E-2</v>
      </c>
      <c r="AC127" s="444">
        <f t="shared" si="269"/>
        <v>0.31137572086955634</v>
      </c>
      <c r="AD127" s="444">
        <f t="shared" si="269"/>
        <v>0.11759557901028445</v>
      </c>
      <c r="AE127" s="444">
        <f t="shared" si="269"/>
        <v>0</v>
      </c>
      <c r="AF127" s="444">
        <f t="shared" si="269"/>
        <v>3.9282098320119977E-3</v>
      </c>
      <c r="AG127" s="444"/>
      <c r="AH127" s="444"/>
      <c r="AI127" s="116"/>
      <c r="AJ127" s="49"/>
      <c r="AK127" s="21">
        <f t="shared" si="273"/>
        <v>-13534000</v>
      </c>
      <c r="AL127" s="21">
        <f t="shared" si="264"/>
        <v>-3029734.7688772078</v>
      </c>
      <c r="AM127" s="21">
        <f t="shared" si="264"/>
        <v>-3662141.0738809775</v>
      </c>
      <c r="AN127" s="21">
        <f t="shared" si="264"/>
        <v>-6842124.1572418148</v>
      </c>
      <c r="AO127" s="21">
        <f t="shared" si="264"/>
        <v>0</v>
      </c>
      <c r="AP127" s="21"/>
      <c r="AQ127" s="133" t="str">
        <f t="shared" si="274"/>
        <v>E*      "</v>
      </c>
      <c r="AR127" s="49"/>
      <c r="AS127" s="21">
        <f t="shared" si="275"/>
        <v>-3029734.7688772082</v>
      </c>
      <c r="AT127" s="21">
        <f t="shared" si="265"/>
        <v>-1842104.854313157</v>
      </c>
      <c r="AU127" s="21">
        <f t="shared" si="265"/>
        <v>-836314.12685677654</v>
      </c>
      <c r="AV127" s="21">
        <f t="shared" si="265"/>
        <v>0</v>
      </c>
      <c r="AW127" s="21">
        <f t="shared" si="265"/>
        <v>-31594.587701161683</v>
      </c>
      <c r="AX127" s="21">
        <f t="shared" si="265"/>
        <v>-319721.20000611275</v>
      </c>
      <c r="AY127" s="21"/>
      <c r="AZ127" s="49"/>
      <c r="BA127" s="21">
        <f t="shared" si="276"/>
        <v>-3662141.073880977</v>
      </c>
      <c r="BB127" s="21">
        <f t="shared" si="266"/>
        <v>-2070396.8435698873</v>
      </c>
      <c r="BC127" s="21">
        <f t="shared" si="266"/>
        <v>-1277749.0866818812</v>
      </c>
      <c r="BD127" s="21">
        <f t="shared" si="266"/>
        <v>0</v>
      </c>
      <c r="BE127" s="21">
        <f t="shared" si="266"/>
        <v>-27531.244069023644</v>
      </c>
      <c r="BF127" s="21">
        <f t="shared" si="266"/>
        <v>-286463.89956018486</v>
      </c>
      <c r="BG127" s="21"/>
      <c r="BH127" s="49"/>
      <c r="BI127" s="21">
        <f t="shared" si="277"/>
        <v>-6842124.1572418148</v>
      </c>
      <c r="BJ127" s="21">
        <f t="shared" si="267"/>
        <v>-6443280.0192291932</v>
      </c>
      <c r="BK127" s="21">
        <f t="shared" si="267"/>
        <v>-371979.20713386446</v>
      </c>
      <c r="BL127" s="21">
        <f t="shared" si="267"/>
        <v>0</v>
      </c>
      <c r="BM127" s="21">
        <f t="shared" si="267"/>
        <v>-2442.1303611626663</v>
      </c>
      <c r="BN127" s="21">
        <f t="shared" si="267"/>
        <v>-24422.800517594365</v>
      </c>
      <c r="BO127" s="21"/>
      <c r="BP127" s="49"/>
      <c r="BQ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</row>
    <row r="128" spans="1:85" s="49" customFormat="1">
      <c r="A128" s="130">
        <f t="shared" si="135"/>
        <v>128</v>
      </c>
      <c r="C128" s="443" t="s">
        <v>151</v>
      </c>
      <c r="D128" s="56" t="s">
        <v>1035</v>
      </c>
      <c r="E128" s="373">
        <f>PROFORMA!AY374*1000</f>
        <v>3425000</v>
      </c>
      <c r="F128" s="60" t="s">
        <v>442</v>
      </c>
      <c r="G128" s="119"/>
      <c r="H128" s="21">
        <f>SUM(I128:N128)</f>
        <v>3425000</v>
      </c>
      <c r="I128" s="21">
        <f>$E128*SUMPRODUCT($R128:$AH128,INDEX(AllocFactors,I$4,0))</f>
        <v>3425000</v>
      </c>
      <c r="J128" s="21">
        <f t="shared" si="263"/>
        <v>0</v>
      </c>
      <c r="K128" s="21">
        <f t="shared" si="263"/>
        <v>0</v>
      </c>
      <c r="L128" s="21">
        <f t="shared" si="263"/>
        <v>0</v>
      </c>
      <c r="M128" s="21">
        <f t="shared" si="263"/>
        <v>0</v>
      </c>
      <c r="N128" s="21">
        <f t="shared" si="263"/>
        <v>0</v>
      </c>
      <c r="O128" s="21"/>
      <c r="P128" s="133" t="str">
        <f>E$1&amp;$A128&amp;"*     """</f>
        <v>E128*     "</v>
      </c>
      <c r="Q128" s="133"/>
      <c r="R128" s="108"/>
      <c r="S128" s="108"/>
      <c r="T128" s="108"/>
      <c r="U128" s="108"/>
      <c r="V128" s="108"/>
      <c r="W128" s="108"/>
      <c r="X128" s="108"/>
      <c r="Y128" s="108"/>
      <c r="Z128" s="480"/>
      <c r="AA128" s="108"/>
      <c r="AB128" s="108"/>
      <c r="AC128" s="108"/>
      <c r="AD128" s="108"/>
      <c r="AE128" s="108"/>
      <c r="AF128" s="108"/>
      <c r="AG128" s="12">
        <v>1</v>
      </c>
      <c r="AH128" s="108"/>
      <c r="AI128" s="116">
        <f t="shared" si="257"/>
        <v>0</v>
      </c>
      <c r="AK128" s="21">
        <f>SUM(AL128:AO128)</f>
        <v>3425000</v>
      </c>
      <c r="AL128" s="21">
        <f t="shared" si="264"/>
        <v>0</v>
      </c>
      <c r="AM128" s="21">
        <f t="shared" si="264"/>
        <v>0</v>
      </c>
      <c r="AN128" s="21">
        <f t="shared" si="264"/>
        <v>3425000</v>
      </c>
      <c r="AO128" s="21">
        <f t="shared" si="264"/>
        <v>0</v>
      </c>
      <c r="AP128" s="21"/>
      <c r="AQ128" s="133" t="str">
        <f>E$1&amp;$A128&amp;"*      """</f>
        <v>E128*      "</v>
      </c>
      <c r="AS128" s="21">
        <f>SUM(AT128:AY128)</f>
        <v>0</v>
      </c>
      <c r="AT128" s="21">
        <f t="shared" si="265"/>
        <v>0</v>
      </c>
      <c r="AU128" s="21">
        <f t="shared" si="265"/>
        <v>0</v>
      </c>
      <c r="AV128" s="21">
        <f t="shared" si="265"/>
        <v>0</v>
      </c>
      <c r="AW128" s="21">
        <f t="shared" si="265"/>
        <v>0</v>
      </c>
      <c r="AX128" s="21">
        <f t="shared" si="265"/>
        <v>0</v>
      </c>
      <c r="AY128" s="21">
        <f t="shared" si="265"/>
        <v>0</v>
      </c>
      <c r="BA128" s="21">
        <f>SUM(BB128:BG128)</f>
        <v>0</v>
      </c>
      <c r="BB128" s="21">
        <f t="shared" si="266"/>
        <v>0</v>
      </c>
      <c r="BC128" s="21">
        <f t="shared" si="266"/>
        <v>0</v>
      </c>
      <c r="BD128" s="21">
        <f t="shared" si="266"/>
        <v>0</v>
      </c>
      <c r="BE128" s="21">
        <f t="shared" si="266"/>
        <v>0</v>
      </c>
      <c r="BF128" s="21">
        <f t="shared" si="266"/>
        <v>0</v>
      </c>
      <c r="BG128" s="21">
        <f t="shared" si="266"/>
        <v>0</v>
      </c>
      <c r="BI128" s="21">
        <f>SUM(BJ128:BO128)</f>
        <v>3425000</v>
      </c>
      <c r="BJ128" s="21">
        <f t="shared" si="267"/>
        <v>3425000</v>
      </c>
      <c r="BK128" s="21">
        <f t="shared" si="267"/>
        <v>0</v>
      </c>
      <c r="BL128" s="21">
        <f t="shared" si="267"/>
        <v>0</v>
      </c>
      <c r="BM128" s="21">
        <f t="shared" si="267"/>
        <v>0</v>
      </c>
      <c r="BN128" s="21">
        <f t="shared" si="267"/>
        <v>0</v>
      </c>
      <c r="BO128" s="21">
        <f t="shared" si="267"/>
        <v>0</v>
      </c>
    </row>
    <row r="129" spans="1:67">
      <c r="A129" s="50">
        <f t="shared" si="135"/>
        <v>129</v>
      </c>
      <c r="E129" s="8"/>
      <c r="F129" s="60"/>
      <c r="G129" s="60"/>
      <c r="P129" s="61"/>
      <c r="Q129" s="61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76">
        <f t="shared" si="257"/>
        <v>0</v>
      </c>
      <c r="AQ129" s="61"/>
    </row>
    <row r="130" spans="1:67">
      <c r="A130" s="50">
        <f t="shared" si="135"/>
        <v>130</v>
      </c>
      <c r="C130" s="37"/>
      <c r="D130" s="17" t="s">
        <v>115</v>
      </c>
      <c r="E130" s="4">
        <f>SUM(E119:E128)</f>
        <v>-53208000</v>
      </c>
      <c r="F130" s="60"/>
      <c r="G130" s="60"/>
      <c r="H130" s="4">
        <f>IF(ROUND(SUM(H119:H129),3)&lt;&gt;ROUND(SUM(I130:N130),3),#VALUE!,SUM(H119:H129))</f>
        <v>-53208000</v>
      </c>
      <c r="I130" s="4">
        <f t="shared" ref="I130:N130" si="278">SUM(I119:I129)</f>
        <v>-40910552.835028365</v>
      </c>
      <c r="J130" s="4">
        <f t="shared" si="278"/>
        <v>-8788404.3601104915</v>
      </c>
      <c r="K130" s="4">
        <f t="shared" si="278"/>
        <v>0</v>
      </c>
      <c r="L130" s="4">
        <f t="shared" si="278"/>
        <v>-204819.12877102307</v>
      </c>
      <c r="M130" s="4">
        <f>SUM(M119:M129)</f>
        <v>-3304223.6760901115</v>
      </c>
      <c r="N130" s="4">
        <f t="shared" si="278"/>
        <v>0</v>
      </c>
      <c r="O130" s="5"/>
      <c r="P130" s="61" t="str">
        <f>$A119&amp;":"&amp;$A129</f>
        <v>119:129</v>
      </c>
      <c r="Q130" s="61"/>
      <c r="R130" s="16">
        <f t="shared" ref="R130:AH130" si="279">SUMPRODUCT($E119:$E129,R119:R129)/$E130</f>
        <v>0.24204494827421405</v>
      </c>
      <c r="S130" s="16">
        <f t="shared" si="279"/>
        <v>3.8318443889892766E-3</v>
      </c>
      <c r="T130" s="16">
        <f t="shared" si="279"/>
        <v>-3.8065670172753051E-2</v>
      </c>
      <c r="U130" s="16">
        <f t="shared" si="279"/>
        <v>-0.25474717730996271</v>
      </c>
      <c r="V130" s="16">
        <f t="shared" si="279"/>
        <v>0</v>
      </c>
      <c r="W130" s="16">
        <f t="shared" si="279"/>
        <v>0.38743221959407786</v>
      </c>
      <c r="X130" s="16">
        <f t="shared" si="279"/>
        <v>0</v>
      </c>
      <c r="Y130" s="16">
        <f t="shared" si="279"/>
        <v>0</v>
      </c>
      <c r="Z130" s="16">
        <f t="shared" si="279"/>
        <v>0</v>
      </c>
      <c r="AA130" s="16">
        <f t="shared" si="279"/>
        <v>0</v>
      </c>
      <c r="AB130" s="16">
        <f t="shared" si="279"/>
        <v>0.10402315096953713</v>
      </c>
      <c r="AC130" s="16">
        <f t="shared" si="279"/>
        <v>0.44583235450921443</v>
      </c>
      <c r="AD130" s="16">
        <f t="shared" si="279"/>
        <v>0.16837508629002237</v>
      </c>
      <c r="AE130" s="16">
        <f t="shared" si="279"/>
        <v>0</v>
      </c>
      <c r="AF130" s="16">
        <f t="shared" si="279"/>
        <v>5.6244688363028504E-3</v>
      </c>
      <c r="AG130" s="16">
        <f t="shared" si="279"/>
        <v>-6.4351225379642163E-2</v>
      </c>
      <c r="AH130" s="16">
        <f t="shared" si="279"/>
        <v>1.8571035577681015E-19</v>
      </c>
      <c r="AI130" s="76">
        <f t="shared" si="257"/>
        <v>0</v>
      </c>
      <c r="AK130" s="4">
        <f>IF(ROUND(SUM(AK119:AK129),3)&lt;&gt;ROUND(SUM(AL130:AO130),3),#VALUE!,SUM(AK119:AK129))</f>
        <v>-53208000</v>
      </c>
      <c r="AL130" s="4">
        <f>SUM(AL119:AL129)</f>
        <v>2497373.6048366171</v>
      </c>
      <c r="AM130" s="4">
        <f>SUM(AM119:AM129)</f>
        <v>-20614493.540161695</v>
      </c>
      <c r="AN130" s="4">
        <f>SUM(AN119:AN129)</f>
        <v>-35090880.064674921</v>
      </c>
      <c r="AO130" s="4">
        <f>SUM(AO119:AO129)</f>
        <v>-9.8812766101725146E-12</v>
      </c>
      <c r="AP130" s="5"/>
      <c r="AQ130" s="61" t="str">
        <f>$A119&amp;":"&amp;$A129</f>
        <v>119:129</v>
      </c>
      <c r="AS130" s="4">
        <f>IF(ROUND(SUM(AS119:AS129),3)&lt;&gt;ROUND(SUM(AT130:AY130),3),#VALUE!,SUM(AS119:AS129))</f>
        <v>2497373.6048366176</v>
      </c>
      <c r="AT130" s="4">
        <f t="shared" ref="AT130:AY130" si="280">SUM(AT119:AT129)</f>
        <v>3589634.9967645356</v>
      </c>
      <c r="AU130" s="4">
        <f t="shared" si="280"/>
        <v>498051.99692059529</v>
      </c>
      <c r="AV130" s="4">
        <f t="shared" si="280"/>
        <v>0</v>
      </c>
      <c r="AW130" s="4">
        <f t="shared" si="280"/>
        <v>-36096.5369586015</v>
      </c>
      <c r="AX130" s="4">
        <f t="shared" si="280"/>
        <v>-1554216.851889909</v>
      </c>
      <c r="AY130" s="4">
        <f t="shared" si="280"/>
        <v>0</v>
      </c>
      <c r="BA130" s="4">
        <f>IF(ROUND(SUM(BA119:BA129),3)&lt;&gt;ROUND(SUM(BB130:BG130),3),#VALUE!,SUM(BA119:BA129))</f>
        <v>-20614493.540161692</v>
      </c>
      <c r="BB130" s="4">
        <f t="shared" ref="BB130:BG130" si="281">SUM(BB119:BB129)</f>
        <v>-11654434.249337098</v>
      </c>
      <c r="BC130" s="4">
        <f t="shared" si="281"/>
        <v>-7192554.7820136286</v>
      </c>
      <c r="BD130" s="4">
        <f t="shared" si="281"/>
        <v>0</v>
      </c>
      <c r="BE130" s="4">
        <f t="shared" si="281"/>
        <v>-154975.63899471684</v>
      </c>
      <c r="BF130" s="4">
        <f t="shared" si="281"/>
        <v>-1612528.8698162499</v>
      </c>
      <c r="BG130" s="4">
        <f t="shared" si="281"/>
        <v>0</v>
      </c>
      <c r="BI130" s="4">
        <f>IF(ROUND(SUM(BI119:BI129),3)&lt;&gt;ROUND(SUM(BJ130:BO130),3),#VALUE!,SUM(BI119:BI129))</f>
        <v>-35090880.064674914</v>
      </c>
      <c r="BJ130" s="4">
        <f t="shared" ref="BJ130:BO130" si="282">SUM(BJ119:BJ129)</f>
        <v>-32845753.582455806</v>
      </c>
      <c r="BK130" s="4">
        <f t="shared" si="282"/>
        <v>-2093901.5750174616</v>
      </c>
      <c r="BL130" s="4">
        <f t="shared" si="282"/>
        <v>0</v>
      </c>
      <c r="BM130" s="4">
        <f t="shared" si="282"/>
        <v>-13746.952817704787</v>
      </c>
      <c r="BN130" s="4">
        <f t="shared" si="282"/>
        <v>-137477.95438395219</v>
      </c>
      <c r="BO130" s="4">
        <f t="shared" si="282"/>
        <v>0</v>
      </c>
    </row>
    <row r="131" spans="1:67">
      <c r="A131" s="50">
        <f t="shared" si="135"/>
        <v>131</v>
      </c>
      <c r="E131" s="9"/>
      <c r="F131" s="60"/>
      <c r="G131" s="60"/>
      <c r="P131" s="61"/>
      <c r="Q131" s="61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76">
        <f t="shared" si="257"/>
        <v>0</v>
      </c>
      <c r="AQ131" s="61"/>
    </row>
    <row r="132" spans="1:67" ht="13.5" thickBot="1">
      <c r="A132" s="50">
        <f t="shared" si="135"/>
        <v>132</v>
      </c>
      <c r="C132" s="37"/>
      <c r="D132" s="1" t="s">
        <v>110</v>
      </c>
      <c r="E132" s="18">
        <f>E114+E130</f>
        <v>586084000</v>
      </c>
      <c r="F132" s="60" t="str">
        <f>"("&amp;A$114&amp;"+"&amp;A$130&amp;")"</f>
        <v>(114+130)</v>
      </c>
      <c r="G132" s="60" t="s">
        <v>453</v>
      </c>
      <c r="H132" s="18">
        <f>H114+H130</f>
        <v>586084000</v>
      </c>
      <c r="I132" s="18">
        <f t="shared" ref="I132:N132" si="283">I114+I130</f>
        <v>443742781.13494229</v>
      </c>
      <c r="J132" s="18">
        <f t="shared" si="283"/>
        <v>112001122.20080884</v>
      </c>
      <c r="K132" s="18">
        <f t="shared" si="283"/>
        <v>0</v>
      </c>
      <c r="L132" s="18">
        <f t="shared" si="283"/>
        <v>2783756.4636504259</v>
      </c>
      <c r="M132" s="18">
        <f>M114+M130</f>
        <v>27556340.200598512</v>
      </c>
      <c r="N132" s="18">
        <f t="shared" si="283"/>
        <v>0</v>
      </c>
      <c r="O132" s="5"/>
      <c r="P132" s="61" t="str">
        <f>$A114&amp;"+"&amp;$A130</f>
        <v>114+130</v>
      </c>
      <c r="Q132" s="61"/>
      <c r="R132" s="20">
        <f>($E114*R114+$E130*R130)/$E132</f>
        <v>0.16957640840247246</v>
      </c>
      <c r="S132" s="20">
        <f t="shared" ref="S132:AH132" si="284">($E114*S114+$E130*S130)/$E132</f>
        <v>2.1608763452641592E-3</v>
      </c>
      <c r="T132" s="20">
        <f t="shared" si="284"/>
        <v>1.0201038691079592E-2</v>
      </c>
      <c r="U132" s="20">
        <f t="shared" si="284"/>
        <v>6.8268489701840351E-2</v>
      </c>
      <c r="V132" s="20">
        <f t="shared" si="284"/>
        <v>0</v>
      </c>
      <c r="W132" s="20">
        <f t="shared" si="284"/>
        <v>0.27165644424333324</v>
      </c>
      <c r="X132" s="20">
        <f t="shared" si="284"/>
        <v>0</v>
      </c>
      <c r="Y132" s="20">
        <f t="shared" si="284"/>
        <v>0</v>
      </c>
      <c r="Z132" s="20">
        <f t="shared" si="284"/>
        <v>0</v>
      </c>
      <c r="AA132" s="20">
        <f t="shared" si="284"/>
        <v>0</v>
      </c>
      <c r="AB132" s="20">
        <f t="shared" si="284"/>
        <v>5.8661350376288536E-2</v>
      </c>
      <c r="AC132" s="20">
        <f t="shared" si="284"/>
        <v>0.27983616699641839</v>
      </c>
      <c r="AD132" s="20">
        <f t="shared" si="284"/>
        <v>0.13081774844647789</v>
      </c>
      <c r="AE132" s="20">
        <f t="shared" si="284"/>
        <v>0</v>
      </c>
      <c r="AF132" s="20">
        <f t="shared" si="284"/>
        <v>2.9793108274421285E-3</v>
      </c>
      <c r="AG132" s="20">
        <f t="shared" si="284"/>
        <v>5.8421659693832281E-3</v>
      </c>
      <c r="AH132" s="20">
        <f t="shared" si="284"/>
        <v>-3.0115989740833586E-19</v>
      </c>
      <c r="AI132" s="76">
        <f t="shared" si="257"/>
        <v>0</v>
      </c>
      <c r="AK132" s="18">
        <f>AK114+AK130</f>
        <v>586084000</v>
      </c>
      <c r="AL132" s="18">
        <f>AL114+AL130</f>
        <v>146642209.87272856</v>
      </c>
      <c r="AM132" s="18">
        <f>AM114+AM130</f>
        <v>159213495.46790978</v>
      </c>
      <c r="AN132" s="18">
        <f>AN114+AN130</f>
        <v>280228294.65936166</v>
      </c>
      <c r="AO132" s="18">
        <f>AO114+AO130</f>
        <v>-1.8253137630993011E-10</v>
      </c>
      <c r="AP132" s="5"/>
      <c r="AQ132" s="61" t="str">
        <f>$A114&amp;"+"&amp;$A130</f>
        <v>114+130</v>
      </c>
      <c r="AS132" s="18">
        <f t="shared" ref="AS132:AY132" si="285">AS114+AS130</f>
        <v>146642209.87272856</v>
      </c>
      <c r="AT132" s="18">
        <f t="shared" si="285"/>
        <v>90767054.839166582</v>
      </c>
      <c r="AU132" s="18">
        <f t="shared" si="285"/>
        <v>40314236.88797766</v>
      </c>
      <c r="AV132" s="18">
        <f t="shared" si="285"/>
        <v>0</v>
      </c>
      <c r="AW132" s="18">
        <f t="shared" si="285"/>
        <v>1479628.7307658058</v>
      </c>
      <c r="AX132" s="18">
        <f t="shared" si="285"/>
        <v>14081289.414818525</v>
      </c>
      <c r="AY132" s="18">
        <f t="shared" si="285"/>
        <v>0</v>
      </c>
      <c r="BA132" s="18">
        <f t="shared" ref="BA132:BG132" si="286">BA114+BA130</f>
        <v>159213495.46790972</v>
      </c>
      <c r="BB132" s="18">
        <f t="shared" si="286"/>
        <v>90011583.885040238</v>
      </c>
      <c r="BC132" s="18">
        <f t="shared" si="286"/>
        <v>55550808.752968118</v>
      </c>
      <c r="BD132" s="18">
        <f t="shared" si="286"/>
        <v>0</v>
      </c>
      <c r="BE132" s="18">
        <f t="shared" si="286"/>
        <v>1196935.2120463599</v>
      </c>
      <c r="BF132" s="18">
        <f t="shared" si="286"/>
        <v>12454167.617855014</v>
      </c>
      <c r="BG132" s="18">
        <f t="shared" si="286"/>
        <v>0</v>
      </c>
      <c r="BI132" s="18">
        <f t="shared" ref="BI132:BO132" si="287">BI114+BI130</f>
        <v>280228294.65936166</v>
      </c>
      <c r="BJ132" s="18">
        <f t="shared" si="287"/>
        <v>262964142.41073537</v>
      </c>
      <c r="BK132" s="18">
        <f t="shared" si="287"/>
        <v>16136076.559863051</v>
      </c>
      <c r="BL132" s="18">
        <f t="shared" si="287"/>
        <v>0</v>
      </c>
      <c r="BM132" s="18">
        <f t="shared" si="287"/>
        <v>107192.52083825899</v>
      </c>
      <c r="BN132" s="18">
        <f t="shared" si="287"/>
        <v>1020883.1679249766</v>
      </c>
      <c r="BO132" s="18">
        <f t="shared" si="287"/>
        <v>0</v>
      </c>
    </row>
    <row r="133" spans="1:67" ht="13.5" thickTop="1">
      <c r="A133" s="50">
        <f t="shared" si="135"/>
        <v>133</v>
      </c>
      <c r="D133" t="s">
        <v>135</v>
      </c>
      <c r="E133" s="31">
        <f>-E435/E132</f>
        <v>5.3893298571535818E-2</v>
      </c>
      <c r="F133" s="60"/>
      <c r="G133" s="60"/>
      <c r="H133" s="31">
        <f t="shared" ref="H133:N133" si="288">IF(H132,-H435/H132,0)</f>
        <v>5.3893298007719095E-2</v>
      </c>
      <c r="I133" s="31">
        <f t="shared" si="288"/>
        <v>4.7707933945016462E-2</v>
      </c>
      <c r="J133" s="31">
        <f t="shared" si="288"/>
        <v>8.5014963876148278E-2</v>
      </c>
      <c r="K133" s="31">
        <f>IF(K132,-K435/K132,0)</f>
        <v>0</v>
      </c>
      <c r="L133" s="31">
        <f t="shared" si="288"/>
        <v>0.10251952493777391</v>
      </c>
      <c r="M133" s="31">
        <f>IF(M132,-M435/M132,0)</f>
        <v>2.2092470406986947E-2</v>
      </c>
      <c r="N133" s="31">
        <f t="shared" si="288"/>
        <v>0</v>
      </c>
      <c r="O133" s="31"/>
      <c r="P133" s="61" t="str">
        <f>"-"&amp;$A435&amp;"/"&amp;$A132</f>
        <v>-435/132</v>
      </c>
      <c r="Q133" s="61"/>
      <c r="S133" s="2"/>
      <c r="AI133" s="76">
        <f t="shared" si="257"/>
        <v>0</v>
      </c>
      <c r="AK133" s="31">
        <f>IF(AK132&lt;&gt;0,-AK435/AK132,0)</f>
        <v>5.3893298571535818E-2</v>
      </c>
      <c r="AL133" s="31">
        <f>IF(AL132&lt;&gt;0,-AL435/AL132,0)</f>
        <v>-9.8132059936971244E-2</v>
      </c>
      <c r="AM133" s="31">
        <f>IF(AM132&lt;&gt;0,-AM435/AM132,0)</f>
        <v>-9.6032652702685642E-2</v>
      </c>
      <c r="AN133" s="31">
        <f>IF(AN132&lt;&gt;0,-AN435/AN132,0)</f>
        <v>-0.17678772756976599</v>
      </c>
      <c r="AO133" s="31">
        <f>IF(AO132&lt;&gt;0,-AO435/AO132,0)</f>
        <v>-6.0705683646303667E+17</v>
      </c>
      <c r="AP133" s="31"/>
      <c r="AQ133" s="61" t="str">
        <f>"-"&amp;$A435&amp;"/"&amp;$A132</f>
        <v>-435/132</v>
      </c>
    </row>
    <row r="134" spans="1:67">
      <c r="A134" s="50">
        <f t="shared" si="135"/>
        <v>134</v>
      </c>
      <c r="E134" s="376">
        <f>E132/1000-PROFORMA!AY380</f>
        <v>0</v>
      </c>
      <c r="F134" s="60"/>
      <c r="G134" s="60"/>
      <c r="H134" s="31"/>
      <c r="I134" s="31"/>
      <c r="J134" s="31"/>
      <c r="K134" s="31"/>
      <c r="L134" s="31"/>
      <c r="M134" s="31"/>
      <c r="N134" s="31"/>
      <c r="O134" s="31"/>
      <c r="P134" s="61"/>
      <c r="Q134" s="61"/>
      <c r="S134" s="2"/>
      <c r="AI134" s="76">
        <f t="shared" si="257"/>
        <v>0</v>
      </c>
      <c r="AK134" s="31"/>
      <c r="AL134" s="31"/>
      <c r="AM134" s="31"/>
      <c r="AN134" s="31"/>
      <c r="AO134" s="31"/>
      <c r="AP134" s="31"/>
      <c r="AQ134" s="61"/>
    </row>
    <row r="135" spans="1:67">
      <c r="A135" s="50">
        <f t="shared" si="135"/>
        <v>135</v>
      </c>
      <c r="E135" s="9"/>
      <c r="F135" s="60"/>
      <c r="G135" s="60"/>
      <c r="H135" s="32"/>
      <c r="P135" s="61"/>
      <c r="Q135" s="61"/>
      <c r="S135" s="2"/>
      <c r="AI135" s="76">
        <f t="shared" si="257"/>
        <v>0</v>
      </c>
      <c r="AQ135" s="61"/>
    </row>
    <row r="136" spans="1:67">
      <c r="A136" s="50">
        <f t="shared" si="135"/>
        <v>136</v>
      </c>
      <c r="C136" s="36" t="s">
        <v>394</v>
      </c>
      <c r="D136" t="s">
        <v>356</v>
      </c>
      <c r="E136" s="39">
        <f>SUMIF($C$7:$C$132,$C136,E$7:E$132)</f>
        <v>43496000</v>
      </c>
      <c r="F136" s="60" t="str">
        <f>"sum where Func = "&amp;$C136&amp;" ("&amp;A$7&amp;"-"&amp;A$132&amp;")"</f>
        <v>sum where Func = U (7-132)</v>
      </c>
      <c r="G136" s="60"/>
      <c r="H136" s="39">
        <f t="shared" ref="H136:N140" si="289">SUMIF($C$7:$C$132,$C136,H$7:H$132)</f>
        <v>43496000</v>
      </c>
      <c r="I136" s="39">
        <f t="shared" si="289"/>
        <v>31053623.153156862</v>
      </c>
      <c r="J136" s="39">
        <f t="shared" si="289"/>
        <v>11580839.042634904</v>
      </c>
      <c r="K136" s="39">
        <f t="shared" si="289"/>
        <v>0</v>
      </c>
      <c r="L136" s="39">
        <f t="shared" si="289"/>
        <v>315345.99510620278</v>
      </c>
      <c r="M136" s="39">
        <f t="shared" si="289"/>
        <v>546191.80910203001</v>
      </c>
      <c r="N136" s="39">
        <f t="shared" si="289"/>
        <v>0</v>
      </c>
      <c r="O136" s="39"/>
      <c r="P136" s="61" t="str">
        <f>H$1&amp;$A$7&amp;":"&amp;H$1&amp;$A$132&amp;", col "&amp;C$1&amp;"= T"</f>
        <v>H7:H132, col C= T</v>
      </c>
      <c r="Q136" s="61"/>
      <c r="R136" s="14">
        <f t="array" ref="R136">SUM(IF($C$7:$C$132=$C136,$E$7:$E$132*R$7:R$132))/$E136</f>
        <v>0</v>
      </c>
      <c r="S136" s="14">
        <f t="array" ref="S136">SUM(IF($C$7:$C$132=$C136,$E$7:$E$132*S$7:S$132))/$E136</f>
        <v>0</v>
      </c>
      <c r="T136" s="14">
        <f t="array" ref="T136">SUM(IF($C$7:$C$132=$C136,$E$7:$E$132*T$7:T$132))/$E136</f>
        <v>0.13</v>
      </c>
      <c r="U136" s="14">
        <f t="array" ref="U136">SUM(IF($C$7:$C$132=$C136,$E$7:$E$132*U$7:U$132))/$E136</f>
        <v>0.87</v>
      </c>
      <c r="V136" s="14">
        <f t="array" ref="V136">SUM(IF($C$7:$C$132=$C136,$E$7:$E$132*V$7:V$132))/$E136</f>
        <v>0</v>
      </c>
      <c r="W136" s="14">
        <f t="array" ref="W136">SUM(IF($C$7:$C$132=$C136,$E$7:$E$132*W$7:W$132))/$E136</f>
        <v>0</v>
      </c>
      <c r="X136" s="14">
        <f t="array" ref="X136">SUM(IF($C$7:$C$132=$C136,$E$7:$E$132*X$7:X$132))/$E136</f>
        <v>0</v>
      </c>
      <c r="Y136" s="14">
        <f t="array" ref="Y136">SUM(IF($C$7:$C$132=$C136,$E$7:$E$132*Y$7:Y$132))/$E136</f>
        <v>0</v>
      </c>
      <c r="Z136" s="14">
        <f t="array" ref="Z136">SUM(IF($C$7:$C$132=$C136,$E$7:$E$132*Z$7:Z$132))/$E136</f>
        <v>0</v>
      </c>
      <c r="AA136" s="14">
        <f t="array" ref="AA136">SUM(IF($C$7:$C$132=$C136,$E$7:$E$132*AA$7:AA$132))/$E136</f>
        <v>0</v>
      </c>
      <c r="AB136" s="14">
        <f t="array" ref="AB136">SUM(IF($C$7:$C$132=$C136,$E$7:$E$132*AB$7:AB$132))/$E136</f>
        <v>0</v>
      </c>
      <c r="AC136" s="14">
        <f t="array" ref="AC136">SUM(IF($C$7:$C$132=$C136,$E$7:$E$132*AC$7:AC$132))/$E136</f>
        <v>0</v>
      </c>
      <c r="AD136" s="14">
        <f t="array" ref="AD136">SUM(IF($C$7:$C$132=$C136,$E$7:$E$132*AD$7:AD$132))/$E136</f>
        <v>0</v>
      </c>
      <c r="AE136" s="14">
        <f t="array" ref="AE136">SUM(IF($C$7:$C$132=$C136,$E$7:$E$132*AE$7:AE$132))/$E136</f>
        <v>0</v>
      </c>
      <c r="AF136" s="14">
        <f t="array" ref="AF136">SUM(IF($C$7:$C$132=$C136,$E$7:$E$132*AF$7:AF$132))/$E136</f>
        <v>0</v>
      </c>
      <c r="AG136" s="14">
        <f t="array" ref="AG136">SUM(IF($C$7:$C$132=$C136,$E$7:$E$132*AG$7:AG$132))/$E136</f>
        <v>0</v>
      </c>
      <c r="AH136" s="14">
        <f t="array" ref="AH136">SUM(IF($C$7:$C$132=$C136,$E$7:$E$132*AH$7:AH$132))/$E136</f>
        <v>0</v>
      </c>
      <c r="AI136" s="76">
        <f t="shared" si="257"/>
        <v>0</v>
      </c>
      <c r="AK136" s="39">
        <f t="shared" ref="AK136:AO140" si="290">SUMIF($C$7:$C$132,$C136,AK$7:AK$132)</f>
        <v>43496000</v>
      </c>
      <c r="AL136" s="39">
        <f t="shared" si="290"/>
        <v>43496000</v>
      </c>
      <c r="AM136" s="39">
        <f t="shared" si="290"/>
        <v>0</v>
      </c>
      <c r="AN136" s="39">
        <f t="shared" si="290"/>
        <v>0</v>
      </c>
      <c r="AO136" s="39">
        <f t="shared" si="290"/>
        <v>0</v>
      </c>
      <c r="AP136" s="39"/>
      <c r="AQ136" s="61" t="str">
        <f>E$1&amp;$A136&amp;"*      """</f>
        <v>E136*      "</v>
      </c>
      <c r="AS136" s="2">
        <f>SUM(AT136:AY136)</f>
        <v>43496000</v>
      </c>
      <c r="AT136" s="39">
        <f t="shared" ref="AT136:AY140" si="291">SUMIF($C$7:$C$132,$C136,AT$7:AT$132)</f>
        <v>31053623.153156862</v>
      </c>
      <c r="AU136" s="39">
        <f t="shared" si="291"/>
        <v>11580839.042634904</v>
      </c>
      <c r="AV136" s="39">
        <f t="shared" si="291"/>
        <v>0</v>
      </c>
      <c r="AW136" s="39">
        <f t="shared" si="291"/>
        <v>315345.99510620278</v>
      </c>
      <c r="AX136" s="39">
        <f t="shared" si="291"/>
        <v>546191.80910203001</v>
      </c>
      <c r="AY136" s="39">
        <f t="shared" si="291"/>
        <v>0</v>
      </c>
      <c r="BA136" s="2">
        <f>SUM(BB136:BG136)</f>
        <v>0</v>
      </c>
      <c r="BB136" s="39">
        <f t="shared" ref="BB136:BG140" si="292">SUMIF($C$7:$C$132,$C136,BB$7:BB$132)</f>
        <v>0</v>
      </c>
      <c r="BC136" s="39">
        <f t="shared" si="292"/>
        <v>0</v>
      </c>
      <c r="BD136" s="39">
        <f t="shared" si="292"/>
        <v>0</v>
      </c>
      <c r="BE136" s="39">
        <f t="shared" si="292"/>
        <v>0</v>
      </c>
      <c r="BF136" s="39">
        <f t="shared" si="292"/>
        <v>0</v>
      </c>
      <c r="BG136" s="39">
        <f t="shared" si="292"/>
        <v>0</v>
      </c>
      <c r="BI136" s="2">
        <f>SUM(BJ136:BO136)</f>
        <v>0</v>
      </c>
      <c r="BJ136" s="39">
        <f t="shared" ref="BJ136:BO140" si="293">SUMIF($C$7:$C$132,$C136,BJ$7:BJ$132)</f>
        <v>0</v>
      </c>
      <c r="BK136" s="39">
        <f t="shared" si="293"/>
        <v>0</v>
      </c>
      <c r="BL136" s="39">
        <f t="shared" si="293"/>
        <v>0</v>
      </c>
      <c r="BM136" s="39">
        <f t="shared" si="293"/>
        <v>0</v>
      </c>
      <c r="BN136" s="39">
        <f t="shared" si="293"/>
        <v>0</v>
      </c>
      <c r="BO136" s="39">
        <f t="shared" si="293"/>
        <v>0</v>
      </c>
    </row>
    <row r="137" spans="1:67">
      <c r="A137" s="50">
        <f t="shared" si="135"/>
        <v>137</v>
      </c>
      <c r="C137" s="36" t="s">
        <v>154</v>
      </c>
      <c r="D137" t="s">
        <v>118</v>
      </c>
      <c r="E137" s="39">
        <f>SUMIF($C$7:$C$132,$C137,E$7:E$132)</f>
        <v>518731000</v>
      </c>
      <c r="F137" s="60" t="str">
        <f>"sum where Func = "&amp;$C137&amp;" ("&amp;A$7&amp;"-"&amp;A$132&amp;")"</f>
        <v>sum where Func = D (7-132)</v>
      </c>
      <c r="G137" s="60"/>
      <c r="H137" s="39">
        <f t="shared" si="289"/>
        <v>518731000</v>
      </c>
      <c r="I137" s="39">
        <f t="shared" si="289"/>
        <v>386233973.35451698</v>
      </c>
      <c r="J137" s="39">
        <f t="shared" si="289"/>
        <v>102073162.44700128</v>
      </c>
      <c r="K137" s="39">
        <f t="shared" si="289"/>
        <v>0</v>
      </c>
      <c r="L137" s="39">
        <f t="shared" si="289"/>
        <v>2517157.3278675722</v>
      </c>
      <c r="M137" s="39">
        <f t="shared" si="289"/>
        <v>27906706.870614152</v>
      </c>
      <c r="N137" s="39">
        <f t="shared" si="289"/>
        <v>0</v>
      </c>
      <c r="O137" s="39"/>
      <c r="P137" s="61" t="str">
        <f>H$1&amp;$A$7&amp;":"&amp;H$1&amp;$A$132&amp;", col "&amp;C$1&amp;"= D"</f>
        <v>H7:H132, col C= D</v>
      </c>
      <c r="Q137" s="61"/>
      <c r="R137" s="14">
        <f t="array" ref="R137">SUM(IF($C$7:$C$132=$C137,$E$7:$E$132*R$7:R$132))/$E137</f>
        <v>0.19791360638439062</v>
      </c>
      <c r="S137" s="14">
        <f t="array" ref="S137">SUM(IF($C$7:$C$132=$C137,$E$7:$E$132*S$7:S$132))/$E137</f>
        <v>0</v>
      </c>
      <c r="T137" s="14">
        <f t="array" ref="T137">SUM(IF($C$7:$C$132=$C137,$E$7:$E$132*T$7:T$132))/$E137</f>
        <v>0</v>
      </c>
      <c r="U137" s="14">
        <f t="array" ref="U137">SUM(IF($C$7:$C$132=$C137,$E$7:$E$132*U$7:U$132))/$E137</f>
        <v>0</v>
      </c>
      <c r="V137" s="14">
        <f t="array" ref="V137">SUM(IF($C$7:$C$132=$C137,$E$7:$E$132*V$7:V$132))/$E137</f>
        <v>0</v>
      </c>
      <c r="W137" s="14">
        <f t="array" ref="W137">SUM(IF($C$7:$C$132=$C137,$E$7:$E$132*W$7:W$132))/$E137</f>
        <v>0.31812030525626517</v>
      </c>
      <c r="X137" s="14">
        <f t="array" ref="X137">SUM(IF($C$7:$C$132=$C137,$E$7:$E$132*X$7:X$132))/$E137</f>
        <v>0</v>
      </c>
      <c r="Y137" s="14">
        <f t="array" ref="Y137">SUM(IF($C$7:$C$132=$C137,$E$7:$E$132*Y$7:Y$132))/$E137</f>
        <v>0</v>
      </c>
      <c r="Z137" s="14">
        <f t="array" ref="Z137">SUM(IF($C$7:$C$132=$C137,$E$7:$E$132*Z$7:Z$132))/$E137</f>
        <v>0</v>
      </c>
      <c r="AA137" s="14">
        <f t="array" ref="AA137">SUM(IF($C$7:$C$132=$C137,$E$7:$E$132*AA$7:AA$132))/$E137</f>
        <v>0</v>
      </c>
      <c r="AB137" s="14">
        <f t="array" ref="AB137">SUM(IF($C$7:$C$132=$C137,$E$7:$E$132*AB$7:AB$132))/$E137</f>
        <v>0</v>
      </c>
      <c r="AC137" s="14">
        <f t="array" ref="AC137">SUM(IF($C$7:$C$132=$C137,$E$7:$E$132*AC$7:AC$132))/$E137</f>
        <v>0.33003570839569318</v>
      </c>
      <c r="AD137" s="14">
        <f t="array" ref="AD137">SUM(IF($C$7:$C$132=$C137,$E$7:$E$132*AD$7:AD$132))/$E137</f>
        <v>0.15027183548535636</v>
      </c>
      <c r="AE137" s="14">
        <f t="array" ref="AE137">SUM(IF($C$7:$C$132=$C137,$E$7:$E$132*AE$7:AE$132))/$E137</f>
        <v>0</v>
      </c>
      <c r="AF137" s="14">
        <f t="array" ref="AF137">SUM(IF($C$7:$C$132=$C137,$E$7:$E$132*AF$7:AF$132))/$E137</f>
        <v>3.6604722597460625E-3</v>
      </c>
      <c r="AG137" s="14">
        <f t="array" ref="AG137">SUM(IF($C$7:$C$132=$C137,$E$7:$E$132*AG$7:AG$132))/$E137</f>
        <v>-1.9277814512724322E-6</v>
      </c>
      <c r="AH137" s="14">
        <f t="array" ref="AH137">SUM(IF($C$7:$C$132=$C137,$E$7:$E$132*AH$7:AH$132))/$E137</f>
        <v>0</v>
      </c>
      <c r="AI137" s="76">
        <f t="shared" si="257"/>
        <v>0</v>
      </c>
      <c r="AK137" s="39">
        <f t="shared" si="290"/>
        <v>518731000</v>
      </c>
      <c r="AL137" s="39">
        <f t="shared" si="290"/>
        <v>102663922.95338133</v>
      </c>
      <c r="AM137" s="39">
        <f t="shared" si="290"/>
        <v>165018864.06588769</v>
      </c>
      <c r="AN137" s="39">
        <f t="shared" si="290"/>
        <v>251048212.98073107</v>
      </c>
      <c r="AO137" s="39">
        <f t="shared" si="290"/>
        <v>0</v>
      </c>
      <c r="AP137" s="39"/>
      <c r="AQ137" s="61" t="str">
        <f>E$1&amp;$A137&amp;"*      """</f>
        <v>E137*      "</v>
      </c>
      <c r="AS137" s="2">
        <f>SUM(AT137:AY137)</f>
        <v>102663922.95338129</v>
      </c>
      <c r="AT137" s="39">
        <f t="shared" si="291"/>
        <v>58974113.385024749</v>
      </c>
      <c r="AU137" s="39">
        <f t="shared" si="291"/>
        <v>28573850.488775011</v>
      </c>
      <c r="AV137" s="39">
        <f t="shared" si="291"/>
        <v>0</v>
      </c>
      <c r="AW137" s="39">
        <f t="shared" si="291"/>
        <v>1166800.5682442801</v>
      </c>
      <c r="AX137" s="39">
        <f t="shared" si="291"/>
        <v>13949158.511337254</v>
      </c>
      <c r="AY137" s="39">
        <f t="shared" si="291"/>
        <v>0</v>
      </c>
      <c r="BA137" s="2">
        <f>SUM(BB137:BG137)</f>
        <v>165018864.06588766</v>
      </c>
      <c r="BB137" s="39">
        <f t="shared" si="292"/>
        <v>93293657.562304541</v>
      </c>
      <c r="BC137" s="39">
        <f t="shared" si="292"/>
        <v>57576346.348126054</v>
      </c>
      <c r="BD137" s="39">
        <f t="shared" si="292"/>
        <v>0</v>
      </c>
      <c r="BE137" s="39">
        <f t="shared" si="292"/>
        <v>1240578.8119397406</v>
      </c>
      <c r="BF137" s="39">
        <f t="shared" si="292"/>
        <v>12908281.343517302</v>
      </c>
      <c r="BG137" s="39">
        <f t="shared" si="292"/>
        <v>0</v>
      </c>
      <c r="BI137" s="2">
        <f>SUM(BJ137:BO137)</f>
        <v>251048212.98073098</v>
      </c>
      <c r="BJ137" s="39">
        <f t="shared" si="293"/>
        <v>233966202.40718767</v>
      </c>
      <c r="BK137" s="39">
        <f t="shared" si="293"/>
        <v>15922965.610100184</v>
      </c>
      <c r="BL137" s="39">
        <f t="shared" si="293"/>
        <v>0</v>
      </c>
      <c r="BM137" s="39">
        <f t="shared" si="293"/>
        <v>109777.9476835517</v>
      </c>
      <c r="BN137" s="39">
        <f t="shared" si="293"/>
        <v>1049267.0157595889</v>
      </c>
      <c r="BO137" s="39">
        <f t="shared" si="293"/>
        <v>0</v>
      </c>
    </row>
    <row r="138" spans="1:67">
      <c r="A138" s="50">
        <f t="shared" si="135"/>
        <v>138</v>
      </c>
      <c r="C138" s="36" t="s">
        <v>465</v>
      </c>
      <c r="D138" t="s">
        <v>466</v>
      </c>
      <c r="E138" s="39">
        <f>SUMIF($C$7:$C$132,$C138,E$7:E$132)</f>
        <v>0</v>
      </c>
      <c r="F138" s="60" t="str">
        <f>"sum where Func = "&amp;$C138&amp;" ("&amp;A$7&amp;"-"&amp;A$132&amp;")"</f>
        <v>sum where Func = M (7-132)</v>
      </c>
      <c r="G138" s="60"/>
      <c r="H138" s="39">
        <f t="shared" si="289"/>
        <v>0</v>
      </c>
      <c r="I138" s="39">
        <f t="shared" si="289"/>
        <v>0</v>
      </c>
      <c r="J138" s="39">
        <f t="shared" si="289"/>
        <v>0</v>
      </c>
      <c r="K138" s="39">
        <f t="shared" si="289"/>
        <v>0</v>
      </c>
      <c r="L138" s="39">
        <f t="shared" si="289"/>
        <v>0</v>
      </c>
      <c r="M138" s="39">
        <f t="shared" si="289"/>
        <v>0</v>
      </c>
      <c r="N138" s="39">
        <f t="shared" si="289"/>
        <v>0</v>
      </c>
      <c r="O138" s="39"/>
      <c r="P138" s="61" t="str">
        <f>H$1&amp;$A$7&amp;":"&amp;H$1&amp;$A$132&amp;", col "&amp;C$1&amp;"= D"</f>
        <v>H7:H132, col C= D</v>
      </c>
      <c r="Q138" s="61"/>
      <c r="R138" s="14">
        <f t="array" ref="R138">IF($E138,SUM(IF($C$7:$C$132=$C138,$E$7:$E$132*R$7:R$132))/$E138,0)</f>
        <v>0</v>
      </c>
      <c r="S138" s="14">
        <f t="array" ref="S138">IF($E138,SUM(IF($C$7:$C$132=$C138,$E$7:$E$132*S$7:S$132))/$E138,0)</f>
        <v>0</v>
      </c>
      <c r="T138" s="14">
        <f t="array" ref="T138">IF($E138,SUM(IF($C$7:$C$132=$C138,$E$7:$E$132*T$7:T$132))/$E138,0)</f>
        <v>0</v>
      </c>
      <c r="U138" s="14">
        <f t="array" ref="U138">IF($E138,SUM(IF($C$7:$C$132=$C138,$E$7:$E$132*U$7:U$132))/$E138,0)</f>
        <v>0</v>
      </c>
      <c r="V138" s="14">
        <f t="array" ref="V138">IF($E138,SUM(IF($C$7:$C$132=$C138,$E$7:$E$132*V$7:V$132))/$E138,0)</f>
        <v>0</v>
      </c>
      <c r="W138" s="14">
        <f t="array" ref="W138">IF($E138,SUM(IF($C$7:$C$132=$C138,$E$7:$E$132*W$7:W$132))/$E138,0)</f>
        <v>0</v>
      </c>
      <c r="X138" s="14">
        <f t="array" ref="X138">IF($E138,SUM(IF($C$7:$C$132=$C138,$E$7:$E$132*X$7:X$132))/$E138,0)</f>
        <v>0</v>
      </c>
      <c r="Y138" s="14">
        <f t="array" ref="Y138">IF($E138,SUM(IF($C$7:$C$132=$C138,$E$7:$E$132*Y$7:Y$132))/$E138,0)</f>
        <v>0</v>
      </c>
      <c r="Z138" s="14">
        <f t="array" ref="Z138">IF($E138,SUM(IF($C$7:$C$132=$C138,$E$7:$E$132*Z$7:Z$132))/$E138,0)</f>
        <v>0</v>
      </c>
      <c r="AA138" s="14">
        <f t="array" ref="AA138">IF($E138,SUM(IF($C$7:$C$132=$C138,$E$7:$E$132*AA$7:AA$132))/$E138,0)</f>
        <v>0</v>
      </c>
      <c r="AB138" s="14">
        <f t="array" ref="AB138">IF($E138,SUM(IF($C$7:$C$132=$C138,$E$7:$E$132*AB$7:AB$132))/$E138,0)</f>
        <v>0</v>
      </c>
      <c r="AC138" s="14">
        <f t="array" ref="AC138">IF($E138,SUM(IF($C$7:$C$132=$C138,$E$7:$E$132*AC$7:AC$132))/$E138,0)</f>
        <v>0</v>
      </c>
      <c r="AD138" s="14">
        <f t="array" ref="AD138">IF($E138,SUM(IF($C$7:$C$132=$C138,$E$7:$E$132*AD$7:AD$132))/$E138,0)</f>
        <v>0</v>
      </c>
      <c r="AE138" s="14">
        <f t="array" ref="AE138">IF($E138,SUM(IF($C$7:$C$132=$C138,$E$7:$E$132*AE$7:AE$132))/$E138,0)</f>
        <v>0</v>
      </c>
      <c r="AF138" s="14">
        <f t="array" ref="AF138">IF($E138,SUM(IF($C$7:$C$132=$C138,$E$7:$E$132*AF$7:AF$132))/$E138,0)</f>
        <v>0</v>
      </c>
      <c r="AG138" s="14">
        <f t="array" ref="AG138">IF($E138,SUM(IF($C$7:$C$132=$C138,$E$7:$E$132*AG$7:AG$132))/$E138,0)</f>
        <v>0</v>
      </c>
      <c r="AH138" s="14">
        <f t="array" ref="AH138">IF($E138,SUM(IF($C$7:$C$132=$C138,$E$7:$E$132*AH$7:AH$132))/$E138,0)</f>
        <v>0</v>
      </c>
      <c r="AI138" s="76">
        <f t="shared" si="257"/>
        <v>0</v>
      </c>
      <c r="AK138" s="39">
        <f t="shared" si="290"/>
        <v>0</v>
      </c>
      <c r="AL138" s="39">
        <f t="shared" si="290"/>
        <v>0</v>
      </c>
      <c r="AM138" s="39">
        <f t="shared" si="290"/>
        <v>0</v>
      </c>
      <c r="AN138" s="39">
        <f t="shared" si="290"/>
        <v>0</v>
      </c>
      <c r="AO138" s="39">
        <f t="shared" si="290"/>
        <v>0</v>
      </c>
      <c r="AP138" s="39"/>
      <c r="AQ138" s="61" t="str">
        <f>E$1&amp;$A138&amp;"*      """</f>
        <v>E138*      "</v>
      </c>
      <c r="AS138" s="2">
        <f>SUM(AT138:AY138)</f>
        <v>0</v>
      </c>
      <c r="AT138" s="39">
        <f t="shared" si="291"/>
        <v>0</v>
      </c>
      <c r="AU138" s="39">
        <f t="shared" si="291"/>
        <v>0</v>
      </c>
      <c r="AV138" s="39">
        <f t="shared" si="291"/>
        <v>0</v>
      </c>
      <c r="AW138" s="39">
        <f t="shared" si="291"/>
        <v>0</v>
      </c>
      <c r="AX138" s="39">
        <f t="shared" si="291"/>
        <v>0</v>
      </c>
      <c r="AY138" s="39">
        <f t="shared" si="291"/>
        <v>0</v>
      </c>
      <c r="BA138" s="2">
        <f>SUM(BB138:BG138)</f>
        <v>0</v>
      </c>
      <c r="BB138" s="39">
        <f t="shared" si="292"/>
        <v>0</v>
      </c>
      <c r="BC138" s="39">
        <f t="shared" si="292"/>
        <v>0</v>
      </c>
      <c r="BD138" s="39">
        <f t="shared" si="292"/>
        <v>0</v>
      </c>
      <c r="BE138" s="39">
        <f t="shared" si="292"/>
        <v>0</v>
      </c>
      <c r="BF138" s="39">
        <f t="shared" si="292"/>
        <v>0</v>
      </c>
      <c r="BG138" s="39">
        <f t="shared" si="292"/>
        <v>0</v>
      </c>
      <c r="BI138" s="2">
        <f>SUM(BJ138:BO138)</f>
        <v>0</v>
      </c>
      <c r="BJ138" s="39">
        <f t="shared" si="293"/>
        <v>0</v>
      </c>
      <c r="BK138" s="39">
        <f t="shared" si="293"/>
        <v>0</v>
      </c>
      <c r="BL138" s="39">
        <f t="shared" si="293"/>
        <v>0</v>
      </c>
      <c r="BM138" s="39">
        <f t="shared" si="293"/>
        <v>0</v>
      </c>
      <c r="BN138" s="39">
        <f t="shared" si="293"/>
        <v>0</v>
      </c>
      <c r="BO138" s="39">
        <f t="shared" si="293"/>
        <v>0</v>
      </c>
    </row>
    <row r="139" spans="1:67">
      <c r="A139" s="50">
        <f t="shared" ref="A139:A203" si="294">RowHdr</f>
        <v>139</v>
      </c>
      <c r="C139" s="36" t="s">
        <v>151</v>
      </c>
      <c r="D139" t="s">
        <v>147</v>
      </c>
      <c r="E139" s="39">
        <f>SUMIF($C$7:$C$132,$C139,E$7:E$132)</f>
        <v>121758000</v>
      </c>
      <c r="F139" s="60" t="str">
        <f>"sum where Func = "&amp;$C139&amp;" ("&amp;A$7&amp;"-"&amp;A$132&amp;")"</f>
        <v>sum where Func = O (7-132)</v>
      </c>
      <c r="G139" s="60"/>
      <c r="H139" s="39">
        <f t="shared" si="289"/>
        <v>121758000</v>
      </c>
      <c r="I139" s="39">
        <f t="shared" si="289"/>
        <v>101365882.56483337</v>
      </c>
      <c r="J139" s="39">
        <f t="shared" si="289"/>
        <v>16330424.909950614</v>
      </c>
      <c r="K139" s="39">
        <f t="shared" si="289"/>
        <v>0</v>
      </c>
      <c r="L139" s="39">
        <f t="shared" si="289"/>
        <v>396617.78236581065</v>
      </c>
      <c r="M139" s="39">
        <f t="shared" si="289"/>
        <v>3665074.7428501998</v>
      </c>
      <c r="N139" s="39">
        <f t="shared" si="289"/>
        <v>0</v>
      </c>
      <c r="O139" s="39"/>
      <c r="P139" s="61" t="str">
        <f>H$1&amp;$A$7&amp;":"&amp;H$1&amp;$A$132&amp;", col "&amp;C$1&amp;"= O"</f>
        <v>H7:H132, col C= O</v>
      </c>
      <c r="Q139" s="61"/>
      <c r="R139" s="14">
        <f t="array" ref="R139">SUM(IF($C$7:$C$132=$C139,$E$7:$E$132*R$7:R$132))/$E139</f>
        <v>0.10900337244479741</v>
      </c>
      <c r="S139" s="14">
        <f t="array" ref="S139">SUM(IF($C$7:$C$132=$C139,$E$7:$E$132*S$7:S$132))/$E139</f>
        <v>1.2553254759107095E-2</v>
      </c>
      <c r="T139" s="14">
        <f t="array" ref="T139">SUM(IF($C$7:$C$132=$C139,$E$7:$E$132*T$7:T$132))/$E139</f>
        <v>8.1123327228245449E-3</v>
      </c>
      <c r="U139" s="14">
        <f t="array" ref="U139">SUM(IF($C$7:$C$132=$C139,$E$7:$E$132*U$7:U$132))/$E139</f>
        <v>5.42902266835181E-2</v>
      </c>
      <c r="V139" s="14">
        <f t="array" ref="V139">SUM(IF($C$7:$C$132=$C139,$E$7:$E$132*V$7:V$132))/$E139</f>
        <v>0</v>
      </c>
      <c r="W139" s="14">
        <f t="array" ref="W139">SUM(IF($C$7:$C$132=$C139,$E$7:$E$132*W$7:W$132))/$E139</f>
        <v>0.16989018777779072</v>
      </c>
      <c r="X139" s="14">
        <f t="array" ref="X139">SUM(IF($C$7:$C$132=$C139,$E$7:$E$132*X$7:X$132))/$E139</f>
        <v>0</v>
      </c>
      <c r="Y139" s="14">
        <f t="array" ref="Y139">SUM(IF($C$7:$C$132=$C139,$E$7:$E$132*Y$7:Y$132))/$E139</f>
        <v>0</v>
      </c>
      <c r="Z139" s="14">
        <f t="array" ref="Z139">SUM(IF($C$7:$C$132=$C139,$E$7:$E$132*Z$7:Z$132))/$E139</f>
        <v>0</v>
      </c>
      <c r="AA139" s="14">
        <f t="array" ref="AA139">SUM(IF($C$7:$C$132=$C139,$E$7:$E$132*AA$7:AA$132))/$E139</f>
        <v>0</v>
      </c>
      <c r="AB139" s="14">
        <f t="array" ref="AB139">SUM(IF($C$7:$C$132=$C139,$E$7:$E$132*AB$7:AB$132))/$E139</f>
        <v>0.34078344066317778</v>
      </c>
      <c r="AC139" s="14">
        <f t="array" ref="AC139">SUM(IF($C$7:$C$132=$C139,$E$7:$E$132*AC$7:AC$132))/$E139</f>
        <v>0.191295368640853</v>
      </c>
      <c r="AD139" s="14">
        <f t="array" ref="AD139">SUM(IF($C$7:$C$132=$C139,$E$7:$E$132*AD$7:AD$132))/$E139</f>
        <v>8.4037636689474296E-2</v>
      </c>
      <c r="AE139" s="14">
        <f t="array" ref="AE139">SUM(IF($C$7:$C$132=$C139,$E$7:$E$132*AE$7:AE$132))/$E139</f>
        <v>0</v>
      </c>
      <c r="AF139" s="14">
        <f t="array" ref="AF139">SUM(IF($C$7:$C$132=$C139,$E$7:$E$132*AF$7:AF$132))/$E139</f>
        <v>1.9046111301439311E-3</v>
      </c>
      <c r="AG139" s="14">
        <f t="array" ref="AG139">SUM(IF($C$7:$C$132=$C139,$E$7:$E$132*AG$7:AG$132))/$E139</f>
        <v>2.8129568488312884E-2</v>
      </c>
      <c r="AH139" s="14">
        <f t="array" ref="AH139">SUM(IF($C$7:$C$132=$C139,$E$7:$E$132*AH$7:AH$132))/$E139</f>
        <v>-1.6702960035413286E-18</v>
      </c>
      <c r="AI139" s="76">
        <f t="shared" si="257"/>
        <v>0</v>
      </c>
      <c r="AK139" s="39">
        <f t="shared" si="290"/>
        <v>121758000</v>
      </c>
      <c r="AL139" s="39">
        <f t="shared" si="290"/>
        <v>22398502.643290479</v>
      </c>
      <c r="AM139" s="39">
        <f t="shared" si="290"/>
        <v>20685489.483448241</v>
      </c>
      <c r="AN139" s="39">
        <f t="shared" si="290"/>
        <v>78674007.873261303</v>
      </c>
      <c r="AO139" s="39">
        <f t="shared" si="290"/>
        <v>-2.033719007991851E-10</v>
      </c>
      <c r="AP139" s="39"/>
      <c r="AQ139" s="61" t="str">
        <f>E$1&amp;$A139&amp;"*      """</f>
        <v>E139*      "</v>
      </c>
      <c r="AS139" s="2">
        <f>SUM(AT139:AY139)</f>
        <v>22398502.643290482</v>
      </c>
      <c r="AT139" s="39">
        <f t="shared" si="291"/>
        <v>14064566.368231323</v>
      </c>
      <c r="AU139" s="39">
        <f t="shared" si="291"/>
        <v>6209199.2949012239</v>
      </c>
      <c r="AV139" s="39">
        <f t="shared" si="291"/>
        <v>0</v>
      </c>
      <c r="AW139" s="39">
        <f t="shared" si="291"/>
        <v>226028.17971999498</v>
      </c>
      <c r="AX139" s="39">
        <f t="shared" si="291"/>
        <v>1898708.8004379382</v>
      </c>
      <c r="AY139" s="39">
        <f t="shared" si="291"/>
        <v>0</v>
      </c>
      <c r="BA139" s="2">
        <f>SUM(BB139:BG139)</f>
        <v>20685489.483448237</v>
      </c>
      <c r="BB139" s="39">
        <f t="shared" si="292"/>
        <v>11694571.910317743</v>
      </c>
      <c r="BC139" s="39">
        <f t="shared" si="292"/>
        <v>7217325.8107267208</v>
      </c>
      <c r="BD139" s="39">
        <f t="shared" si="292"/>
        <v>0</v>
      </c>
      <c r="BE139" s="39">
        <f t="shared" si="292"/>
        <v>155509.3722952914</v>
      </c>
      <c r="BF139" s="39">
        <f t="shared" si="292"/>
        <v>1618082.3901084822</v>
      </c>
      <c r="BG139" s="39">
        <f t="shared" si="292"/>
        <v>0</v>
      </c>
      <c r="BI139" s="2">
        <f>SUM(BJ139:BO139)</f>
        <v>78674007.873261288</v>
      </c>
      <c r="BJ139" s="39">
        <f t="shared" si="293"/>
        <v>75606744.286284313</v>
      </c>
      <c r="BK139" s="39">
        <f t="shared" si="293"/>
        <v>2903899.8043226725</v>
      </c>
      <c r="BL139" s="39">
        <f t="shared" si="293"/>
        <v>0</v>
      </c>
      <c r="BM139" s="39">
        <f t="shared" si="293"/>
        <v>15080.230350524218</v>
      </c>
      <c r="BN139" s="39">
        <f t="shared" si="293"/>
        <v>148283.55230378013</v>
      </c>
      <c r="BO139" s="39">
        <f t="shared" si="293"/>
        <v>0</v>
      </c>
    </row>
    <row r="140" spans="1:67">
      <c r="A140" s="50">
        <f t="shared" si="294"/>
        <v>140</v>
      </c>
      <c r="C140" s="36" t="s">
        <v>467</v>
      </c>
      <c r="D140" t="s">
        <v>468</v>
      </c>
      <c r="E140" s="39">
        <f>SUMIF($C$7:$C$132,$C140,E$7:E$132)</f>
        <v>-85961000</v>
      </c>
      <c r="F140" s="60" t="str">
        <f>"sum where Func = "&amp;$C140&amp;" ("&amp;A$7&amp;"-"&amp;A$132&amp;")"</f>
        <v>sum where Func = A (7-132)</v>
      </c>
      <c r="G140" s="60"/>
      <c r="H140" s="39">
        <f t="shared" si="289"/>
        <v>-85961000</v>
      </c>
      <c r="I140" s="39">
        <f t="shared" si="289"/>
        <v>-65774593.777500004</v>
      </c>
      <c r="J140" s="39">
        <f t="shared" si="289"/>
        <v>-15790061.513479434</v>
      </c>
      <c r="K140" s="39">
        <f t="shared" si="289"/>
        <v>0</v>
      </c>
      <c r="L140" s="39">
        <f t="shared" si="289"/>
        <v>-391047.99710158154</v>
      </c>
      <c r="M140" s="39">
        <f t="shared" si="289"/>
        <v>-4005296.7119189776</v>
      </c>
      <c r="N140" s="39">
        <f t="shared" si="289"/>
        <v>0</v>
      </c>
      <c r="O140" s="39"/>
      <c r="P140" s="61" t="str">
        <f>H$1&amp;$A$7&amp;":"&amp;H$1&amp;$A$132&amp;", col "&amp;C$1&amp;"= O"</f>
        <v>H7:H132, col C= O</v>
      </c>
      <c r="Q140" s="61"/>
      <c r="R140" s="42">
        <f t="array" ref="R140">SUM(IF($C$7:$C$132=$C140,$E$7:$E$132*R$7:R$132))/$E140</f>
        <v>0.16904766890389558</v>
      </c>
      <c r="S140" s="14">
        <f t="array" ref="S140">SUM(IF($C$7:$C$132=$C140,$E$7:$E$132*S$7:S$132))/$E140</f>
        <v>2.676215166561764E-3</v>
      </c>
      <c r="T140" s="14">
        <f t="array" ref="T140">SUM(IF($C$7:$C$132=$C140,$E$7:$E$132*T$7:T$132))/$E140</f>
        <v>6.7778250216338799E-3</v>
      </c>
      <c r="U140" s="14">
        <f t="array" ref="U140">SUM(IF($C$7:$C$132=$C140,$E$7:$E$132*U$7:U$132))/$E140</f>
        <v>4.5359290529395975E-2</v>
      </c>
      <c r="V140" s="14">
        <f t="array" ref="V140">SUM(IF($C$7:$C$132=$C140,$E$7:$E$132*V$7:V$132))/$E140</f>
        <v>0</v>
      </c>
      <c r="W140" s="14">
        <f t="array" ref="W140">SUM(IF($C$7:$C$132=$C140,$E$7:$E$132*W$7:W$132))/$E140</f>
        <v>0.27058822771397795</v>
      </c>
      <c r="X140" s="14">
        <f t="array" ref="X140">SUM(IF($C$7:$C$132=$C140,$E$7:$E$132*X$7:X$132))/$E140</f>
        <v>0</v>
      </c>
      <c r="Y140" s="14">
        <f t="array" ref="Y140">SUM(IF($C$7:$C$132=$C140,$E$7:$E$132*Y$7:Y$132))/$E140</f>
        <v>0</v>
      </c>
      <c r="Z140" s="14">
        <f t="array" ref="Z140">SUM(IF($C$7:$C$132=$C140,$E$7:$E$132*Z$7:Z$132))/$E140</f>
        <v>0</v>
      </c>
      <c r="AA140" s="14">
        <f t="array" ref="AA140">SUM(IF($C$7:$C$132=$C140,$E$7:$E$132*AA$7:AA$132))/$E140</f>
        <v>0</v>
      </c>
      <c r="AB140" s="14">
        <f t="array" ref="AB140">SUM(IF($C$7:$C$132=$C140,$E$7:$E$132*AB$7:AB$132))/$E140</f>
        <v>7.2651262952682066E-2</v>
      </c>
      <c r="AC140" s="14">
        <f t="array" ref="AC140">SUM(IF($C$7:$C$132=$C140,$E$7:$E$132*AC$7:AC$132))/$E140</f>
        <v>0.31137572086955634</v>
      </c>
      <c r="AD140" s="14">
        <f t="array" ref="AD140">SUM(IF($C$7:$C$132=$C140,$E$7:$E$132*AD$7:AD$132))/$E140</f>
        <v>0.11759557901028445</v>
      </c>
      <c r="AE140" s="14">
        <f t="array" ref="AE140">SUM(IF($C$7:$C$132=$C140,$E$7:$E$132*AE$7:AE$132))/$E140</f>
        <v>0</v>
      </c>
      <c r="AF140" s="14">
        <f t="array" ref="AF140">SUM(IF($C$7:$C$132=$C140,$E$7:$E$132*AF$7:AF$132))/$E140</f>
        <v>3.9282098320119977E-3</v>
      </c>
      <c r="AG140" s="14">
        <f t="array" ref="AG140">SUM(IF($C$7:$C$132=$C140,$E$7:$E$132*AG$7:AG$132))/$E140</f>
        <v>0</v>
      </c>
      <c r="AH140" s="14">
        <f t="array" ref="AH140">SUM(IF($C$7:$C$132=$C140,$E$7:$E$132*AH$7:AH$132))/$E140</f>
        <v>-2.4244162456526846E-19</v>
      </c>
      <c r="AI140" s="76">
        <f t="shared" si="257"/>
        <v>0</v>
      </c>
      <c r="AK140" s="39">
        <f t="shared" si="290"/>
        <v>-85961000</v>
      </c>
      <c r="AL140" s="39">
        <f t="shared" si="290"/>
        <v>-19243315.388462663</v>
      </c>
      <c r="AM140" s="39">
        <f t="shared" si="290"/>
        <v>-23260034.642521258</v>
      </c>
      <c r="AN140" s="39">
        <f t="shared" si="290"/>
        <v>-43457649.969016083</v>
      </c>
      <c r="AO140" s="39">
        <f t="shared" si="290"/>
        <v>2.0840524489255042E-11</v>
      </c>
      <c r="AP140" s="39"/>
      <c r="AQ140" s="61" t="str">
        <f>E$1&amp;$A140&amp;"*      """</f>
        <v>E140*      "</v>
      </c>
      <c r="AS140" s="2">
        <f>SUM(AT140:AY140)</f>
        <v>-19243315.388462663</v>
      </c>
      <c r="AT140" s="39">
        <f t="shared" si="291"/>
        <v>-11700101.62417713</v>
      </c>
      <c r="AU140" s="39">
        <f t="shared" si="291"/>
        <v>-5311836.7562239822</v>
      </c>
      <c r="AV140" s="39">
        <f t="shared" si="291"/>
        <v>0</v>
      </c>
      <c r="AW140" s="39">
        <f t="shared" si="291"/>
        <v>-200672.55455737843</v>
      </c>
      <c r="AX140" s="39">
        <f t="shared" si="291"/>
        <v>-2030704.4535041715</v>
      </c>
      <c r="AY140" s="39">
        <f t="shared" si="291"/>
        <v>0</v>
      </c>
      <c r="BA140" s="2">
        <f>SUM(BB140:BG140)</f>
        <v>-23260034.642521255</v>
      </c>
      <c r="BB140" s="39">
        <f t="shared" si="292"/>
        <v>-13150094.803466165</v>
      </c>
      <c r="BC140" s="39">
        <f t="shared" si="292"/>
        <v>-8115604.3475883845</v>
      </c>
      <c r="BD140" s="39">
        <f t="shared" si="292"/>
        <v>0</v>
      </c>
      <c r="BE140" s="39">
        <f t="shared" si="292"/>
        <v>-174864.28782454127</v>
      </c>
      <c r="BF140" s="39">
        <f t="shared" si="292"/>
        <v>-1819471.2036421641</v>
      </c>
      <c r="BG140" s="39">
        <f t="shared" si="292"/>
        <v>0</v>
      </c>
      <c r="BI140" s="2">
        <f>SUM(BJ140:BO140)</f>
        <v>-43457649.969016075</v>
      </c>
      <c r="BJ140" s="39">
        <f t="shared" si="293"/>
        <v>-40924397.349856712</v>
      </c>
      <c r="BK140" s="39">
        <f t="shared" si="293"/>
        <v>-2362620.4096670696</v>
      </c>
      <c r="BL140" s="39">
        <f t="shared" si="293"/>
        <v>0</v>
      </c>
      <c r="BM140" s="39">
        <f t="shared" si="293"/>
        <v>-15511.154719661887</v>
      </c>
      <c r="BN140" s="39">
        <f t="shared" si="293"/>
        <v>-155121.05477264145</v>
      </c>
      <c r="BO140" s="39">
        <f t="shared" si="293"/>
        <v>0</v>
      </c>
    </row>
    <row r="141" spans="1:67" ht="13.5" thickBot="1">
      <c r="A141" s="50">
        <f t="shared" si="294"/>
        <v>141</v>
      </c>
      <c r="D141" s="28" t="s">
        <v>110</v>
      </c>
      <c r="E141" s="6">
        <f>SUM(E136:E140)</f>
        <v>598024000</v>
      </c>
      <c r="F141" s="60"/>
      <c r="G141" s="60"/>
      <c r="H141" s="6">
        <f t="shared" ref="H141:N141" si="295">SUM(H136:H140)</f>
        <v>598024000</v>
      </c>
      <c r="I141" s="6">
        <f t="shared" si="295"/>
        <v>452878885.29500723</v>
      </c>
      <c r="J141" s="6">
        <f t="shared" si="295"/>
        <v>114194364.88610736</v>
      </c>
      <c r="K141" s="6">
        <f t="shared" si="295"/>
        <v>0</v>
      </c>
      <c r="L141" s="6">
        <f t="shared" si="295"/>
        <v>2838073.1082380037</v>
      </c>
      <c r="M141" s="6">
        <f t="shared" si="295"/>
        <v>28112676.710647404</v>
      </c>
      <c r="N141" s="6">
        <f t="shared" si="295"/>
        <v>0</v>
      </c>
      <c r="O141" s="5"/>
      <c r="P141" s="61" t="str">
        <f>A136&amp;":"&amp;$A139</f>
        <v>136:139</v>
      </c>
      <c r="Q141" s="61"/>
      <c r="R141" s="41"/>
      <c r="S141" s="2"/>
      <c r="AI141" s="76">
        <f t="shared" si="257"/>
        <v>0</v>
      </c>
      <c r="AK141" s="54">
        <f>SUM(AK136:AK140)</f>
        <v>598024000</v>
      </c>
      <c r="AL141" s="54">
        <f>SUM(AL136:AL140)</f>
        <v>149315110.20820916</v>
      </c>
      <c r="AM141" s="54">
        <f>SUM(AM136:AM140)</f>
        <v>162444318.90681466</v>
      </c>
      <c r="AN141" s="54">
        <f>SUM(AN136:AN140)</f>
        <v>286264570.88497627</v>
      </c>
      <c r="AO141" s="54">
        <f>SUM(AO136:AO140)</f>
        <v>-1.8253137630993006E-10</v>
      </c>
      <c r="AP141" s="5"/>
      <c r="AQ141" s="61" t="str">
        <f>A136&amp;":"&amp;$A139</f>
        <v>136:139</v>
      </c>
      <c r="AS141" s="54">
        <f>IF(ROUND(SUM(AS136:AS140),3)&lt;&gt;ROUND(SUM(AT141:AY141),3),#VALUE!,SUM(AS136:AS140))</f>
        <v>149315110.20820913</v>
      </c>
      <c r="AT141" s="54">
        <f t="shared" ref="AT141:AY141" si="296">SUM(AT136:AT140)</f>
        <v>92392201.282235801</v>
      </c>
      <c r="AU141" s="54">
        <f t="shared" si="296"/>
        <v>41052052.070087157</v>
      </c>
      <c r="AV141" s="54">
        <f t="shared" si="296"/>
        <v>0</v>
      </c>
      <c r="AW141" s="54">
        <f t="shared" si="296"/>
        <v>1507502.1885130994</v>
      </c>
      <c r="AX141" s="54">
        <f t="shared" si="296"/>
        <v>14363354.667373052</v>
      </c>
      <c r="AY141" s="54">
        <f t="shared" si="296"/>
        <v>0</v>
      </c>
      <c r="BA141" s="54">
        <f>IF(ROUND(SUM(BA136:BA140),3)&lt;&gt;ROUND(SUM(BB141:BG141),3),#VALUE!,SUM(BA136:BA140))</f>
        <v>162444318.90681463</v>
      </c>
      <c r="BB141" s="54">
        <f t="shared" ref="BB141:BG141" si="297">SUM(BB136:BB140)</f>
        <v>91838134.669156119</v>
      </c>
      <c r="BC141" s="54">
        <f t="shared" si="297"/>
        <v>56678067.811264388</v>
      </c>
      <c r="BD141" s="54">
        <f t="shared" si="297"/>
        <v>0</v>
      </c>
      <c r="BE141" s="54">
        <f t="shared" si="297"/>
        <v>1221223.8964104906</v>
      </c>
      <c r="BF141" s="54">
        <f t="shared" si="297"/>
        <v>12706892.529983621</v>
      </c>
      <c r="BG141" s="54">
        <f t="shared" si="297"/>
        <v>0</v>
      </c>
      <c r="BI141" s="54">
        <f>IF(ROUND(SUM(BI136:BI140),3)&lt;&gt;ROUND(SUM(BJ141:BO141),3),#VALUE!,SUM(BI136:BI140))</f>
        <v>286264570.88497621</v>
      </c>
      <c r="BJ141" s="54">
        <f t="shared" ref="BJ141:BO141" si="298">SUM(BJ136:BJ140)</f>
        <v>268648549.34361523</v>
      </c>
      <c r="BK141" s="54">
        <f t="shared" si="298"/>
        <v>16464245.004755786</v>
      </c>
      <c r="BL141" s="54">
        <f t="shared" si="298"/>
        <v>0</v>
      </c>
      <c r="BM141" s="54">
        <f t="shared" si="298"/>
        <v>109347.02331441402</v>
      </c>
      <c r="BN141" s="54">
        <f t="shared" si="298"/>
        <v>1042429.5132907275</v>
      </c>
      <c r="BO141" s="54">
        <f t="shared" si="298"/>
        <v>0</v>
      </c>
    </row>
    <row r="142" spans="1:67" ht="13.5" thickTop="1">
      <c r="A142" s="50">
        <f t="shared" si="294"/>
        <v>142</v>
      </c>
      <c r="E142" s="2"/>
      <c r="F142" s="60"/>
      <c r="G142" s="60"/>
      <c r="H142" s="33">
        <f>H141-$E141</f>
        <v>0</v>
      </c>
      <c r="P142" s="61"/>
      <c r="Q142" s="61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76">
        <f t="shared" si="257"/>
        <v>0</v>
      </c>
      <c r="AK142" s="33">
        <f>AK141-$E141</f>
        <v>0</v>
      </c>
      <c r="AQ142" s="61"/>
    </row>
    <row r="143" spans="1:67">
      <c r="A143" s="50">
        <f t="shared" si="294"/>
        <v>143</v>
      </c>
      <c r="D143" s="87" t="s">
        <v>469</v>
      </c>
      <c r="E143" s="8"/>
      <c r="F143" s="60"/>
      <c r="G143" s="60"/>
      <c r="H143" s="2"/>
      <c r="I143" s="2"/>
      <c r="J143" s="2"/>
      <c r="K143" s="2"/>
      <c r="L143" s="2"/>
      <c r="M143" s="2"/>
      <c r="N143" s="2"/>
      <c r="O143" s="2"/>
      <c r="P143" s="61"/>
      <c r="Q143" s="61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76">
        <f t="shared" si="257"/>
        <v>0</v>
      </c>
      <c r="AP143" s="2"/>
    </row>
    <row r="144" spans="1:67">
      <c r="A144" s="50">
        <f t="shared" si="294"/>
        <v>144</v>
      </c>
      <c r="D144" s="28" t="s">
        <v>356</v>
      </c>
      <c r="E144" s="39">
        <f>$E$140*$E$24/$E$58</f>
        <v>-3470124.1346137687</v>
      </c>
      <c r="F144" s="60"/>
      <c r="G144" s="60"/>
      <c r="H144" s="39">
        <f>SUM(I144:N144)</f>
        <v>-3470124.1346137687</v>
      </c>
      <c r="I144" s="39">
        <f>I$140*IF(I$58,I$24/I$58,0)</f>
        <v>-2477467.5181849031</v>
      </c>
      <c r="J144" s="39">
        <f t="shared" ref="J144:N144" si="299">J$140*IF(J$58,J$24/J$58,0)</f>
        <v>-923922.86787117878</v>
      </c>
      <c r="K144" s="39">
        <f t="shared" si="299"/>
        <v>0</v>
      </c>
      <c r="L144" s="39">
        <f t="shared" si="299"/>
        <v>-25158.399585521198</v>
      </c>
      <c r="M144" s="39">
        <f t="shared" si="299"/>
        <v>-43575.348972165506</v>
      </c>
      <c r="N144" s="39">
        <f t="shared" si="299"/>
        <v>0</v>
      </c>
      <c r="O144" s="2"/>
      <c r="P144" s="61"/>
      <c r="Q144" s="61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76">
        <f t="shared" si="257"/>
        <v>0</v>
      </c>
      <c r="AK144" s="39">
        <f>SUM(AL144:AQ144)</f>
        <v>-3470124.1346137696</v>
      </c>
      <c r="AL144" s="39">
        <f>AL$140*IF(AL$58,AL$24/AL$58,0)</f>
        <v>-3470124.1346137696</v>
      </c>
      <c r="AM144" s="39">
        <f>AM$140*IF(AM$58,AM$24/AM$58,0)</f>
        <v>0</v>
      </c>
      <c r="AN144" s="39">
        <f>AN$140*IF(AN$58,AN$24/AN$58,0)</f>
        <v>0</v>
      </c>
      <c r="AO144" s="39">
        <f>AO$140*IF(AO$58,AO$24/AO$58,0)</f>
        <v>0</v>
      </c>
      <c r="AP144" s="2"/>
      <c r="AS144" s="39">
        <f>SUM(AT144:AY144)</f>
        <v>-3470124.1346137696</v>
      </c>
      <c r="AT144" s="39">
        <f t="shared" ref="AT144:AY144" si="300">AT$140*IF(AT$58,AT$24/AT$58,0)</f>
        <v>-2477467.5181849035</v>
      </c>
      <c r="AU144" s="39">
        <f t="shared" si="300"/>
        <v>-923922.86787117913</v>
      </c>
      <c r="AV144" s="39">
        <f t="shared" si="300"/>
        <v>0</v>
      </c>
      <c r="AW144" s="39">
        <f t="shared" si="300"/>
        <v>-25158.399585521198</v>
      </c>
      <c r="AX144" s="39">
        <f t="shared" si="300"/>
        <v>-43575.348972165506</v>
      </c>
      <c r="AY144" s="39">
        <f t="shared" si="300"/>
        <v>0</v>
      </c>
      <c r="BA144" s="39">
        <f>SUM(BB144:BG144)</f>
        <v>0</v>
      </c>
      <c r="BB144" s="39">
        <f t="shared" ref="BB144:BG144" si="301">BB$140*IF(BB$58,BB$24/BB$58,0)</f>
        <v>0</v>
      </c>
      <c r="BC144" s="39">
        <f t="shared" si="301"/>
        <v>0</v>
      </c>
      <c r="BD144" s="39">
        <f t="shared" si="301"/>
        <v>0</v>
      </c>
      <c r="BE144" s="39">
        <f t="shared" si="301"/>
        <v>0</v>
      </c>
      <c r="BF144" s="39">
        <f t="shared" si="301"/>
        <v>0</v>
      </c>
      <c r="BG144" s="39">
        <f t="shared" si="301"/>
        <v>0</v>
      </c>
      <c r="BI144" s="39">
        <f>SUM(BJ144:BO144)</f>
        <v>0</v>
      </c>
      <c r="BJ144" s="39">
        <f t="shared" ref="BJ144:BO144" si="302">BJ$140*IF(BJ$58,BJ$24/BJ$58,0)</f>
        <v>0</v>
      </c>
      <c r="BK144" s="39">
        <f t="shared" si="302"/>
        <v>0</v>
      </c>
      <c r="BL144" s="39">
        <f t="shared" si="302"/>
        <v>0</v>
      </c>
      <c r="BM144" s="39">
        <f t="shared" si="302"/>
        <v>0</v>
      </c>
      <c r="BN144" s="39">
        <f t="shared" si="302"/>
        <v>0</v>
      </c>
      <c r="BO144" s="39">
        <f t="shared" si="302"/>
        <v>0</v>
      </c>
    </row>
    <row r="145" spans="1:67">
      <c r="A145" s="50">
        <f t="shared" si="294"/>
        <v>145</v>
      </c>
      <c r="D145" s="28" t="s">
        <v>118</v>
      </c>
      <c r="E145" s="39">
        <f>$E$140*$E$41/$E$58</f>
        <v>-67195625.299314409</v>
      </c>
      <c r="F145" s="60"/>
      <c r="G145" s="60"/>
      <c r="H145" s="39">
        <f>SUM(I145:N145)</f>
        <v>-67195625.299314409</v>
      </c>
      <c r="I145" s="39">
        <f t="shared" ref="I145:N145" si="303">I$140*IF(I$58,I$41/I$58,0)</f>
        <v>-50439064.513299361</v>
      </c>
      <c r="J145" s="39">
        <f t="shared" si="303"/>
        <v>-12900917.774870811</v>
      </c>
      <c r="K145" s="39">
        <f t="shared" si="303"/>
        <v>0</v>
      </c>
      <c r="L145" s="39">
        <f t="shared" si="303"/>
        <v>-318445.16967814998</v>
      </c>
      <c r="M145" s="39">
        <f t="shared" si="303"/>
        <v>-3537197.8414660781</v>
      </c>
      <c r="N145" s="39">
        <f t="shared" si="303"/>
        <v>0</v>
      </c>
      <c r="O145" s="2"/>
      <c r="P145" s="61"/>
      <c r="Q145" s="61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76">
        <f t="shared" si="257"/>
        <v>0</v>
      </c>
      <c r="AK145" s="39">
        <f>SUM(AL145:AQ145)</f>
        <v>-67195625.299314409</v>
      </c>
      <c r="AL145" s="39">
        <f>AL$140*IF(AL$58,AL$41/AL$58,0)</f>
        <v>-12994805.846732713</v>
      </c>
      <c r="AM145" s="39">
        <f>AM$140*IF(AM$58,AM$41/AM$58,0)</f>
        <v>-20887455.280257832</v>
      </c>
      <c r="AN145" s="39">
        <f>AN$140*IF(AN$58,AN$41/AN$58,0)</f>
        <v>-33313364.172323871</v>
      </c>
      <c r="AO145" s="39">
        <f>AO$140*IF(AO$58,AO$41/AO$58,0)</f>
        <v>0</v>
      </c>
      <c r="AP145" s="2"/>
      <c r="AS145" s="39">
        <f>SUM(AT145:AY145)</f>
        <v>-12994805.846732713</v>
      </c>
      <c r="AT145" s="39">
        <f t="shared" ref="AT145:AY145" si="304">AT$140*IF(AT$58,AT$41/AT$58,0)</f>
        <v>-7464717.2188188527</v>
      </c>
      <c r="AU145" s="39">
        <f t="shared" si="304"/>
        <v>-3616768.4685477009</v>
      </c>
      <c r="AV145" s="39">
        <f t="shared" si="304"/>
        <v>0</v>
      </c>
      <c r="AW145" s="39">
        <f t="shared" si="304"/>
        <v>-147689.14346938502</v>
      </c>
      <c r="AX145" s="39">
        <f t="shared" si="304"/>
        <v>-1765631.0158967739</v>
      </c>
      <c r="AY145" s="39">
        <f t="shared" si="304"/>
        <v>0</v>
      </c>
      <c r="BA145" s="39">
        <f>SUM(BB145:BG145)</f>
        <v>-20887455.280257829</v>
      </c>
      <c r="BB145" s="39">
        <f t="shared" ref="BB145:BG145" si="305">BB$140*IF(BB$58,BB$41/BB$58,0)</f>
        <v>-11808753.570660096</v>
      </c>
      <c r="BC145" s="39">
        <f t="shared" si="305"/>
        <v>-7287793.2250639163</v>
      </c>
      <c r="BD145" s="39">
        <f t="shared" si="305"/>
        <v>0</v>
      </c>
      <c r="BE145" s="39">
        <f t="shared" si="305"/>
        <v>-157027.71075724124</v>
      </c>
      <c r="BF145" s="39">
        <f t="shared" si="305"/>
        <v>-1633880.7737765757</v>
      </c>
      <c r="BG145" s="39">
        <f t="shared" si="305"/>
        <v>0</v>
      </c>
      <c r="BI145" s="39">
        <f>SUM(BJ145:BO145)</f>
        <v>-33313364.172323871</v>
      </c>
      <c r="BJ145" s="39">
        <f t="shared" ref="BJ145:BO145" si="306">BJ$140*IF(BJ$58,BJ$41/BJ$58,0)</f>
        <v>-31165593.723820426</v>
      </c>
      <c r="BK145" s="39">
        <f t="shared" si="306"/>
        <v>-1996356.0812591964</v>
      </c>
      <c r="BL145" s="39">
        <f t="shared" si="306"/>
        <v>0</v>
      </c>
      <c r="BM145" s="39">
        <f t="shared" si="306"/>
        <v>-13728.31545152378</v>
      </c>
      <c r="BN145" s="39">
        <f t="shared" si="306"/>
        <v>-137686.0517927277</v>
      </c>
      <c r="BO145" s="39">
        <f t="shared" si="306"/>
        <v>0</v>
      </c>
    </row>
    <row r="146" spans="1:67">
      <c r="A146" s="50">
        <f t="shared" si="294"/>
        <v>146</v>
      </c>
      <c r="D146" s="28" t="s">
        <v>147</v>
      </c>
      <c r="E146" s="39">
        <f>$E$140*SUM($E$13,$E$56)/$E$58</f>
        <v>-15295250.56607182</v>
      </c>
      <c r="F146" s="60"/>
      <c r="G146" s="60"/>
      <c r="H146" s="39">
        <f>SUM(I146:N146)</f>
        <v>-15295250.566071816</v>
      </c>
      <c r="I146" s="39">
        <f t="shared" ref="I146:N146" si="307">I$140*IF(I$58,SUM(I$13,I$56)/I$58,0)</f>
        <v>-12858061.746015729</v>
      </c>
      <c r="J146" s="39">
        <f t="shared" si="307"/>
        <v>-1965220.8707374434</v>
      </c>
      <c r="K146" s="39">
        <f t="shared" si="307"/>
        <v>0</v>
      </c>
      <c r="L146" s="39">
        <f t="shared" si="307"/>
        <v>-47444.427837910342</v>
      </c>
      <c r="M146" s="39">
        <f t="shared" si="307"/>
        <v>-424523.52148073382</v>
      </c>
      <c r="N146" s="39">
        <f t="shared" si="307"/>
        <v>0</v>
      </c>
      <c r="O146" s="2"/>
      <c r="P146" s="61"/>
      <c r="Q146" s="61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76">
        <f t="shared" si="257"/>
        <v>0</v>
      </c>
      <c r="AK146" s="39">
        <f>SUM(AL146:AQ146)</f>
        <v>-15295250.56607182</v>
      </c>
      <c r="AL146" s="39">
        <f>AL$140*IF(AL$58,SUM(AL$13,AL$56)/AL$58,0)</f>
        <v>-2778385.4071161798</v>
      </c>
      <c r="AM146" s="39">
        <f>AM$140*IF(AM$58,SUM(AM$13,AM$56)/AM$58,0)</f>
        <v>-2372579.3622634267</v>
      </c>
      <c r="AN146" s="39">
        <f>AN$140*IF(AN$58,SUM(AN$13,AN$56)/AN$58,0)</f>
        <v>-10144285.796692213</v>
      </c>
      <c r="AO146" s="39">
        <f>AO$140*IF(AO$58,SUM(AO$13,AO$56)/AO$58,0)</f>
        <v>2.0840524489255042E-11</v>
      </c>
      <c r="AP146" s="2"/>
      <c r="AS146" s="39">
        <f>SUM(AT146:AY146)</f>
        <v>-2778385.4071161803</v>
      </c>
      <c r="AT146" s="39">
        <f t="shared" ref="AT146:AY146" si="308">AT$140*IF(AT$58,SUM(AT$13,AT$56)/AT$58,0)</f>
        <v>-1757916.8871733742</v>
      </c>
      <c r="AU146" s="39">
        <f t="shared" si="308"/>
        <v>-771145.41980510228</v>
      </c>
      <c r="AV146" s="39">
        <f t="shared" si="308"/>
        <v>0</v>
      </c>
      <c r="AW146" s="39">
        <f t="shared" si="308"/>
        <v>-27825.011502472236</v>
      </c>
      <c r="AX146" s="39">
        <f t="shared" si="308"/>
        <v>-221498.08863523183</v>
      </c>
      <c r="AY146" s="39">
        <f t="shared" si="308"/>
        <v>0</v>
      </c>
      <c r="BA146" s="39">
        <f>SUM(BB146:BG146)</f>
        <v>-2372579.3622634271</v>
      </c>
      <c r="BB146" s="39">
        <f t="shared" ref="BB146:BG146" si="309">BB$140*IF(BB$58,SUM(BB$13,BB$56)/BB$58,0)</f>
        <v>-1341341.2328060698</v>
      </c>
      <c r="BC146" s="39">
        <f t="shared" si="309"/>
        <v>-827811.12252446858</v>
      </c>
      <c r="BD146" s="39">
        <f t="shared" si="309"/>
        <v>0</v>
      </c>
      <c r="BE146" s="39">
        <f t="shared" si="309"/>
        <v>-17836.577067300012</v>
      </c>
      <c r="BF146" s="39">
        <f t="shared" si="309"/>
        <v>-185590.42986558823</v>
      </c>
      <c r="BG146" s="39">
        <f t="shared" si="309"/>
        <v>0</v>
      </c>
      <c r="BI146" s="39">
        <f>SUM(BJ146:BO146)</f>
        <v>-10144285.796692213</v>
      </c>
      <c r="BJ146" s="39">
        <f t="shared" ref="BJ146:BO146" si="310">BJ$140*IF(BJ$58,SUM(BJ$13,BJ$56)/BJ$58,0)</f>
        <v>-9758803.6260362882</v>
      </c>
      <c r="BK146" s="39">
        <f t="shared" si="310"/>
        <v>-366264.32840787317</v>
      </c>
      <c r="BL146" s="39">
        <f t="shared" si="310"/>
        <v>0</v>
      </c>
      <c r="BM146" s="39">
        <f t="shared" si="310"/>
        <v>-1782.8392681381065</v>
      </c>
      <c r="BN146" s="39">
        <f t="shared" si="310"/>
        <v>-17435.00297991373</v>
      </c>
      <c r="BO146" s="39">
        <f t="shared" si="310"/>
        <v>0</v>
      </c>
    </row>
    <row r="147" spans="1:67">
      <c r="A147" s="50">
        <f t="shared" si="294"/>
        <v>147</v>
      </c>
      <c r="D147" s="52" t="s">
        <v>470</v>
      </c>
      <c r="E147" s="40">
        <f>SUM(E144:E146)</f>
        <v>-85961000</v>
      </c>
      <c r="F147" s="60"/>
      <c r="G147" s="60"/>
      <c r="H147" s="40">
        <f>SUM(H144:H146)</f>
        <v>-85961000</v>
      </c>
      <c r="I147" s="40">
        <f t="shared" ref="I147:N147" si="311">SUM(I144:I146)</f>
        <v>-65774593.777499989</v>
      </c>
      <c r="J147" s="40">
        <f t="shared" si="311"/>
        <v>-15790061.513479432</v>
      </c>
      <c r="K147" s="40">
        <f t="shared" si="311"/>
        <v>0</v>
      </c>
      <c r="L147" s="40">
        <f t="shared" si="311"/>
        <v>-391047.99710158154</v>
      </c>
      <c r="M147" s="40">
        <f t="shared" si="311"/>
        <v>-4005296.7119189776</v>
      </c>
      <c r="N147" s="40">
        <f t="shared" si="311"/>
        <v>0</v>
      </c>
      <c r="O147" s="2"/>
      <c r="P147" s="61"/>
      <c r="Q147" s="61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76">
        <f t="shared" si="257"/>
        <v>0</v>
      </c>
      <c r="AK147" s="40">
        <f>SUM(AK144:AK146)</f>
        <v>-85961000</v>
      </c>
      <c r="AL147" s="40">
        <f>SUM(AL144:AL146)</f>
        <v>-19243315.388462663</v>
      </c>
      <c r="AM147" s="40">
        <f>SUM(AM144:AM146)</f>
        <v>-23260034.642521258</v>
      </c>
      <c r="AN147" s="40">
        <f>SUM(AN144:AN146)</f>
        <v>-43457649.969016083</v>
      </c>
      <c r="AO147" s="40">
        <f>SUM(AO144:AO146)</f>
        <v>2.0840524489255042E-11</v>
      </c>
      <c r="AP147" s="2"/>
      <c r="AS147" s="40">
        <f t="shared" ref="AS147:AY147" si="312">SUM(AS144:AS146)</f>
        <v>-19243315.388462663</v>
      </c>
      <c r="AT147" s="40">
        <f t="shared" si="312"/>
        <v>-11700101.624177132</v>
      </c>
      <c r="AU147" s="40">
        <f t="shared" si="312"/>
        <v>-5311836.7562239822</v>
      </c>
      <c r="AV147" s="40">
        <f t="shared" si="312"/>
        <v>0</v>
      </c>
      <c r="AW147" s="40">
        <f t="shared" si="312"/>
        <v>-200672.55455737846</v>
      </c>
      <c r="AX147" s="40">
        <f t="shared" si="312"/>
        <v>-2030704.4535041712</v>
      </c>
      <c r="AY147" s="40">
        <f t="shared" si="312"/>
        <v>0</v>
      </c>
      <c r="BA147" s="40">
        <f t="shared" ref="BA147:BG147" si="313">SUM(BA144:BA146)</f>
        <v>-23260034.642521255</v>
      </c>
      <c r="BB147" s="40">
        <f t="shared" si="313"/>
        <v>-13150094.803466165</v>
      </c>
      <c r="BC147" s="40">
        <f t="shared" si="313"/>
        <v>-8115604.3475883845</v>
      </c>
      <c r="BD147" s="40">
        <f t="shared" si="313"/>
        <v>0</v>
      </c>
      <c r="BE147" s="40">
        <f t="shared" si="313"/>
        <v>-174864.28782454124</v>
      </c>
      <c r="BF147" s="40">
        <f t="shared" si="313"/>
        <v>-1819471.2036421639</v>
      </c>
      <c r="BG147" s="40">
        <f t="shared" si="313"/>
        <v>0</v>
      </c>
      <c r="BI147" s="40">
        <f t="shared" ref="BI147:BO147" si="314">SUM(BI144:BI146)</f>
        <v>-43457649.969016083</v>
      </c>
      <c r="BJ147" s="40">
        <f t="shared" si="314"/>
        <v>-40924397.349856712</v>
      </c>
      <c r="BK147" s="40">
        <f t="shared" si="314"/>
        <v>-2362620.4096670696</v>
      </c>
      <c r="BL147" s="40">
        <f t="shared" si="314"/>
        <v>0</v>
      </c>
      <c r="BM147" s="40">
        <f t="shared" si="314"/>
        <v>-15511.154719661887</v>
      </c>
      <c r="BN147" s="40">
        <f t="shared" si="314"/>
        <v>-155121.05477264142</v>
      </c>
      <c r="BO147" s="40">
        <f t="shared" si="314"/>
        <v>0</v>
      </c>
    </row>
    <row r="148" spans="1:67">
      <c r="A148" s="50">
        <f t="shared" si="294"/>
        <v>148</v>
      </c>
      <c r="D148" s="52"/>
      <c r="E148" s="41"/>
      <c r="F148" s="60"/>
      <c r="G148" s="60"/>
      <c r="H148" s="33">
        <f>H147-$E147</f>
        <v>0</v>
      </c>
      <c r="I148" s="41"/>
      <c r="J148" s="41"/>
      <c r="K148" s="41"/>
      <c r="L148" s="41"/>
      <c r="M148" s="41"/>
      <c r="N148" s="41"/>
      <c r="O148" s="2"/>
      <c r="P148" s="61"/>
      <c r="Q148" s="61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76">
        <f t="shared" si="257"/>
        <v>0</v>
      </c>
      <c r="AK148" s="41"/>
      <c r="AL148" s="41"/>
      <c r="AM148" s="41"/>
      <c r="AN148" s="41"/>
      <c r="AO148" s="41"/>
      <c r="AP148" s="2"/>
      <c r="AS148" s="41"/>
      <c r="AT148" s="41"/>
      <c r="AU148" s="41"/>
      <c r="AV148" s="41"/>
      <c r="AW148" s="41"/>
      <c r="AX148" s="41"/>
      <c r="AY148" s="41"/>
      <c r="BA148" s="41"/>
      <c r="BB148" s="41"/>
      <c r="BC148" s="41"/>
      <c r="BD148" s="41"/>
      <c r="BE148" s="41"/>
      <c r="BF148" s="41"/>
      <c r="BG148" s="41"/>
      <c r="BI148" s="41"/>
      <c r="BJ148" s="41"/>
      <c r="BK148" s="41"/>
      <c r="BL148" s="41"/>
      <c r="BM148" s="41"/>
      <c r="BN148" s="41"/>
      <c r="BO148" s="41"/>
    </row>
    <row r="149" spans="1:67">
      <c r="A149" s="50">
        <f t="shared" si="294"/>
        <v>149</v>
      </c>
      <c r="D149" s="87" t="s">
        <v>474</v>
      </c>
      <c r="E149" s="8"/>
      <c r="F149" s="60"/>
      <c r="G149" s="60"/>
      <c r="H149" s="2"/>
      <c r="I149" s="2"/>
      <c r="J149" s="2"/>
      <c r="K149" s="2"/>
      <c r="L149" s="2"/>
      <c r="M149" s="2"/>
      <c r="N149" s="2"/>
      <c r="O149" s="2"/>
      <c r="P149" s="61"/>
      <c r="Q149" s="61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76">
        <f t="shared" si="257"/>
        <v>0</v>
      </c>
      <c r="AP149" s="2"/>
    </row>
    <row r="150" spans="1:67">
      <c r="A150" s="50">
        <f t="shared" si="294"/>
        <v>150</v>
      </c>
      <c r="D150" s="28" t="s">
        <v>356</v>
      </c>
      <c r="E150" s="39">
        <f>E136+E144</f>
        <v>40025875.865386233</v>
      </c>
      <c r="F150" s="60"/>
      <c r="G150" s="60"/>
      <c r="H150" s="39">
        <f t="shared" ref="H150:N151" si="315">H136+H144</f>
        <v>40025875.865386233</v>
      </c>
      <c r="I150" s="39">
        <f t="shared" si="315"/>
        <v>28576155.634971958</v>
      </c>
      <c r="J150" s="39">
        <f t="shared" si="315"/>
        <v>10656916.174763726</v>
      </c>
      <c r="K150" s="39">
        <f t="shared" si="315"/>
        <v>0</v>
      </c>
      <c r="L150" s="39">
        <f t="shared" si="315"/>
        <v>290187.59552068159</v>
      </c>
      <c r="M150" s="39">
        <f t="shared" si="315"/>
        <v>502616.46012986451</v>
      </c>
      <c r="N150" s="39">
        <f t="shared" si="315"/>
        <v>0</v>
      </c>
      <c r="O150" s="2"/>
      <c r="P150" s="61"/>
      <c r="Q150" s="61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76">
        <f t="shared" si="257"/>
        <v>0</v>
      </c>
      <c r="AK150" s="39">
        <f t="shared" ref="AK150:AO151" si="316">AK136+AK144</f>
        <v>40025875.865386233</v>
      </c>
      <c r="AL150" s="39">
        <f t="shared" si="316"/>
        <v>40025875.865386233</v>
      </c>
      <c r="AM150" s="39">
        <f t="shared" si="316"/>
        <v>0</v>
      </c>
      <c r="AN150" s="39">
        <f t="shared" si="316"/>
        <v>0</v>
      </c>
      <c r="AO150" s="39">
        <f t="shared" si="316"/>
        <v>0</v>
      </c>
      <c r="AP150" s="2"/>
      <c r="AS150" s="39">
        <f t="shared" ref="AS150:AY150" si="317">AS136+AS144</f>
        <v>40025875.865386233</v>
      </c>
      <c r="AT150" s="39">
        <f t="shared" si="317"/>
        <v>28576155.634971958</v>
      </c>
      <c r="AU150" s="39">
        <f t="shared" si="317"/>
        <v>10656916.174763726</v>
      </c>
      <c r="AV150" s="39">
        <f t="shared" si="317"/>
        <v>0</v>
      </c>
      <c r="AW150" s="39">
        <f t="shared" si="317"/>
        <v>290187.59552068159</v>
      </c>
      <c r="AX150" s="39">
        <f t="shared" si="317"/>
        <v>502616.46012986451</v>
      </c>
      <c r="AY150" s="39">
        <f t="shared" si="317"/>
        <v>0</v>
      </c>
      <c r="BA150" s="39">
        <f t="shared" ref="BA150:BG150" si="318">BA136+BA144</f>
        <v>0</v>
      </c>
      <c r="BB150" s="39">
        <f t="shared" si="318"/>
        <v>0</v>
      </c>
      <c r="BC150" s="39">
        <f t="shared" si="318"/>
        <v>0</v>
      </c>
      <c r="BD150" s="39">
        <f t="shared" si="318"/>
        <v>0</v>
      </c>
      <c r="BE150" s="39">
        <f t="shared" si="318"/>
        <v>0</v>
      </c>
      <c r="BF150" s="39">
        <f t="shared" si="318"/>
        <v>0</v>
      </c>
      <c r="BG150" s="39">
        <f t="shared" si="318"/>
        <v>0</v>
      </c>
      <c r="BI150" s="39">
        <f t="shared" ref="BI150:BO150" si="319">BI136+BI144</f>
        <v>0</v>
      </c>
      <c r="BJ150" s="39">
        <f t="shared" si="319"/>
        <v>0</v>
      </c>
      <c r="BK150" s="39">
        <f t="shared" si="319"/>
        <v>0</v>
      </c>
      <c r="BL150" s="39">
        <f t="shared" si="319"/>
        <v>0</v>
      </c>
      <c r="BM150" s="39">
        <f t="shared" si="319"/>
        <v>0</v>
      </c>
      <c r="BN150" s="39">
        <f t="shared" si="319"/>
        <v>0</v>
      </c>
      <c r="BO150" s="39">
        <f t="shared" si="319"/>
        <v>0</v>
      </c>
    </row>
    <row r="151" spans="1:67">
      <c r="A151" s="50">
        <f t="shared" si="294"/>
        <v>151</v>
      </c>
      <c r="D151" s="28" t="s">
        <v>118</v>
      </c>
      <c r="E151" s="39">
        <f>E137+E145</f>
        <v>451535374.70068562</v>
      </c>
      <c r="F151" s="60"/>
      <c r="G151" s="60"/>
      <c r="H151" s="39">
        <f t="shared" si="315"/>
        <v>451535374.70068562</v>
      </c>
      <c r="I151" s="39">
        <f t="shared" si="315"/>
        <v>335794908.84121764</v>
      </c>
      <c r="J151" s="39">
        <f t="shared" si="315"/>
        <v>89172244.672130466</v>
      </c>
      <c r="K151" s="39">
        <f t="shared" si="315"/>
        <v>0</v>
      </c>
      <c r="L151" s="39">
        <f t="shared" si="315"/>
        <v>2198712.1581894225</v>
      </c>
      <c r="M151" s="39">
        <f t="shared" si="315"/>
        <v>24369509.029148076</v>
      </c>
      <c r="N151" s="39">
        <f t="shared" si="315"/>
        <v>0</v>
      </c>
      <c r="O151" s="2"/>
      <c r="P151" s="61"/>
      <c r="Q151" s="61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76">
        <f t="shared" si="257"/>
        <v>0</v>
      </c>
      <c r="AK151" s="39">
        <f t="shared" si="316"/>
        <v>451535374.70068562</v>
      </c>
      <c r="AL151" s="39">
        <f t="shared" si="316"/>
        <v>89669117.106648624</v>
      </c>
      <c r="AM151" s="39">
        <f t="shared" si="316"/>
        <v>144131408.78562987</v>
      </c>
      <c r="AN151" s="39">
        <f t="shared" si="316"/>
        <v>217734848.80840719</v>
      </c>
      <c r="AO151" s="39">
        <f t="shared" si="316"/>
        <v>0</v>
      </c>
      <c r="AP151" s="2"/>
      <c r="AS151" s="39">
        <f t="shared" ref="AS151:AY151" si="320">AS137+AS145</f>
        <v>89669117.106648564</v>
      </c>
      <c r="AT151" s="39">
        <f t="shared" si="320"/>
        <v>51509396.166205898</v>
      </c>
      <c r="AU151" s="39">
        <f t="shared" si="320"/>
        <v>24957082.020227309</v>
      </c>
      <c r="AV151" s="39">
        <f t="shared" si="320"/>
        <v>0</v>
      </c>
      <c r="AW151" s="39">
        <f t="shared" si="320"/>
        <v>1019111.4247748951</v>
      </c>
      <c r="AX151" s="39">
        <f t="shared" si="320"/>
        <v>12183527.495440479</v>
      </c>
      <c r="AY151" s="39">
        <f t="shared" si="320"/>
        <v>0</v>
      </c>
      <c r="BA151" s="39">
        <f t="shared" ref="BA151:BG151" si="321">BA137+BA145</f>
        <v>144131408.78562984</v>
      </c>
      <c r="BB151" s="39">
        <f t="shared" si="321"/>
        <v>81484903.991644442</v>
      </c>
      <c r="BC151" s="39">
        <f t="shared" si="321"/>
        <v>50288553.123062134</v>
      </c>
      <c r="BD151" s="39">
        <f t="shared" si="321"/>
        <v>0</v>
      </c>
      <c r="BE151" s="39">
        <f t="shared" si="321"/>
        <v>1083551.1011824994</v>
      </c>
      <c r="BF151" s="39">
        <f t="shared" si="321"/>
        <v>11274400.569740726</v>
      </c>
      <c r="BG151" s="39">
        <f t="shared" si="321"/>
        <v>0</v>
      </c>
      <c r="BI151" s="39">
        <f t="shared" ref="BI151:BO151" si="322">BI137+BI145</f>
        <v>217734848.8084071</v>
      </c>
      <c r="BJ151" s="39">
        <f t="shared" si="322"/>
        <v>202800608.68336725</v>
      </c>
      <c r="BK151" s="39">
        <f t="shared" si="322"/>
        <v>13926609.528840987</v>
      </c>
      <c r="BL151" s="39">
        <f t="shared" si="322"/>
        <v>0</v>
      </c>
      <c r="BM151" s="39">
        <f t="shared" si="322"/>
        <v>96049.632232027914</v>
      </c>
      <c r="BN151" s="39">
        <f t="shared" si="322"/>
        <v>911580.96396686125</v>
      </c>
      <c r="BO151" s="39">
        <f t="shared" si="322"/>
        <v>0</v>
      </c>
    </row>
    <row r="152" spans="1:67">
      <c r="A152" s="50">
        <f t="shared" si="294"/>
        <v>152</v>
      </c>
      <c r="D152" s="28" t="s">
        <v>466</v>
      </c>
      <c r="E152" s="39">
        <f>E138</f>
        <v>0</v>
      </c>
      <c r="F152" s="60"/>
      <c r="G152" s="60"/>
      <c r="H152" s="39">
        <f t="shared" ref="H152:N152" si="323">H138</f>
        <v>0</v>
      </c>
      <c r="I152" s="39">
        <f t="shared" si="323"/>
        <v>0</v>
      </c>
      <c r="J152" s="39">
        <f t="shared" si="323"/>
        <v>0</v>
      </c>
      <c r="K152" s="39">
        <f t="shared" si="323"/>
        <v>0</v>
      </c>
      <c r="L152" s="39">
        <f t="shared" si="323"/>
        <v>0</v>
      </c>
      <c r="M152" s="39">
        <f t="shared" si="323"/>
        <v>0</v>
      </c>
      <c r="N152" s="39">
        <f t="shared" si="323"/>
        <v>0</v>
      </c>
      <c r="O152" s="2"/>
      <c r="P152" s="61"/>
      <c r="Q152" s="61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76">
        <f t="shared" si="257"/>
        <v>0</v>
      </c>
      <c r="AK152" s="39">
        <f>AK138</f>
        <v>0</v>
      </c>
      <c r="AL152" s="39">
        <f>AL138</f>
        <v>0</v>
      </c>
      <c r="AM152" s="39">
        <f>AM138</f>
        <v>0</v>
      </c>
      <c r="AN152" s="39">
        <f>AN138</f>
        <v>0</v>
      </c>
      <c r="AO152" s="39">
        <f>AO138</f>
        <v>0</v>
      </c>
      <c r="AP152" s="2"/>
      <c r="AS152" s="39">
        <f t="shared" ref="AS152:AY152" si="324">AS138</f>
        <v>0</v>
      </c>
      <c r="AT152" s="39">
        <f t="shared" si="324"/>
        <v>0</v>
      </c>
      <c r="AU152" s="39">
        <f t="shared" si="324"/>
        <v>0</v>
      </c>
      <c r="AV152" s="39">
        <f t="shared" si="324"/>
        <v>0</v>
      </c>
      <c r="AW152" s="39">
        <f t="shared" si="324"/>
        <v>0</v>
      </c>
      <c r="AX152" s="39">
        <f t="shared" si="324"/>
        <v>0</v>
      </c>
      <c r="AY152" s="39">
        <f t="shared" si="324"/>
        <v>0</v>
      </c>
      <c r="BA152" s="39">
        <f t="shared" ref="BA152:BG152" si="325">BA138</f>
        <v>0</v>
      </c>
      <c r="BB152" s="39">
        <f t="shared" si="325"/>
        <v>0</v>
      </c>
      <c r="BC152" s="39">
        <f t="shared" si="325"/>
        <v>0</v>
      </c>
      <c r="BD152" s="39">
        <f t="shared" si="325"/>
        <v>0</v>
      </c>
      <c r="BE152" s="39">
        <f t="shared" si="325"/>
        <v>0</v>
      </c>
      <c r="BF152" s="39">
        <f t="shared" si="325"/>
        <v>0</v>
      </c>
      <c r="BG152" s="39">
        <f t="shared" si="325"/>
        <v>0</v>
      </c>
      <c r="BI152" s="39">
        <f t="shared" ref="BI152:BO152" si="326">BI138</f>
        <v>0</v>
      </c>
      <c r="BJ152" s="39">
        <f t="shared" si="326"/>
        <v>0</v>
      </c>
      <c r="BK152" s="39">
        <f t="shared" si="326"/>
        <v>0</v>
      </c>
      <c r="BL152" s="39">
        <f t="shared" si="326"/>
        <v>0</v>
      </c>
      <c r="BM152" s="39">
        <f t="shared" si="326"/>
        <v>0</v>
      </c>
      <c r="BN152" s="39">
        <f t="shared" si="326"/>
        <v>0</v>
      </c>
      <c r="BO152" s="39">
        <f t="shared" si="326"/>
        <v>0</v>
      </c>
    </row>
    <row r="153" spans="1:67">
      <c r="A153" s="50">
        <f t="shared" si="294"/>
        <v>153</v>
      </c>
      <c r="D153" s="28" t="s">
        <v>147</v>
      </c>
      <c r="E153" s="39">
        <f>E139+E146</f>
        <v>106462749.43392818</v>
      </c>
      <c r="F153" s="60"/>
      <c r="G153" s="60"/>
      <c r="H153" s="39">
        <f t="shared" ref="H153:N153" si="327">H139+H146</f>
        <v>106462749.43392819</v>
      </c>
      <c r="I153" s="39">
        <f t="shared" si="327"/>
        <v>88507820.818817645</v>
      </c>
      <c r="J153" s="39">
        <f t="shared" si="327"/>
        <v>14365204.039213171</v>
      </c>
      <c r="K153" s="39">
        <f t="shared" si="327"/>
        <v>0</v>
      </c>
      <c r="L153" s="39">
        <f t="shared" si="327"/>
        <v>349173.35452790029</v>
      </c>
      <c r="M153" s="39">
        <f t="shared" si="327"/>
        <v>3240551.2213694658</v>
      </c>
      <c r="N153" s="39">
        <f t="shared" si="327"/>
        <v>0</v>
      </c>
      <c r="O153" s="2"/>
      <c r="P153" s="61"/>
      <c r="Q153" s="61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76">
        <f t="shared" si="257"/>
        <v>0</v>
      </c>
      <c r="AK153" s="39">
        <f>AK139+AK146</f>
        <v>106462749.43392818</v>
      </c>
      <c r="AL153" s="39">
        <f>AL139+AL146</f>
        <v>19620117.2361743</v>
      </c>
      <c r="AM153" s="39">
        <f>AM139+AM146</f>
        <v>18312910.121184815</v>
      </c>
      <c r="AN153" s="39">
        <f>AN139+AN146</f>
        <v>68529722.076569095</v>
      </c>
      <c r="AO153" s="39">
        <f>AO139+AO146</f>
        <v>-1.8253137630993006E-10</v>
      </c>
      <c r="AP153" s="2"/>
      <c r="AS153" s="39">
        <f t="shared" ref="AS153:AY153" si="328">AS139+AS146</f>
        <v>19620117.2361743</v>
      </c>
      <c r="AT153" s="39">
        <f t="shared" si="328"/>
        <v>12306649.481057949</v>
      </c>
      <c r="AU153" s="39">
        <f t="shared" si="328"/>
        <v>5438053.8750961218</v>
      </c>
      <c r="AV153" s="39">
        <f t="shared" si="328"/>
        <v>0</v>
      </c>
      <c r="AW153" s="39">
        <f t="shared" si="328"/>
        <v>198203.16821752273</v>
      </c>
      <c r="AX153" s="39">
        <f t="shared" si="328"/>
        <v>1677210.7118027064</v>
      </c>
      <c r="AY153" s="39">
        <f t="shared" si="328"/>
        <v>0</v>
      </c>
      <c r="BA153" s="39">
        <f t="shared" ref="BA153:BG153" si="329">BA139+BA146</f>
        <v>18312910.121184811</v>
      </c>
      <c r="BB153" s="39">
        <f t="shared" si="329"/>
        <v>10353230.677511673</v>
      </c>
      <c r="BC153" s="39">
        <f t="shared" si="329"/>
        <v>6389514.6882022526</v>
      </c>
      <c r="BD153" s="39">
        <f t="shared" si="329"/>
        <v>0</v>
      </c>
      <c r="BE153" s="39">
        <f t="shared" si="329"/>
        <v>137672.79522799139</v>
      </c>
      <c r="BF153" s="39">
        <f t="shared" si="329"/>
        <v>1432491.960242894</v>
      </c>
      <c r="BG153" s="39">
        <f t="shared" si="329"/>
        <v>0</v>
      </c>
      <c r="BI153" s="39">
        <f t="shared" ref="BI153:BO153" si="330">BI139+BI146</f>
        <v>68529722.07656908</v>
      </c>
      <c r="BJ153" s="39">
        <f t="shared" si="330"/>
        <v>65847940.660248026</v>
      </c>
      <c r="BK153" s="39">
        <f t="shared" si="330"/>
        <v>2537635.4759147996</v>
      </c>
      <c r="BL153" s="39">
        <f t="shared" si="330"/>
        <v>0</v>
      </c>
      <c r="BM153" s="39">
        <f t="shared" si="330"/>
        <v>13297.391082386112</v>
      </c>
      <c r="BN153" s="39">
        <f t="shared" si="330"/>
        <v>130848.54932386641</v>
      </c>
      <c r="BO153" s="39">
        <f t="shared" si="330"/>
        <v>0</v>
      </c>
    </row>
    <row r="154" spans="1:67">
      <c r="A154" s="50">
        <f t="shared" si="294"/>
        <v>154</v>
      </c>
      <c r="D154" s="52" t="s">
        <v>470</v>
      </c>
      <c r="E154" s="40">
        <f>SUM(E150:E153)</f>
        <v>598024000</v>
      </c>
      <c r="F154" s="60"/>
      <c r="G154" s="60"/>
      <c r="H154" s="40">
        <f t="shared" ref="H154:N154" si="331">SUM(H150:H153)</f>
        <v>598024000</v>
      </c>
      <c r="I154" s="40">
        <f t="shared" si="331"/>
        <v>452878885.29500723</v>
      </c>
      <c r="J154" s="40">
        <f t="shared" si="331"/>
        <v>114194364.88610736</v>
      </c>
      <c r="K154" s="40">
        <f t="shared" si="331"/>
        <v>0</v>
      </c>
      <c r="L154" s="40">
        <f t="shared" si="331"/>
        <v>2838073.1082380046</v>
      </c>
      <c r="M154" s="40">
        <f t="shared" si="331"/>
        <v>28112676.710647404</v>
      </c>
      <c r="N154" s="40">
        <f t="shared" si="331"/>
        <v>0</v>
      </c>
      <c r="O154" s="2"/>
      <c r="P154" s="61"/>
      <c r="Q154" s="61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76">
        <f t="shared" si="257"/>
        <v>0</v>
      </c>
      <c r="AK154" s="40">
        <f>SUM(AK150:AK153)</f>
        <v>598024000</v>
      </c>
      <c r="AL154" s="40">
        <f>SUM(AL150:AL153)</f>
        <v>149315110.20820916</v>
      </c>
      <c r="AM154" s="40">
        <f>SUM(AM150:AM153)</f>
        <v>162444318.90681469</v>
      </c>
      <c r="AN154" s="40">
        <f>SUM(AN150:AN153)</f>
        <v>286264570.88497627</v>
      </c>
      <c r="AO154" s="40">
        <f>SUM(AO150:AO153)</f>
        <v>-1.8253137630993006E-10</v>
      </c>
      <c r="AP154" s="2"/>
      <c r="AS154" s="40">
        <f t="shared" ref="AS154:AY154" si="332">SUM(AS150:AS153)</f>
        <v>149315110.2082091</v>
      </c>
      <c r="AT154" s="40">
        <f t="shared" si="332"/>
        <v>92392201.282235801</v>
      </c>
      <c r="AU154" s="40">
        <f t="shared" si="332"/>
        <v>41052052.070087157</v>
      </c>
      <c r="AV154" s="40">
        <f t="shared" si="332"/>
        <v>0</v>
      </c>
      <c r="AW154" s="40">
        <f t="shared" si="332"/>
        <v>1507502.1885130994</v>
      </c>
      <c r="AX154" s="40">
        <f t="shared" si="332"/>
        <v>14363354.66737305</v>
      </c>
      <c r="AY154" s="40">
        <f t="shared" si="332"/>
        <v>0</v>
      </c>
      <c r="BA154" s="40">
        <f t="shared" ref="BA154:BG154" si="333">SUM(BA150:BA153)</f>
        <v>162444318.90681463</v>
      </c>
      <c r="BB154" s="40">
        <f t="shared" si="333"/>
        <v>91838134.669156119</v>
      </c>
      <c r="BC154" s="40">
        <f t="shared" si="333"/>
        <v>56678067.811264388</v>
      </c>
      <c r="BD154" s="40">
        <f t="shared" si="333"/>
        <v>0</v>
      </c>
      <c r="BE154" s="40">
        <f t="shared" si="333"/>
        <v>1221223.8964104909</v>
      </c>
      <c r="BF154" s="40">
        <f t="shared" si="333"/>
        <v>12706892.529983619</v>
      </c>
      <c r="BG154" s="40">
        <f t="shared" si="333"/>
        <v>0</v>
      </c>
      <c r="BI154" s="40">
        <f t="shared" ref="BI154:BO154" si="334">SUM(BI150:BI153)</f>
        <v>286264570.88497615</v>
      </c>
      <c r="BJ154" s="40">
        <f t="shared" si="334"/>
        <v>268648549.34361529</v>
      </c>
      <c r="BK154" s="40">
        <f t="shared" si="334"/>
        <v>16464245.004755788</v>
      </c>
      <c r="BL154" s="40">
        <f t="shared" si="334"/>
        <v>0</v>
      </c>
      <c r="BM154" s="40">
        <f t="shared" si="334"/>
        <v>109347.02331441402</v>
      </c>
      <c r="BN154" s="40">
        <f t="shared" si="334"/>
        <v>1042429.5132907276</v>
      </c>
      <c r="BO154" s="40">
        <f t="shared" si="334"/>
        <v>0</v>
      </c>
    </row>
    <row r="155" spans="1:67">
      <c r="A155" s="50">
        <f t="shared" si="294"/>
        <v>155</v>
      </c>
      <c r="D155" s="52"/>
      <c r="E155" s="41"/>
      <c r="F155" s="60"/>
      <c r="G155" s="60"/>
      <c r="H155" s="33">
        <f>H154-$E154</f>
        <v>0</v>
      </c>
      <c r="I155" s="41"/>
      <c r="J155" s="41"/>
      <c r="K155" s="41"/>
      <c r="L155" s="41"/>
      <c r="M155" s="41"/>
      <c r="N155" s="41"/>
      <c r="O155" s="2"/>
      <c r="P155" s="61"/>
      <c r="Q155" s="61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76">
        <f t="shared" si="257"/>
        <v>0</v>
      </c>
      <c r="AK155" s="33">
        <f>AK154-$E154</f>
        <v>0</v>
      </c>
      <c r="AL155" s="41"/>
      <c r="AM155" s="41"/>
      <c r="AN155" s="41"/>
      <c r="AO155" s="41"/>
      <c r="AP155" s="2"/>
      <c r="AS155" s="41"/>
      <c r="AT155" s="41"/>
      <c r="AU155" s="41"/>
      <c r="AV155" s="41"/>
      <c r="AW155" s="41"/>
      <c r="AX155" s="41"/>
      <c r="AY155" s="41"/>
      <c r="BA155" s="41"/>
      <c r="BB155" s="41"/>
      <c r="BC155" s="41"/>
      <c r="BD155" s="41"/>
      <c r="BE155" s="41"/>
      <c r="BF155" s="41"/>
      <c r="BG155" s="41"/>
      <c r="BI155" s="41"/>
      <c r="BJ155" s="41"/>
      <c r="BK155" s="41"/>
      <c r="BL155" s="41"/>
      <c r="BM155" s="41"/>
      <c r="BN155" s="41"/>
      <c r="BO155" s="41"/>
    </row>
    <row r="156" spans="1:67">
      <c r="A156" s="50">
        <f t="shared" si="294"/>
        <v>156</v>
      </c>
      <c r="D156" s="52"/>
      <c r="E156" s="41"/>
      <c r="F156" s="60"/>
      <c r="G156" s="60"/>
      <c r="H156" s="41"/>
      <c r="I156" s="41"/>
      <c r="J156" s="41"/>
      <c r="K156" s="41"/>
      <c r="L156" s="41"/>
      <c r="M156" s="41"/>
      <c r="N156" s="41"/>
      <c r="O156" s="2"/>
      <c r="P156" s="61"/>
      <c r="Q156" s="61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76">
        <f t="shared" si="257"/>
        <v>0</v>
      </c>
      <c r="AK156" s="41"/>
      <c r="AL156" s="41"/>
      <c r="AM156" s="41"/>
      <c r="AN156" s="41"/>
      <c r="AO156" s="41"/>
      <c r="AP156" s="2"/>
      <c r="AS156" s="41"/>
      <c r="AT156" s="41"/>
      <c r="AU156" s="41"/>
      <c r="AV156" s="41"/>
      <c r="AW156" s="41"/>
      <c r="AX156" s="41"/>
      <c r="AY156" s="41"/>
      <c r="BA156" s="41"/>
      <c r="BB156" s="41"/>
      <c r="BC156" s="41"/>
      <c r="BD156" s="41"/>
      <c r="BE156" s="41"/>
      <c r="BF156" s="41"/>
      <c r="BG156" s="41"/>
      <c r="BI156" s="41"/>
      <c r="BJ156" s="41"/>
      <c r="BK156" s="41"/>
      <c r="BL156" s="41"/>
      <c r="BM156" s="41"/>
      <c r="BN156" s="41"/>
      <c r="BO156" s="41"/>
    </row>
    <row r="157" spans="1:67">
      <c r="A157" s="50">
        <f t="shared" si="294"/>
        <v>157</v>
      </c>
      <c r="D157" s="55" t="s">
        <v>210</v>
      </c>
      <c r="E157" s="2"/>
      <c r="F157" s="60"/>
      <c r="G157" s="60"/>
      <c r="P157" s="61"/>
      <c r="Q157" s="61"/>
      <c r="AI157" s="76">
        <f t="shared" si="257"/>
        <v>0</v>
      </c>
      <c r="AQ157" s="61"/>
    </row>
    <row r="158" spans="1:67">
      <c r="A158" s="50">
        <f t="shared" si="294"/>
        <v>158</v>
      </c>
      <c r="C158" s="36" t="s">
        <v>155</v>
      </c>
      <c r="D158" s="28" t="s">
        <v>210</v>
      </c>
      <c r="E158" s="369">
        <f>PROFORMA!AY412*1000</f>
        <v>11648000</v>
      </c>
      <c r="F158" s="60" t="str">
        <f>"as Total Rate Base ("&amp;A$132&amp;")"</f>
        <v>as Total Rate Base (132)</v>
      </c>
      <c r="G158" s="60"/>
      <c r="H158" s="2">
        <f>SUM(I158:N158)</f>
        <v>11648000</v>
      </c>
      <c r="I158" s="2">
        <f>$E158*SUMPRODUCT($R158:$AH158,INDEX(AllocFactors,I$4,0))</f>
        <v>8819070.1583046243</v>
      </c>
      <c r="J158" s="2">
        <f t="shared" ref="J158:N158" si="335">$E158*SUMPRODUCT($R158:$AH158,INDEX(AllocFactors,J$4,0))</f>
        <v>2225942.1369548077</v>
      </c>
      <c r="K158" s="2">
        <f t="shared" si="335"/>
        <v>0</v>
      </c>
      <c r="L158" s="2">
        <f t="shared" si="335"/>
        <v>55325.167192075096</v>
      </c>
      <c r="M158" s="2">
        <f t="shared" si="335"/>
        <v>547662.53754849383</v>
      </c>
      <c r="N158" s="2">
        <f t="shared" si="335"/>
        <v>0</v>
      </c>
      <c r="O158" s="2"/>
      <c r="P158" s="61" t="str">
        <f>E$1&amp;$A158&amp;"* Sum["&amp;$R$1&amp;$A158&amp;":"&amp;$AH$1&amp;$A158&amp;"* "&amp;Factors!D$1&amp;Factors!$A$58&amp;":"&amp;Factors!S$1&amp;Factors!$A$64&amp;"]"</f>
        <v>E158* Sum[R158:AH158* D1042:S1048]</v>
      </c>
      <c r="Q158" s="61"/>
      <c r="R158" s="14">
        <f t="shared" ref="R158:AH158" si="336">R$132</f>
        <v>0.16957640840247246</v>
      </c>
      <c r="S158" s="14">
        <f t="shared" si="336"/>
        <v>2.1608763452641592E-3</v>
      </c>
      <c r="T158" s="14">
        <f t="shared" si="336"/>
        <v>1.0201038691079592E-2</v>
      </c>
      <c r="U158" s="14">
        <f t="shared" si="336"/>
        <v>6.8268489701840351E-2</v>
      </c>
      <c r="V158" s="14">
        <f t="shared" si="336"/>
        <v>0</v>
      </c>
      <c r="W158" s="14">
        <f t="shared" si="336"/>
        <v>0.27165644424333324</v>
      </c>
      <c r="X158" s="14">
        <f t="shared" si="336"/>
        <v>0</v>
      </c>
      <c r="Y158" s="14">
        <f t="shared" si="336"/>
        <v>0</v>
      </c>
      <c r="Z158" s="14">
        <f t="shared" si="336"/>
        <v>0</v>
      </c>
      <c r="AA158" s="14">
        <f t="shared" si="336"/>
        <v>0</v>
      </c>
      <c r="AB158" s="14">
        <f t="shared" si="336"/>
        <v>5.8661350376288536E-2</v>
      </c>
      <c r="AC158" s="14">
        <f t="shared" si="336"/>
        <v>0.27983616699641839</v>
      </c>
      <c r="AD158" s="14">
        <f t="shared" si="336"/>
        <v>0.13081774844647789</v>
      </c>
      <c r="AE158" s="14">
        <f t="shared" si="336"/>
        <v>0</v>
      </c>
      <c r="AF158" s="14">
        <f t="shared" si="336"/>
        <v>2.9793108274421285E-3</v>
      </c>
      <c r="AG158" s="14">
        <f t="shared" si="336"/>
        <v>5.8421659693832281E-3</v>
      </c>
      <c r="AH158" s="14">
        <f t="shared" si="336"/>
        <v>-3.0115989740833586E-19</v>
      </c>
      <c r="AI158" s="76">
        <f t="shared" si="257"/>
        <v>0</v>
      </c>
      <c r="AK158" s="2">
        <f>SUM(AL158:AO158)</f>
        <v>11648000</v>
      </c>
      <c r="AL158" s="2">
        <f>SUMIF($R$4:$AH$4,AL$5,$R158:$AH158)*$E158</f>
        <v>2914408.9594623679</v>
      </c>
      <c r="AM158" s="2">
        <f>SUMIF($R$4:$AH$4,AM$5,$R158:$AH158)*$E158</f>
        <v>3164254.2625463456</v>
      </c>
      <c r="AN158" s="2">
        <f>SUMIF($R$4:$AH$4,AN$5,$R158:$AH158)*$E158</f>
        <v>5569336.7779912865</v>
      </c>
      <c r="AO158" s="2">
        <f>SUMIF($R$4:$AH$4,AO$5,$R158:$AH158)*$E158</f>
        <v>-3.5079104850122959E-12</v>
      </c>
      <c r="AP158" s="2"/>
      <c r="AQ158" s="61" t="str">
        <f>E$1&amp;$A158&amp;"*["&amp;R$1&amp;$A158&amp;":"&amp;$AH$1&amp;$A158&amp;" when "&amp;R$1&amp;$A$4&amp;":"&amp;$AH$1&amp;$A$4&amp;" = E,D,C,or R]"</f>
        <v>E158*[R158:AH158 when R4:AH4 = E,D,C,or R]</v>
      </c>
    </row>
    <row r="159" spans="1:67">
      <c r="A159" s="50">
        <f t="shared" si="294"/>
        <v>159</v>
      </c>
      <c r="D159" s="28"/>
      <c r="E159" s="8"/>
      <c r="F159" s="60"/>
      <c r="G159" s="60"/>
      <c r="H159" s="33">
        <f>H158-E158</f>
        <v>0</v>
      </c>
      <c r="I159" s="2"/>
      <c r="J159" s="2"/>
      <c r="K159" s="2"/>
      <c r="L159" s="2"/>
      <c r="M159" s="2"/>
      <c r="N159" s="2"/>
      <c r="O159" s="2"/>
      <c r="P159" s="61"/>
      <c r="Q159" s="61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76">
        <f t="shared" si="257"/>
        <v>0</v>
      </c>
      <c r="AP159" s="2"/>
    </row>
    <row r="160" spans="1:67">
      <c r="A160" s="50">
        <f t="shared" si="294"/>
        <v>160</v>
      </c>
      <c r="D160" t="s">
        <v>565</v>
      </c>
      <c r="E160" s="371">
        <f>'Demand - Pk-Avg'!H28</f>
        <v>0.38352829517570403</v>
      </c>
      <c r="F160" s="60"/>
      <c r="G160" s="60"/>
      <c r="H160" s="33">
        <f>H147-$E147</f>
        <v>0</v>
      </c>
      <c r="P160" s="61"/>
      <c r="Q160" s="61"/>
      <c r="AI160" s="76">
        <f t="shared" si="257"/>
        <v>0</v>
      </c>
      <c r="AK160" s="33">
        <f>AK147-$E147</f>
        <v>0</v>
      </c>
    </row>
    <row r="161" spans="1:96">
      <c r="A161" s="50">
        <f t="shared" si="294"/>
        <v>161</v>
      </c>
      <c r="D161" t="s">
        <v>566</v>
      </c>
      <c r="E161" s="371">
        <f>'Demand - Pk-Avg'!H27</f>
        <v>0.61647170482429592</v>
      </c>
      <c r="F161" s="60"/>
      <c r="G161" s="60"/>
      <c r="P161" s="61"/>
      <c r="Q161" s="61"/>
      <c r="AI161" s="76"/>
      <c r="AQ161" s="61"/>
    </row>
    <row r="162" spans="1:96">
      <c r="A162" s="50">
        <f t="shared" si="294"/>
        <v>162</v>
      </c>
      <c r="E162" s="2"/>
      <c r="F162" s="60"/>
      <c r="G162" s="60"/>
      <c r="P162" s="61"/>
      <c r="Q162" s="61"/>
      <c r="AI162" s="76"/>
      <c r="AQ162" s="61"/>
    </row>
    <row r="163" spans="1:96">
      <c r="A163" s="50">
        <f t="shared" si="294"/>
        <v>163</v>
      </c>
      <c r="E163" s="2"/>
      <c r="F163" s="60"/>
      <c r="G163" s="60"/>
      <c r="P163" s="61"/>
      <c r="Q163" s="61"/>
      <c r="AI163" s="76"/>
      <c r="AQ163" s="61"/>
    </row>
    <row r="164" spans="1:96">
      <c r="A164" s="50">
        <f t="shared" si="294"/>
        <v>164</v>
      </c>
      <c r="P164" s="61"/>
      <c r="Q164" s="61"/>
      <c r="AI164" s="76"/>
      <c r="AQ164" s="61"/>
    </row>
    <row r="165" spans="1:96">
      <c r="A165" s="50">
        <f t="shared" si="294"/>
        <v>165</v>
      </c>
      <c r="E165" s="2"/>
      <c r="P165" s="61"/>
      <c r="Q165" s="61"/>
      <c r="AI165" s="76"/>
      <c r="AQ165" s="61"/>
    </row>
    <row r="166" spans="1:96">
      <c r="A166" s="50">
        <f t="shared" si="294"/>
        <v>166</v>
      </c>
      <c r="P166" s="61"/>
      <c r="Q166" s="61"/>
      <c r="AI166" s="76"/>
      <c r="AQ166" s="61"/>
    </row>
    <row r="167" spans="1:96">
      <c r="A167" s="50">
        <f t="shared" si="294"/>
        <v>167</v>
      </c>
      <c r="P167" s="61"/>
      <c r="Q167" s="61"/>
      <c r="AI167" s="76"/>
      <c r="AQ167" s="61"/>
    </row>
    <row r="168" spans="1:96">
      <c r="A168" s="50">
        <f t="shared" si="294"/>
        <v>168</v>
      </c>
      <c r="P168" s="61"/>
      <c r="Q168" s="61"/>
      <c r="AI168" s="76"/>
      <c r="AQ168" s="61"/>
    </row>
    <row r="169" spans="1:96">
      <c r="A169" s="50">
        <f t="shared" si="294"/>
        <v>169</v>
      </c>
      <c r="P169" s="61"/>
      <c r="Q169" s="61"/>
      <c r="AI169" s="76"/>
      <c r="AQ169" s="61"/>
    </row>
    <row r="170" spans="1:96">
      <c r="A170" s="50">
        <f t="shared" si="294"/>
        <v>170</v>
      </c>
      <c r="E170" s="36"/>
      <c r="P170" s="61"/>
      <c r="Q170" s="61"/>
      <c r="AI170" s="76"/>
      <c r="AQ170" s="61"/>
      <c r="BQ170" s="1"/>
    </row>
    <row r="171" spans="1:96">
      <c r="A171" s="50">
        <f t="shared" si="294"/>
        <v>171</v>
      </c>
      <c r="P171" s="61"/>
      <c r="Q171" s="61"/>
      <c r="R171" s="1"/>
      <c r="AI171"/>
      <c r="AQ171" s="61"/>
      <c r="AS171" t="s">
        <v>463</v>
      </c>
      <c r="BA171" t="s">
        <v>111</v>
      </c>
      <c r="BI171" t="s">
        <v>121</v>
      </c>
    </row>
    <row r="172" spans="1:96">
      <c r="A172" s="50">
        <f t="shared" si="294"/>
        <v>172</v>
      </c>
      <c r="E172" s="36" t="s">
        <v>3</v>
      </c>
      <c r="P172" s="61"/>
      <c r="Q172" s="61"/>
      <c r="R172" t="s">
        <v>463</v>
      </c>
      <c r="S172" t="s">
        <v>463</v>
      </c>
      <c r="T172" t="s">
        <v>463</v>
      </c>
      <c r="U172" t="s">
        <v>463</v>
      </c>
      <c r="V172" t="s">
        <v>463</v>
      </c>
      <c r="W172" t="s">
        <v>111</v>
      </c>
      <c r="X172" t="s">
        <v>111</v>
      </c>
      <c r="Y172" t="s">
        <v>111</v>
      </c>
      <c r="Z172" t="s">
        <v>111</v>
      </c>
      <c r="AA172" t="s">
        <v>111</v>
      </c>
      <c r="AB172" t="s">
        <v>121</v>
      </c>
      <c r="AC172" t="s">
        <v>121</v>
      </c>
      <c r="AD172" t="s">
        <v>121</v>
      </c>
      <c r="AE172" t="s">
        <v>121</v>
      </c>
      <c r="AF172" t="s">
        <v>121</v>
      </c>
      <c r="AG172" t="s">
        <v>121</v>
      </c>
      <c r="AH172" t="s">
        <v>122</v>
      </c>
      <c r="AI172" s="76"/>
      <c r="AQ172" s="61"/>
      <c r="BR172" s="706" t="s">
        <v>3</v>
      </c>
      <c r="BS172" t="s">
        <v>463</v>
      </c>
      <c r="BT172" t="s">
        <v>463</v>
      </c>
      <c r="BU172" t="s">
        <v>463</v>
      </c>
      <c r="BV172" t="s">
        <v>463</v>
      </c>
      <c r="BW172" t="s">
        <v>463</v>
      </c>
      <c r="BX172" t="s">
        <v>111</v>
      </c>
      <c r="BY172" t="s">
        <v>111</v>
      </c>
      <c r="BZ172" t="s">
        <v>111</v>
      </c>
      <c r="CA172" t="s">
        <v>111</v>
      </c>
      <c r="CB172" t="s">
        <v>111</v>
      </c>
      <c r="CC172" t="s">
        <v>121</v>
      </c>
      <c r="CD172" t="s">
        <v>121</v>
      </c>
      <c r="CE172" t="s">
        <v>121</v>
      </c>
      <c r="CF172" t="s">
        <v>995</v>
      </c>
      <c r="CG172" t="s">
        <v>121</v>
      </c>
      <c r="CH172" t="s">
        <v>121</v>
      </c>
      <c r="CI172" t="s">
        <v>122</v>
      </c>
      <c r="CM172">
        <f>MATCH(CM173,Factors!$C$58:$C$64,0)</f>
        <v>1</v>
      </c>
      <c r="CN172">
        <f>MATCH(CN173,Factors!$C$58:$C$64,0)</f>
        <v>2</v>
      </c>
      <c r="CO172">
        <f>MATCH(CO173,Factors!$C$58:$C$64,0)</f>
        <v>3</v>
      </c>
      <c r="CP172">
        <f>MATCH(CP173,Factors!$C$58:$C$64,0)</f>
        <v>4</v>
      </c>
      <c r="CQ172">
        <f>MATCH(CQ173,Factors!$C$58:$C$64,0)</f>
        <v>5</v>
      </c>
      <c r="CR172">
        <f>MATCH(CR173,Factors!$C$58:$C$64,0)</f>
        <v>6</v>
      </c>
    </row>
    <row r="173" spans="1:96">
      <c r="A173" s="50">
        <f t="shared" si="294"/>
        <v>173</v>
      </c>
      <c r="B173" t="s">
        <v>218</v>
      </c>
      <c r="C173" s="36" t="s">
        <v>152</v>
      </c>
      <c r="D173" t="s">
        <v>4</v>
      </c>
      <c r="E173" s="36" t="s">
        <v>5</v>
      </c>
      <c r="F173" s="60" t="s">
        <v>216</v>
      </c>
      <c r="G173" s="60" t="s">
        <v>123</v>
      </c>
      <c r="H173" s="26" t="s">
        <v>120</v>
      </c>
      <c r="I173" s="26" t="s">
        <v>397</v>
      </c>
      <c r="J173" s="26" t="s">
        <v>398</v>
      </c>
      <c r="K173" s="26" t="s">
        <v>399</v>
      </c>
      <c r="L173" s="26" t="s">
        <v>400</v>
      </c>
      <c r="M173" s="26" t="s">
        <v>401</v>
      </c>
      <c r="N173" s="26" t="s">
        <v>281</v>
      </c>
      <c r="P173" s="64" t="s">
        <v>229</v>
      </c>
      <c r="Q173" s="64"/>
      <c r="R173" t="s">
        <v>352</v>
      </c>
      <c r="S173" t="s">
        <v>405</v>
      </c>
      <c r="T173" s="7" t="s">
        <v>407</v>
      </c>
      <c r="U173" s="7" t="s">
        <v>425</v>
      </c>
      <c r="V173" s="7" t="s">
        <v>430</v>
      </c>
      <c r="W173" t="s">
        <v>409</v>
      </c>
      <c r="X173" t="s">
        <v>408</v>
      </c>
      <c r="Y173" t="s">
        <v>426</v>
      </c>
      <c r="Z173" t="s">
        <v>410</v>
      </c>
      <c r="AA173" t="s">
        <v>411</v>
      </c>
      <c r="AB173" t="s">
        <v>354</v>
      </c>
      <c r="AC173" t="s">
        <v>412</v>
      </c>
      <c r="AD173" t="s">
        <v>413</v>
      </c>
      <c r="AE173" t="s">
        <v>414</v>
      </c>
      <c r="AF173" t="s">
        <v>416</v>
      </c>
      <c r="AG173" t="s">
        <v>423</v>
      </c>
      <c r="AH173" t="s">
        <v>350</v>
      </c>
      <c r="AI173" s="76"/>
      <c r="AK173" s="26" t="s">
        <v>120</v>
      </c>
      <c r="AL173" s="26" t="s">
        <v>464</v>
      </c>
      <c r="AM173" s="26" t="s">
        <v>157</v>
      </c>
      <c r="AN173" s="26" t="s">
        <v>158</v>
      </c>
      <c r="AO173" s="26" t="s">
        <v>159</v>
      </c>
      <c r="AQ173" s="64" t="s">
        <v>229</v>
      </c>
      <c r="AS173" s="26" t="s">
        <v>120</v>
      </c>
      <c r="AT173" s="26" t="s">
        <v>397</v>
      </c>
      <c r="AU173" s="26" t="s">
        <v>398</v>
      </c>
      <c r="AV173" s="26" t="s">
        <v>399</v>
      </c>
      <c r="AW173" s="26" t="s">
        <v>400</v>
      </c>
      <c r="AX173" s="26" t="s">
        <v>401</v>
      </c>
      <c r="AY173" s="26" t="s">
        <v>281</v>
      </c>
      <c r="BA173" s="26" t="s">
        <v>120</v>
      </c>
      <c r="BB173" s="26" t="s">
        <v>397</v>
      </c>
      <c r="BC173" s="26" t="s">
        <v>398</v>
      </c>
      <c r="BD173" s="26" t="s">
        <v>399</v>
      </c>
      <c r="BE173" s="26" t="s">
        <v>400</v>
      </c>
      <c r="BF173" s="26" t="s">
        <v>401</v>
      </c>
      <c r="BG173" s="26" t="s">
        <v>281</v>
      </c>
      <c r="BI173" s="26" t="s">
        <v>120</v>
      </c>
      <c r="BJ173" s="26" t="s">
        <v>397</v>
      </c>
      <c r="BK173" s="26" t="s">
        <v>398</v>
      </c>
      <c r="BL173" s="26" t="s">
        <v>399</v>
      </c>
      <c r="BM173" s="26" t="s">
        <v>400</v>
      </c>
      <c r="BN173" s="26" t="s">
        <v>401</v>
      </c>
      <c r="BO173" s="26" t="s">
        <v>281</v>
      </c>
      <c r="BQ173" t="s">
        <v>4</v>
      </c>
      <c r="BR173" s="706" t="s">
        <v>570</v>
      </c>
      <c r="BS173" t="s">
        <v>352</v>
      </c>
      <c r="BT173" t="s">
        <v>405</v>
      </c>
      <c r="BU173" s="7" t="s">
        <v>407</v>
      </c>
      <c r="BV173" s="7" t="s">
        <v>425</v>
      </c>
      <c r="BW173" s="7" t="s">
        <v>430</v>
      </c>
      <c r="BX173" t="s">
        <v>409</v>
      </c>
      <c r="BY173" t="s">
        <v>408</v>
      </c>
      <c r="BZ173" t="s">
        <v>426</v>
      </c>
      <c r="CA173" t="s">
        <v>410</v>
      </c>
      <c r="CB173" t="s">
        <v>411</v>
      </c>
      <c r="CC173" t="s">
        <v>354</v>
      </c>
      <c r="CD173" t="s">
        <v>412</v>
      </c>
      <c r="CE173" t="s">
        <v>413</v>
      </c>
      <c r="CF173" t="s">
        <v>996</v>
      </c>
      <c r="CG173" t="s">
        <v>416</v>
      </c>
      <c r="CH173" t="s">
        <v>423</v>
      </c>
      <c r="CI173" t="s">
        <v>350</v>
      </c>
      <c r="CK173" s="64" t="s">
        <v>229</v>
      </c>
      <c r="CM173" s="26" t="s">
        <v>397</v>
      </c>
      <c r="CN173" s="26" t="s">
        <v>398</v>
      </c>
      <c r="CO173" s="26" t="s">
        <v>399</v>
      </c>
      <c r="CP173" s="26" t="s">
        <v>400</v>
      </c>
      <c r="CQ173" s="26" t="s">
        <v>401</v>
      </c>
      <c r="CR173" s="26" t="s">
        <v>281</v>
      </c>
    </row>
    <row r="174" spans="1:96">
      <c r="A174" s="50">
        <f t="shared" si="294"/>
        <v>174</v>
      </c>
      <c r="C174" s="34"/>
      <c r="E174" s="10"/>
      <c r="P174" s="61"/>
      <c r="Q174" s="61"/>
      <c r="R174" s="25" t="s">
        <v>396</v>
      </c>
      <c r="S174" s="25" t="s">
        <v>404</v>
      </c>
      <c r="T174" s="25" t="s">
        <v>406</v>
      </c>
      <c r="U174" s="25" t="s">
        <v>424</v>
      </c>
      <c r="V174" s="25" t="s">
        <v>429</v>
      </c>
      <c r="W174" s="25" t="s">
        <v>125</v>
      </c>
      <c r="X174" s="25" t="s">
        <v>112</v>
      </c>
      <c r="Y174" s="25" t="s">
        <v>427</v>
      </c>
      <c r="Z174" s="25" t="s">
        <v>126</v>
      </c>
      <c r="AA174" s="25" t="s">
        <v>127</v>
      </c>
      <c r="AB174" s="25" t="s">
        <v>114</v>
      </c>
      <c r="AC174" s="25" t="s">
        <v>128</v>
      </c>
      <c r="AD174" s="25" t="s">
        <v>129</v>
      </c>
      <c r="AE174" s="25" t="s">
        <v>130</v>
      </c>
      <c r="AF174" s="25" t="s">
        <v>131</v>
      </c>
      <c r="AG174" s="25" t="s">
        <v>422</v>
      </c>
      <c r="AH174" s="25" t="s">
        <v>113</v>
      </c>
      <c r="AI174" s="76"/>
      <c r="AQ174" s="61"/>
      <c r="BS174" s="25" t="s">
        <v>396</v>
      </c>
      <c r="BT174" s="25" t="s">
        <v>404</v>
      </c>
      <c r="BU174" s="25" t="s">
        <v>406</v>
      </c>
      <c r="BV174" s="25" t="s">
        <v>424</v>
      </c>
      <c r="BW174" s="25" t="s">
        <v>429</v>
      </c>
      <c r="BX174" s="25" t="s">
        <v>125</v>
      </c>
      <c r="BY174" s="25" t="s">
        <v>112</v>
      </c>
      <c r="BZ174" s="25" t="s">
        <v>427</v>
      </c>
      <c r="CA174" s="25" t="s">
        <v>126</v>
      </c>
      <c r="CB174" s="25" t="s">
        <v>127</v>
      </c>
      <c r="CC174" s="25" t="s">
        <v>114</v>
      </c>
      <c r="CD174" s="25" t="s">
        <v>128</v>
      </c>
      <c r="CE174" s="25" t="s">
        <v>129</v>
      </c>
      <c r="CF174" s="25" t="s">
        <v>130</v>
      </c>
      <c r="CG174" s="25" t="s">
        <v>131</v>
      </c>
      <c r="CH174" s="25" t="s">
        <v>422</v>
      </c>
      <c r="CI174" s="25" t="s">
        <v>113</v>
      </c>
      <c r="CJ174" s="25"/>
      <c r="CK174" s="25"/>
    </row>
    <row r="175" spans="1:96">
      <c r="A175" s="50">
        <f t="shared" si="294"/>
        <v>175</v>
      </c>
      <c r="C175" s="34"/>
      <c r="D175" s="1" t="s">
        <v>0</v>
      </c>
      <c r="E175" s="10"/>
      <c r="P175" s="61"/>
      <c r="Q175" s="61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76"/>
      <c r="AQ175" s="61"/>
      <c r="BQ175" s="1" t="s">
        <v>0</v>
      </c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</row>
    <row r="176" spans="1:96">
      <c r="A176" s="50">
        <f t="shared" si="294"/>
        <v>176</v>
      </c>
      <c r="D176" t="s">
        <v>282</v>
      </c>
      <c r="P176" s="61"/>
      <c r="Q176" s="61"/>
      <c r="T176" s="7"/>
      <c r="U176" s="7"/>
      <c r="V176" s="7"/>
      <c r="AI176" s="76">
        <f t="shared" ref="AI176:AI207" si="337">IF(SUM(R176:AH176)&lt;&gt;0,(ROUND(SUM(R176:AH176),8)&lt;&gt;1)+0,0)</f>
        <v>0</v>
      </c>
      <c r="AQ176" s="61"/>
      <c r="BQ176" t="s">
        <v>282</v>
      </c>
    </row>
    <row r="177" spans="1:96">
      <c r="A177" s="50">
        <f t="shared" si="294"/>
        <v>177</v>
      </c>
      <c r="B177" s="51">
        <v>804</v>
      </c>
      <c r="C177" s="36" t="s">
        <v>153</v>
      </c>
      <c r="D177" s="28" t="s">
        <v>284</v>
      </c>
      <c r="E177" s="373">
        <f>PROFORMA!AY29+PROFORMA!AY28*1000</f>
        <v>0</v>
      </c>
      <c r="F177" s="60" t="s">
        <v>568</v>
      </c>
      <c r="G177" s="60"/>
      <c r="H177" s="2">
        <f>SUM(I177:N177)</f>
        <v>0</v>
      </c>
      <c r="I177" s="2">
        <f>$E177*SUMPRODUCT($R177:$AH177,INDEX(AllocFactors,I$4,0))</f>
        <v>0</v>
      </c>
      <c r="J177" s="2">
        <f>$E177*SUMPRODUCT($R177:$AH177,INDEX(AllocFactors,J$4,0))</f>
        <v>0</v>
      </c>
      <c r="K177" s="2">
        <f t="shared" ref="I177:N179" si="338">$E177*SUMPRODUCT($R177:$AH177,INDEX(AllocFactors,K$4,0))</f>
        <v>0</v>
      </c>
      <c r="L177" s="2">
        <f t="shared" si="338"/>
        <v>0</v>
      </c>
      <c r="M177" s="2">
        <f>$E177*SUMPRODUCT($R177:$AH177,INDEX(AllocFactors,M$4,0))</f>
        <v>0</v>
      </c>
      <c r="N177" s="2">
        <f t="shared" si="338"/>
        <v>0</v>
      </c>
      <c r="O177" s="2"/>
      <c r="P177" s="61" t="str">
        <f>E$1&amp;$A177&amp;"* Sum["&amp;$R$1&amp;$A177&amp;":"&amp;$AH$1&amp;$A177&amp;"* "&amp;Factors!D$1&amp;Factors!$A$58&amp;":"&amp;Factors!S$1&amp;Factors!$A$64&amp;"]"</f>
        <v>E177* Sum[R177:AH177* D1042:S1048]</v>
      </c>
      <c r="Q177" s="61"/>
      <c r="R177" s="12">
        <v>0</v>
      </c>
      <c r="S177" s="12"/>
      <c r="T177" s="12">
        <v>0</v>
      </c>
      <c r="U177" s="371">
        <f>ROUND((Factors!D7/(Factors!D7+Factors!D11)),4)</f>
        <v>1</v>
      </c>
      <c r="V177" s="79">
        <v>0</v>
      </c>
      <c r="W177" s="79">
        <v>0</v>
      </c>
      <c r="X177" s="79">
        <v>0</v>
      </c>
      <c r="Y177" s="371">
        <f>ROUND((Factors!D11/(Factors!D7+Factors!D11)),4)</f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116">
        <f t="shared" si="337"/>
        <v>0</v>
      </c>
      <c r="AK177" s="2">
        <f>SUM(AL177:AO177)</f>
        <v>0</v>
      </c>
      <c r="AL177" s="2">
        <f t="shared" ref="AL177:AO179" si="339">SUMIF($R$4:$AH$4,AL$5,$R177:$AH177)*$E177</f>
        <v>0</v>
      </c>
      <c r="AM177" s="2">
        <f t="shared" si="339"/>
        <v>0</v>
      </c>
      <c r="AN177" s="2">
        <f t="shared" si="339"/>
        <v>0</v>
      </c>
      <c r="AO177" s="2">
        <f t="shared" si="339"/>
        <v>0</v>
      </c>
      <c r="AP177" s="2"/>
      <c r="AQ177" s="61" t="str">
        <f>E$1&amp;$A177&amp;"*["&amp;R$1&amp;$A177&amp;":"&amp;$AH$1&amp;$A177&amp;" when "&amp;R$1&amp;$A$4&amp;":"&amp;$AH$1&amp;$A$4&amp;" = E,D,C,or R]"</f>
        <v>E177*[R177:AH177 when R4:AH4 = E,D,C,or R]</v>
      </c>
      <c r="AS177" s="2">
        <f>SUM(AT177:AY177)</f>
        <v>0</v>
      </c>
      <c r="AT177" s="2">
        <f>$E177*SUMPRODUCT($R177:$V177,INDEX(AllocFactors_E,AT$4,0))</f>
        <v>0</v>
      </c>
      <c r="AU177" s="2">
        <f t="shared" ref="AT177:AY179" si="340">$E177*SUMPRODUCT($R177:$V177,INDEX(AllocFactors_E,AU$4,0))</f>
        <v>0</v>
      </c>
      <c r="AV177" s="2">
        <f t="shared" si="340"/>
        <v>0</v>
      </c>
      <c r="AW177" s="2">
        <f t="shared" si="340"/>
        <v>0</v>
      </c>
      <c r="AX177" s="2">
        <f t="shared" si="340"/>
        <v>0</v>
      </c>
      <c r="AY177" s="2">
        <f t="shared" si="340"/>
        <v>0</v>
      </c>
      <c r="BA177" s="2">
        <f>SUM(BB177:BG177)</f>
        <v>0</v>
      </c>
      <c r="BB177" s="2">
        <f t="shared" ref="BB177:BG179" si="341">$E177*SUMPRODUCT($W177:$AA177,INDEX(AllocFactors_D,BB$4,0))</f>
        <v>0</v>
      </c>
      <c r="BC177" s="2">
        <f t="shared" si="341"/>
        <v>0</v>
      </c>
      <c r="BD177" s="2">
        <f t="shared" si="341"/>
        <v>0</v>
      </c>
      <c r="BE177" s="2">
        <f t="shared" si="341"/>
        <v>0</v>
      </c>
      <c r="BF177" s="2">
        <f t="shared" si="341"/>
        <v>0</v>
      </c>
      <c r="BG177" s="2">
        <f t="shared" si="341"/>
        <v>0</v>
      </c>
      <c r="BI177" s="2">
        <f>SUM(BJ177:BO177)</f>
        <v>0</v>
      </c>
      <c r="BJ177" s="2">
        <f t="shared" ref="BJ177:BO179" si="342">$E177*SUMPRODUCT($AB177:$AG177,INDEX(AllocFactors_C,BJ$4,0))</f>
        <v>0</v>
      </c>
      <c r="BK177" s="2">
        <f t="shared" si="342"/>
        <v>0</v>
      </c>
      <c r="BL177" s="2">
        <f t="shared" si="342"/>
        <v>0</v>
      </c>
      <c r="BM177" s="2">
        <f t="shared" si="342"/>
        <v>0</v>
      </c>
      <c r="BN177" s="2">
        <f t="shared" si="342"/>
        <v>0</v>
      </c>
      <c r="BO177" s="2">
        <f t="shared" si="342"/>
        <v>0</v>
      </c>
      <c r="BQ177" s="28" t="s">
        <v>284</v>
      </c>
      <c r="BR177" s="23">
        <v>0</v>
      </c>
      <c r="BS177" s="14">
        <f t="shared" ref="BS177:BU179" si="343">R177</f>
        <v>0</v>
      </c>
      <c r="BT177" s="14">
        <f t="shared" si="343"/>
        <v>0</v>
      </c>
      <c r="BU177" s="14">
        <f t="shared" si="343"/>
        <v>0</v>
      </c>
      <c r="BV177" s="14">
        <f>U177</f>
        <v>1</v>
      </c>
      <c r="BW177" s="14">
        <f t="shared" ref="BV177:CF179" si="344">V177</f>
        <v>0</v>
      </c>
      <c r="BX177" s="14">
        <f t="shared" si="344"/>
        <v>0</v>
      </c>
      <c r="BY177" s="14">
        <f t="shared" si="344"/>
        <v>0</v>
      </c>
      <c r="BZ177" s="14">
        <f t="shared" si="344"/>
        <v>0</v>
      </c>
      <c r="CA177" s="14">
        <f t="shared" si="344"/>
        <v>0</v>
      </c>
      <c r="CB177" s="14">
        <f t="shared" si="344"/>
        <v>0</v>
      </c>
      <c r="CC177" s="14">
        <f t="shared" si="344"/>
        <v>0</v>
      </c>
      <c r="CD177" s="14">
        <f t="shared" si="344"/>
        <v>0</v>
      </c>
      <c r="CE177" s="14">
        <f t="shared" si="344"/>
        <v>0</v>
      </c>
      <c r="CF177" s="14">
        <f t="shared" si="344"/>
        <v>0</v>
      </c>
      <c r="CG177" s="14">
        <f t="shared" ref="CG177:CI179" si="345">AF177</f>
        <v>0</v>
      </c>
      <c r="CH177" s="14">
        <f t="shared" si="345"/>
        <v>0</v>
      </c>
      <c r="CI177" s="14">
        <f t="shared" si="345"/>
        <v>0</v>
      </c>
      <c r="CJ177" s="14"/>
      <c r="CK177" s="112" t="str">
        <f>F177</f>
        <v>Input - from PF Gas Costs</v>
      </c>
      <c r="CL177" s="76">
        <f t="shared" ref="CL177:CL208" si="346">IF(SUM(BS177:CI177)&lt;&gt;0,(ROUND(SUM(BS177:CI177),4)&lt;&gt;1)+0,0)</f>
        <v>0</v>
      </c>
      <c r="CM177" s="2">
        <f t="shared" ref="CM177:CR179" si="347">$BR177*SUMPRODUCT($BS177:$CI177,INDEX(AllocFactors,CM$172,0))</f>
        <v>0</v>
      </c>
      <c r="CN177" s="2">
        <f>$BR177*SUMPRODUCT($BS177:$CI177,INDEX(AllocFactors,CN$172,0))</f>
        <v>0</v>
      </c>
      <c r="CO177" s="2">
        <f t="shared" si="347"/>
        <v>0</v>
      </c>
      <c r="CP177" s="2">
        <f t="shared" si="347"/>
        <v>0</v>
      </c>
      <c r="CQ177" s="2">
        <f t="shared" si="347"/>
        <v>0</v>
      </c>
      <c r="CR177" s="2">
        <f t="shared" si="347"/>
        <v>0</v>
      </c>
    </row>
    <row r="178" spans="1:96">
      <c r="A178" s="50">
        <f t="shared" si="294"/>
        <v>178</v>
      </c>
      <c r="B178" s="51" t="s">
        <v>604</v>
      </c>
      <c r="C178" s="36" t="s">
        <v>153</v>
      </c>
      <c r="D178" s="28" t="s">
        <v>605</v>
      </c>
      <c r="E178" s="373">
        <f>PROFORMA!AY30</f>
        <v>89000</v>
      </c>
      <c r="F178" s="60" t="s">
        <v>443</v>
      </c>
      <c r="G178" s="60"/>
      <c r="H178" s="2">
        <f>SUM(I178:N178)</f>
        <v>89000</v>
      </c>
      <c r="I178" s="2">
        <f t="shared" si="338"/>
        <v>63411.883076658691</v>
      </c>
      <c r="J178" s="2">
        <f t="shared" si="338"/>
        <v>24840.694651168422</v>
      </c>
      <c r="K178" s="2">
        <f t="shared" si="338"/>
        <v>0</v>
      </c>
      <c r="L178" s="2">
        <f t="shared" si="338"/>
        <v>747.4222721728878</v>
      </c>
      <c r="M178" s="2">
        <f t="shared" si="338"/>
        <v>0</v>
      </c>
      <c r="N178" s="2">
        <f t="shared" si="338"/>
        <v>0</v>
      </c>
      <c r="O178" s="2"/>
      <c r="P178" s="61" t="str">
        <f>E$1&amp;$A178&amp;"*     """</f>
        <v>E178*     "</v>
      </c>
      <c r="Q178" s="61"/>
      <c r="R178" s="12">
        <v>0</v>
      </c>
      <c r="S178" s="12">
        <v>0</v>
      </c>
      <c r="T178" s="12">
        <v>0</v>
      </c>
      <c r="U178" s="12"/>
      <c r="V178" s="79">
        <v>1</v>
      </c>
      <c r="W178" s="12">
        <v>0</v>
      </c>
      <c r="X178" s="12">
        <v>0</v>
      </c>
      <c r="Y178" s="12"/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76">
        <f t="shared" si="337"/>
        <v>0</v>
      </c>
      <c r="AK178" s="2">
        <f>SUM(AL178:AO178)</f>
        <v>89000</v>
      </c>
      <c r="AL178" s="2">
        <f t="shared" si="339"/>
        <v>89000</v>
      </c>
      <c r="AM178" s="2">
        <f t="shared" si="339"/>
        <v>0</v>
      </c>
      <c r="AN178" s="2">
        <f t="shared" si="339"/>
        <v>0</v>
      </c>
      <c r="AO178" s="2">
        <f t="shared" si="339"/>
        <v>0</v>
      </c>
      <c r="AP178" s="2"/>
      <c r="AQ178" s="61" t="str">
        <f>E$1&amp;$A178&amp;"*      """</f>
        <v>E178*      "</v>
      </c>
      <c r="AS178" s="2">
        <f>SUM(AT178:AY178)</f>
        <v>89000</v>
      </c>
      <c r="AT178" s="2">
        <f t="shared" si="340"/>
        <v>63411.883076658691</v>
      </c>
      <c r="AU178" s="2">
        <f t="shared" si="340"/>
        <v>24840.694651168422</v>
      </c>
      <c r="AV178" s="2">
        <f t="shared" si="340"/>
        <v>0</v>
      </c>
      <c r="AW178" s="2">
        <f t="shared" si="340"/>
        <v>747.4222721728878</v>
      </c>
      <c r="AX178" s="2">
        <f t="shared" si="340"/>
        <v>0</v>
      </c>
      <c r="AY178" s="2">
        <f t="shared" si="340"/>
        <v>0</v>
      </c>
      <c r="BA178" s="2">
        <f>SUM(BB178:BG178)</f>
        <v>0</v>
      </c>
      <c r="BB178" s="2">
        <f t="shared" si="341"/>
        <v>0</v>
      </c>
      <c r="BC178" s="2">
        <f t="shared" si="341"/>
        <v>0</v>
      </c>
      <c r="BD178" s="2">
        <f t="shared" si="341"/>
        <v>0</v>
      </c>
      <c r="BE178" s="2">
        <f t="shared" si="341"/>
        <v>0</v>
      </c>
      <c r="BF178" s="2">
        <f t="shared" si="341"/>
        <v>0</v>
      </c>
      <c r="BG178" s="2">
        <f t="shared" si="341"/>
        <v>0</v>
      </c>
      <c r="BI178" s="2">
        <f>SUM(BJ178:BO178)</f>
        <v>0</v>
      </c>
      <c r="BJ178" s="2">
        <f t="shared" si="342"/>
        <v>0</v>
      </c>
      <c r="BK178" s="2">
        <f t="shared" si="342"/>
        <v>0</v>
      </c>
      <c r="BL178" s="2">
        <f t="shared" si="342"/>
        <v>0</v>
      </c>
      <c r="BM178" s="2">
        <f t="shared" si="342"/>
        <v>0</v>
      </c>
      <c r="BN178" s="2">
        <f t="shared" si="342"/>
        <v>0</v>
      </c>
      <c r="BO178" s="2">
        <f t="shared" si="342"/>
        <v>0</v>
      </c>
      <c r="BQ178" s="28" t="s">
        <v>283</v>
      </c>
      <c r="BR178" s="23">
        <v>0</v>
      </c>
      <c r="BS178" s="14">
        <f t="shared" si="343"/>
        <v>0</v>
      </c>
      <c r="BT178" s="14">
        <f t="shared" si="343"/>
        <v>0</v>
      </c>
      <c r="BU178" s="14">
        <f t="shared" si="343"/>
        <v>0</v>
      </c>
      <c r="BV178" s="14">
        <f t="shared" si="344"/>
        <v>0</v>
      </c>
      <c r="BW178" s="14">
        <f t="shared" si="344"/>
        <v>1</v>
      </c>
      <c r="BX178" s="14">
        <f t="shared" si="344"/>
        <v>0</v>
      </c>
      <c r="BY178" s="14">
        <f t="shared" si="344"/>
        <v>0</v>
      </c>
      <c r="BZ178" s="14">
        <f t="shared" si="344"/>
        <v>0</v>
      </c>
      <c r="CA178" s="14">
        <f t="shared" si="344"/>
        <v>0</v>
      </c>
      <c r="CB178" s="14">
        <f t="shared" si="344"/>
        <v>0</v>
      </c>
      <c r="CC178" s="14">
        <f t="shared" si="344"/>
        <v>0</v>
      </c>
      <c r="CD178" s="14">
        <f t="shared" si="344"/>
        <v>0</v>
      </c>
      <c r="CE178" s="14">
        <f t="shared" si="344"/>
        <v>0</v>
      </c>
      <c r="CF178" s="14">
        <f t="shared" si="344"/>
        <v>0</v>
      </c>
      <c r="CG178" s="14">
        <f t="shared" si="345"/>
        <v>0</v>
      </c>
      <c r="CH178" s="14">
        <f t="shared" si="345"/>
        <v>0</v>
      </c>
      <c r="CI178" s="14">
        <f t="shared" si="345"/>
        <v>0</v>
      </c>
      <c r="CJ178" s="14"/>
      <c r="CK178" s="112" t="str">
        <f>F178</f>
        <v>Input - 100% GTI</v>
      </c>
      <c r="CL178" s="76">
        <f t="shared" si="346"/>
        <v>0</v>
      </c>
      <c r="CM178" s="2">
        <f t="shared" si="347"/>
        <v>0</v>
      </c>
      <c r="CN178" s="2">
        <f t="shared" si="347"/>
        <v>0</v>
      </c>
      <c r="CO178" s="2">
        <f t="shared" si="347"/>
        <v>0</v>
      </c>
      <c r="CP178" s="2">
        <f t="shared" si="347"/>
        <v>0</v>
      </c>
      <c r="CQ178" s="2">
        <f t="shared" si="347"/>
        <v>0</v>
      </c>
      <c r="CR178" s="2">
        <f t="shared" si="347"/>
        <v>0</v>
      </c>
    </row>
    <row r="179" spans="1:96">
      <c r="A179" s="50">
        <f t="shared" si="294"/>
        <v>179</v>
      </c>
      <c r="B179" s="51">
        <v>813</v>
      </c>
      <c r="C179" s="36" t="s">
        <v>153</v>
      </c>
      <c r="D179" s="28" t="s">
        <v>285</v>
      </c>
      <c r="E179" s="373">
        <f>PROFORMA!AY31</f>
        <v>865000</v>
      </c>
      <c r="F179" s="60" t="s">
        <v>567</v>
      </c>
      <c r="G179" s="60"/>
      <c r="H179" s="2">
        <f>SUM(I179:N179)</f>
        <v>865000</v>
      </c>
      <c r="I179" s="2">
        <f t="shared" si="338"/>
        <v>558720.55302313401</v>
      </c>
      <c r="J179" s="2">
        <f t="shared" si="338"/>
        <v>270708.563990767</v>
      </c>
      <c r="K179" s="2">
        <f t="shared" si="338"/>
        <v>0</v>
      </c>
      <c r="L179" s="2">
        <f t="shared" si="338"/>
        <v>11054.264682217188</v>
      </c>
      <c r="M179" s="2">
        <f t="shared" si="338"/>
        <v>24516.618303881845</v>
      </c>
      <c r="N179" s="2">
        <f t="shared" si="338"/>
        <v>0</v>
      </c>
      <c r="O179" s="2"/>
      <c r="P179" s="61" t="str">
        <f>E$1&amp;$A179&amp;"*     """</f>
        <v>E179*     "</v>
      </c>
      <c r="Q179" s="61"/>
      <c r="R179" s="371">
        <f>'Acct 813'!E28</f>
        <v>0.20860000000000001</v>
      </c>
      <c r="S179" s="371">
        <f>'Acct 813'!E29</f>
        <v>0.79139999999999999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76">
        <f t="shared" si="337"/>
        <v>0</v>
      </c>
      <c r="AK179" s="2">
        <f>SUM(AL179:AO179)</f>
        <v>865000</v>
      </c>
      <c r="AL179" s="2">
        <f t="shared" si="339"/>
        <v>865000</v>
      </c>
      <c r="AM179" s="2">
        <f t="shared" si="339"/>
        <v>0</v>
      </c>
      <c r="AN179" s="2">
        <f t="shared" si="339"/>
        <v>0</v>
      </c>
      <c r="AO179" s="2">
        <f t="shared" si="339"/>
        <v>0</v>
      </c>
      <c r="AP179" s="2"/>
      <c r="AQ179" s="61" t="str">
        <f>E$1&amp;$A179&amp;"*      """</f>
        <v>E179*      "</v>
      </c>
      <c r="AS179" s="2">
        <f>SUM(AT179:AY179)</f>
        <v>865000</v>
      </c>
      <c r="AT179" s="2">
        <f t="shared" si="340"/>
        <v>558720.55302313401</v>
      </c>
      <c r="AU179" s="2">
        <f t="shared" si="340"/>
        <v>270708.563990767</v>
      </c>
      <c r="AV179" s="2">
        <f t="shared" si="340"/>
        <v>0</v>
      </c>
      <c r="AW179" s="2">
        <f t="shared" si="340"/>
        <v>11054.264682217188</v>
      </c>
      <c r="AX179" s="2">
        <f t="shared" si="340"/>
        <v>24516.618303881845</v>
      </c>
      <c r="AY179" s="2">
        <f t="shared" si="340"/>
        <v>0</v>
      </c>
      <c r="BA179" s="2">
        <f>SUM(BB179:BG179)</f>
        <v>0</v>
      </c>
      <c r="BB179" s="2">
        <f t="shared" si="341"/>
        <v>0</v>
      </c>
      <c r="BC179" s="2">
        <f t="shared" si="341"/>
        <v>0</v>
      </c>
      <c r="BD179" s="2">
        <f t="shared" si="341"/>
        <v>0</v>
      </c>
      <c r="BE179" s="2">
        <f t="shared" si="341"/>
        <v>0</v>
      </c>
      <c r="BF179" s="2">
        <f t="shared" si="341"/>
        <v>0</v>
      </c>
      <c r="BG179" s="2">
        <f t="shared" si="341"/>
        <v>0</v>
      </c>
      <c r="BI179" s="2">
        <f>SUM(BJ179:BO179)</f>
        <v>0</v>
      </c>
      <c r="BJ179" s="2">
        <f t="shared" si="342"/>
        <v>0</v>
      </c>
      <c r="BK179" s="2">
        <f t="shared" si="342"/>
        <v>0</v>
      </c>
      <c r="BL179" s="2">
        <f t="shared" si="342"/>
        <v>0</v>
      </c>
      <c r="BM179" s="2">
        <f t="shared" si="342"/>
        <v>0</v>
      </c>
      <c r="BN179" s="2">
        <f t="shared" si="342"/>
        <v>0</v>
      </c>
      <c r="BO179" s="2">
        <f t="shared" si="342"/>
        <v>0</v>
      </c>
      <c r="BQ179" s="28" t="s">
        <v>285</v>
      </c>
      <c r="BR179" s="23">
        <v>626118</v>
      </c>
      <c r="BS179" s="14">
        <f t="shared" si="343"/>
        <v>0.20860000000000001</v>
      </c>
      <c r="BT179" s="14">
        <f t="shared" si="343"/>
        <v>0.79139999999999999</v>
      </c>
      <c r="BU179" s="14">
        <f t="shared" si="343"/>
        <v>0</v>
      </c>
      <c r="BV179" s="14">
        <f t="shared" si="344"/>
        <v>0</v>
      </c>
      <c r="BW179" s="14">
        <f t="shared" si="344"/>
        <v>0</v>
      </c>
      <c r="BX179" s="14">
        <f t="shared" si="344"/>
        <v>0</v>
      </c>
      <c r="BY179" s="14">
        <f t="shared" si="344"/>
        <v>0</v>
      </c>
      <c r="BZ179" s="14">
        <f t="shared" si="344"/>
        <v>0</v>
      </c>
      <c r="CA179" s="14">
        <f t="shared" si="344"/>
        <v>0</v>
      </c>
      <c r="CB179" s="14">
        <f t="shared" si="344"/>
        <v>0</v>
      </c>
      <c r="CC179" s="14">
        <f t="shared" si="344"/>
        <v>0</v>
      </c>
      <c r="CD179" s="14">
        <f t="shared" si="344"/>
        <v>0</v>
      </c>
      <c r="CE179" s="14">
        <f t="shared" si="344"/>
        <v>0</v>
      </c>
      <c r="CF179" s="14">
        <f t="shared" si="344"/>
        <v>0</v>
      </c>
      <c r="CG179" s="14">
        <f t="shared" si="345"/>
        <v>0</v>
      </c>
      <c r="CH179" s="14">
        <f t="shared" si="345"/>
        <v>0</v>
      </c>
      <c r="CI179" s="14">
        <f t="shared" si="345"/>
        <v>0</v>
      </c>
      <c r="CJ179" s="14"/>
      <c r="CK179" s="112" t="str">
        <f>F179</f>
        <v>Input - purch vs. sched analysis</v>
      </c>
      <c r="CL179" s="76">
        <f t="shared" si="346"/>
        <v>0</v>
      </c>
      <c r="CM179" s="2">
        <f t="shared" si="347"/>
        <v>404421.95978929318</v>
      </c>
      <c r="CN179" s="2">
        <f t="shared" si="347"/>
        <v>195948.56031071799</v>
      </c>
      <c r="CO179" s="2">
        <f t="shared" si="347"/>
        <v>0</v>
      </c>
      <c r="CP179" s="2">
        <f t="shared" si="347"/>
        <v>8001.4729413878167</v>
      </c>
      <c r="CQ179" s="2">
        <f t="shared" si="347"/>
        <v>17746.006958601032</v>
      </c>
      <c r="CR179" s="2">
        <f t="shared" si="347"/>
        <v>0</v>
      </c>
    </row>
    <row r="180" spans="1:96">
      <c r="A180" s="50">
        <f t="shared" si="294"/>
        <v>180</v>
      </c>
      <c r="B180" s="51"/>
      <c r="D180" s="52" t="s">
        <v>286</v>
      </c>
      <c r="E180" s="4">
        <f>SUM(E176:E179)</f>
        <v>954000</v>
      </c>
      <c r="F180" s="60"/>
      <c r="G180" s="60"/>
      <c r="H180" s="4">
        <f>IF(ROUND(SUM(H177:H179),3)&lt;&gt;ROUND(SUM(I180:N180),3),#VALUE!,SUM(H177:H179))</f>
        <v>954000</v>
      </c>
      <c r="I180" s="4">
        <f t="shared" ref="I180:N180" si="348">SUM(I177:I179)</f>
        <v>622132.43609979271</v>
      </c>
      <c r="J180" s="4">
        <f t="shared" si="348"/>
        <v>295549.25864193542</v>
      </c>
      <c r="K180" s="4">
        <f t="shared" si="348"/>
        <v>0</v>
      </c>
      <c r="L180" s="4">
        <f t="shared" si="348"/>
        <v>11801.686954390076</v>
      </c>
      <c r="M180" s="4">
        <f t="shared" si="348"/>
        <v>24516.618303881845</v>
      </c>
      <c r="N180" s="4">
        <f t="shared" si="348"/>
        <v>0</v>
      </c>
      <c r="O180" s="5"/>
      <c r="P180" s="61" t="str">
        <f>A177&amp;":"&amp;A179</f>
        <v>177:179</v>
      </c>
      <c r="Q180" s="61"/>
      <c r="R180" s="13">
        <f>SUMPRODUCT($E177:$E179,R$177:R$179)/$E180</f>
        <v>0.18913941299790357</v>
      </c>
      <c r="S180" s="13">
        <f t="shared" ref="S180:AH180" si="349">SUMPRODUCT($E177:$E179,S$177:S$179)/$E180</f>
        <v>0.71756918238993705</v>
      </c>
      <c r="T180" s="13">
        <f t="shared" si="349"/>
        <v>0</v>
      </c>
      <c r="U180" s="13">
        <f>SUMPRODUCT($E177:$E179,U$177:U$179)/$E180</f>
        <v>0</v>
      </c>
      <c r="V180" s="13">
        <f t="shared" si="349"/>
        <v>9.3291404612159332E-2</v>
      </c>
      <c r="W180" s="13">
        <f t="shared" si="349"/>
        <v>0</v>
      </c>
      <c r="X180" s="13">
        <f t="shared" si="349"/>
        <v>0</v>
      </c>
      <c r="Y180" s="13">
        <f t="shared" si="349"/>
        <v>0</v>
      </c>
      <c r="Z180" s="13">
        <f t="shared" si="349"/>
        <v>0</v>
      </c>
      <c r="AA180" s="13">
        <f t="shared" si="349"/>
        <v>0</v>
      </c>
      <c r="AB180" s="13">
        <f t="shared" si="349"/>
        <v>0</v>
      </c>
      <c r="AC180" s="13">
        <f t="shared" si="349"/>
        <v>0</v>
      </c>
      <c r="AD180" s="13">
        <f t="shared" si="349"/>
        <v>0</v>
      </c>
      <c r="AE180" s="13">
        <f t="shared" si="349"/>
        <v>0</v>
      </c>
      <c r="AF180" s="13">
        <f t="shared" si="349"/>
        <v>0</v>
      </c>
      <c r="AG180" s="13">
        <f t="shared" si="349"/>
        <v>0</v>
      </c>
      <c r="AH180" s="13">
        <f t="shared" si="349"/>
        <v>0</v>
      </c>
      <c r="AI180" s="76">
        <f t="shared" si="337"/>
        <v>0</v>
      </c>
      <c r="AK180" s="4">
        <f>IF(ROUND(SUM(AK177:AK179),3)&lt;&gt;ROUND(SUM(AL180:AO180),3),#VALUE!,SUM(AK177:AK179))</f>
        <v>954000</v>
      </c>
      <c r="AL180" s="4">
        <f>SUM(AL177:AL179)</f>
        <v>954000</v>
      </c>
      <c r="AM180" s="4">
        <f>SUM(AM177:AM179)</f>
        <v>0</v>
      </c>
      <c r="AN180" s="4">
        <f>SUM(AN177:AN179)</f>
        <v>0</v>
      </c>
      <c r="AO180" s="4">
        <f>SUM(AO177:AO179)</f>
        <v>0</v>
      </c>
      <c r="AP180" s="5"/>
      <c r="AQ180" s="61" t="str">
        <f>$A177&amp;":"&amp;$A179</f>
        <v>177:179</v>
      </c>
      <c r="AS180" s="4">
        <f>IF(ROUND(SUM(AS177:AS179),3)&lt;&gt;ROUND(SUM(AT180:AY180),3),#VALUE!,SUM(AS177:AS179))</f>
        <v>954000</v>
      </c>
      <c r="AT180" s="4">
        <f t="shared" ref="AT180:AY180" si="350">SUM(AT177:AT179)</f>
        <v>622132.43609979271</v>
      </c>
      <c r="AU180" s="4">
        <f t="shared" si="350"/>
        <v>295549.25864193542</v>
      </c>
      <c r="AV180" s="4">
        <f t="shared" si="350"/>
        <v>0</v>
      </c>
      <c r="AW180" s="4">
        <f t="shared" si="350"/>
        <v>11801.686954390076</v>
      </c>
      <c r="AX180" s="4">
        <f t="shared" si="350"/>
        <v>24516.618303881845</v>
      </c>
      <c r="AY180" s="4">
        <f t="shared" si="350"/>
        <v>0</v>
      </c>
      <c r="BA180" s="4">
        <f>IF(ROUND(SUM(BA177:BA179),3)&lt;&gt;ROUND(SUM(BB180:BG180),3),#VALUE!,SUM(BA177:BA179))</f>
        <v>0</v>
      </c>
      <c r="BB180" s="4">
        <f t="shared" ref="BB180:BG180" si="351">SUM(BB177:BB179)</f>
        <v>0</v>
      </c>
      <c r="BC180" s="4">
        <f t="shared" si="351"/>
        <v>0</v>
      </c>
      <c r="BD180" s="4">
        <f t="shared" si="351"/>
        <v>0</v>
      </c>
      <c r="BE180" s="4">
        <f t="shared" si="351"/>
        <v>0</v>
      </c>
      <c r="BF180" s="4">
        <f t="shared" si="351"/>
        <v>0</v>
      </c>
      <c r="BG180" s="4">
        <f t="shared" si="351"/>
        <v>0</v>
      </c>
      <c r="BI180" s="4">
        <f>IF(ROUND(SUM(BI177:BI179),3)&lt;&gt;ROUND(SUM(BJ180:BO180),3),#VALUE!,SUM(BI177:BI179))</f>
        <v>0</v>
      </c>
      <c r="BJ180" s="4">
        <f t="shared" ref="BJ180:BO180" si="352">SUM(BJ177:BJ179)</f>
        <v>0</v>
      </c>
      <c r="BK180" s="4">
        <f t="shared" si="352"/>
        <v>0</v>
      </c>
      <c r="BL180" s="4">
        <f t="shared" si="352"/>
        <v>0</v>
      </c>
      <c r="BM180" s="4">
        <f t="shared" si="352"/>
        <v>0</v>
      </c>
      <c r="BN180" s="4">
        <f t="shared" si="352"/>
        <v>0</v>
      </c>
      <c r="BO180" s="4">
        <f t="shared" si="352"/>
        <v>0</v>
      </c>
      <c r="BQ180" s="52" t="s">
        <v>286</v>
      </c>
      <c r="BR180" s="48">
        <f>IF(ROUND(SUM(BR177:BR179),3)&lt;&gt;ROUND(SUM(CM180:CR180),3),#VALUE!,SUM(BR177:BR179))</f>
        <v>626118</v>
      </c>
      <c r="BS180" s="13">
        <f>SUMPRODUCT($BR$177:$BR$179,BS$177:BS$179)/$BR$180</f>
        <v>0.20860000000000001</v>
      </c>
      <c r="BT180" s="13">
        <f t="shared" ref="BT180:CI180" si="353">SUMPRODUCT($BR$177:$BR$179,BT$177:BT$179)/$BR$180</f>
        <v>0.79139999999999999</v>
      </c>
      <c r="BU180" s="13">
        <f t="shared" si="353"/>
        <v>0</v>
      </c>
      <c r="BV180" s="13">
        <f t="shared" si="353"/>
        <v>0</v>
      </c>
      <c r="BW180" s="13">
        <f t="shared" si="353"/>
        <v>0</v>
      </c>
      <c r="BX180" s="13">
        <f t="shared" si="353"/>
        <v>0</v>
      </c>
      <c r="BY180" s="13">
        <f t="shared" si="353"/>
        <v>0</v>
      </c>
      <c r="BZ180" s="13">
        <f t="shared" si="353"/>
        <v>0</v>
      </c>
      <c r="CA180" s="13">
        <f t="shared" si="353"/>
        <v>0</v>
      </c>
      <c r="CB180" s="13">
        <f t="shared" si="353"/>
        <v>0</v>
      </c>
      <c r="CC180" s="13">
        <f t="shared" si="353"/>
        <v>0</v>
      </c>
      <c r="CD180" s="13">
        <f t="shared" si="353"/>
        <v>0</v>
      </c>
      <c r="CE180" s="13">
        <f t="shared" si="353"/>
        <v>0</v>
      </c>
      <c r="CF180" s="13">
        <f t="shared" si="353"/>
        <v>0</v>
      </c>
      <c r="CG180" s="13">
        <f t="shared" si="353"/>
        <v>0</v>
      </c>
      <c r="CH180" s="13">
        <f t="shared" si="353"/>
        <v>0</v>
      </c>
      <c r="CI180" s="13">
        <f t="shared" si="353"/>
        <v>0</v>
      </c>
      <c r="CJ180" s="111"/>
      <c r="CK180" s="111"/>
      <c r="CL180" s="76">
        <f t="shared" si="346"/>
        <v>0</v>
      </c>
      <c r="CM180" s="4">
        <f t="shared" ref="CM180:CR180" si="354">SUM(CM177:CM179)</f>
        <v>404421.95978929318</v>
      </c>
      <c r="CN180" s="4">
        <f t="shared" si="354"/>
        <v>195948.56031071799</v>
      </c>
      <c r="CO180" s="4">
        <f t="shared" si="354"/>
        <v>0</v>
      </c>
      <c r="CP180" s="4">
        <f t="shared" si="354"/>
        <v>8001.4729413878167</v>
      </c>
      <c r="CQ180" s="4">
        <f t="shared" si="354"/>
        <v>17746.006958601032</v>
      </c>
      <c r="CR180" s="4">
        <f t="shared" si="354"/>
        <v>0</v>
      </c>
    </row>
    <row r="181" spans="1:96">
      <c r="A181" s="50">
        <f t="shared" si="294"/>
        <v>181</v>
      </c>
      <c r="D181" s="83"/>
      <c r="E181" s="23"/>
      <c r="F181" s="60"/>
      <c r="G181" s="60"/>
      <c r="H181" s="2"/>
      <c r="I181" s="2"/>
      <c r="J181" s="2"/>
      <c r="K181" s="2"/>
      <c r="L181" s="2"/>
      <c r="M181" s="2"/>
      <c r="N181" s="2"/>
      <c r="O181" s="2"/>
      <c r="P181" s="61"/>
      <c r="Q181" s="61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76">
        <f t="shared" si="337"/>
        <v>0</v>
      </c>
      <c r="AK181" s="2"/>
      <c r="AL181" s="2"/>
      <c r="AM181" s="2"/>
      <c r="AN181" s="2"/>
      <c r="AO181" s="2"/>
      <c r="AP181" s="2"/>
      <c r="AQ181" s="61"/>
      <c r="AS181" s="2"/>
      <c r="AT181" s="2"/>
      <c r="AU181" s="2"/>
      <c r="AV181" s="2"/>
      <c r="AW181" s="2"/>
      <c r="AX181" s="2"/>
      <c r="AY181" s="2"/>
      <c r="BA181" s="2"/>
      <c r="BB181" s="2"/>
      <c r="BC181" s="2"/>
      <c r="BD181" s="2"/>
      <c r="BE181" s="2"/>
      <c r="BF181" s="2"/>
      <c r="BG181" s="2"/>
      <c r="BI181" s="2"/>
      <c r="BJ181" s="2"/>
      <c r="BK181" s="2"/>
      <c r="BL181" s="2"/>
      <c r="BM181" s="2"/>
      <c r="BN181" s="2"/>
      <c r="BO181" s="2"/>
      <c r="BQ181" s="83"/>
      <c r="BR181" s="21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76">
        <f t="shared" si="346"/>
        <v>0</v>
      </c>
      <c r="CM181" s="2"/>
      <c r="CN181" s="2"/>
      <c r="CO181" s="2"/>
      <c r="CP181" s="2"/>
      <c r="CQ181" s="2"/>
      <c r="CR181" s="2"/>
    </row>
    <row r="182" spans="1:96">
      <c r="A182" s="50">
        <f t="shared" si="294"/>
        <v>182</v>
      </c>
      <c r="D182" t="s">
        <v>287</v>
      </c>
      <c r="E182" s="2"/>
      <c r="F182" s="60"/>
      <c r="G182" s="60"/>
      <c r="P182" s="61"/>
      <c r="Q182" s="61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76">
        <f t="shared" si="337"/>
        <v>0</v>
      </c>
      <c r="AQ182" s="61"/>
      <c r="BQ182" t="s">
        <v>287</v>
      </c>
      <c r="CL182" s="76">
        <f t="shared" si="346"/>
        <v>0</v>
      </c>
    </row>
    <row r="183" spans="1:96">
      <c r="A183" s="50">
        <f t="shared" si="294"/>
        <v>183</v>
      </c>
      <c r="B183" t="s">
        <v>298</v>
      </c>
      <c r="C183" s="36" t="s">
        <v>394</v>
      </c>
      <c r="D183" s="28" t="s">
        <v>1</v>
      </c>
      <c r="E183" s="373">
        <f>PROFORMA!AY35</f>
        <v>0</v>
      </c>
      <c r="F183" s="60" t="str">
        <f>"as UG Storage Plant ("&amp;A$24&amp;")"</f>
        <v>as UG Storage Plant (24)</v>
      </c>
      <c r="G183" s="60"/>
      <c r="H183" s="2">
        <f t="shared" ref="H183:H193" si="355">SUM(I183:N183)</f>
        <v>0</v>
      </c>
      <c r="I183" s="2">
        <f t="shared" ref="I183:N193" si="356">$E183*SUMPRODUCT($R183:$AH183,INDEX(AllocFactors,I$4,0))</f>
        <v>0</v>
      </c>
      <c r="J183" s="2">
        <f t="shared" si="356"/>
        <v>0</v>
      </c>
      <c r="K183" s="2">
        <f t="shared" si="356"/>
        <v>0</v>
      </c>
      <c r="L183" s="2">
        <f t="shared" si="356"/>
        <v>0</v>
      </c>
      <c r="M183" s="2">
        <f t="shared" si="356"/>
        <v>0</v>
      </c>
      <c r="N183" s="2">
        <f t="shared" si="356"/>
        <v>0</v>
      </c>
      <c r="O183" s="2"/>
      <c r="P183" s="61" t="str">
        <f>E$1&amp;$A183&amp;"* Sum["&amp;$R$1&amp;$A183&amp;":"&amp;$AH$1&amp;$A183&amp;"* "&amp;Factors!D$1&amp;Factors!$A$58&amp;":"&amp;Factors!S$1&amp;Factors!$A$64&amp;"]"</f>
        <v>E183* Sum[R183:AH183* D1042:S1048]</v>
      </c>
      <c r="Q183" s="61"/>
      <c r="R183" s="14">
        <f t="shared" ref="R183:R193" si="357">R$24</f>
        <v>0</v>
      </c>
      <c r="S183" s="14">
        <f t="shared" ref="S183:AH198" si="358">S$24</f>
        <v>0</v>
      </c>
      <c r="T183" s="14">
        <f t="shared" si="358"/>
        <v>0.13</v>
      </c>
      <c r="U183" s="14">
        <f t="shared" si="358"/>
        <v>0.87</v>
      </c>
      <c r="V183" s="14">
        <f t="shared" si="358"/>
        <v>0</v>
      </c>
      <c r="W183" s="14">
        <f t="shared" si="358"/>
        <v>0</v>
      </c>
      <c r="X183" s="14">
        <f t="shared" si="358"/>
        <v>0</v>
      </c>
      <c r="Y183" s="14">
        <f t="shared" si="358"/>
        <v>0</v>
      </c>
      <c r="Z183" s="14">
        <f t="shared" si="358"/>
        <v>0</v>
      </c>
      <c r="AA183" s="14">
        <f t="shared" si="358"/>
        <v>0</v>
      </c>
      <c r="AB183" s="14">
        <f t="shared" si="358"/>
        <v>0</v>
      </c>
      <c r="AC183" s="14">
        <f t="shared" si="358"/>
        <v>0</v>
      </c>
      <c r="AD183" s="14">
        <f t="shared" si="358"/>
        <v>0</v>
      </c>
      <c r="AE183" s="14">
        <f t="shared" si="358"/>
        <v>0</v>
      </c>
      <c r="AF183" s="14">
        <f t="shared" si="358"/>
        <v>0</v>
      </c>
      <c r="AG183" s="14">
        <f t="shared" si="358"/>
        <v>0</v>
      </c>
      <c r="AH183" s="14">
        <f t="shared" si="358"/>
        <v>0</v>
      </c>
      <c r="AI183" s="76">
        <f t="shared" si="337"/>
        <v>0</v>
      </c>
      <c r="AK183" s="2">
        <f>SUM(AL183:AO183)</f>
        <v>0</v>
      </c>
      <c r="AL183" s="2">
        <f t="shared" ref="AL183:AO193" si="359">SUMIF($R$4:$AH$4,AL$5,$R183:$AH183)*$E183</f>
        <v>0</v>
      </c>
      <c r="AM183" s="2">
        <f t="shared" si="359"/>
        <v>0</v>
      </c>
      <c r="AN183" s="2">
        <f t="shared" si="359"/>
        <v>0</v>
      </c>
      <c r="AO183" s="2">
        <f t="shared" si="359"/>
        <v>0</v>
      </c>
      <c r="AP183" s="2"/>
      <c r="AQ183" s="61" t="str">
        <f>E$1&amp;$A183&amp;"*["&amp;R$1&amp;$A183&amp;":"&amp;$AH$1&amp;$A183&amp;" when "&amp;R$1&amp;$A$4&amp;":"&amp;$AH$1&amp;$A$4&amp;" = E,D,C,or R]"</f>
        <v>E183*[R183:AH183 when R4:AH4 = E,D,C,or R]</v>
      </c>
      <c r="AS183" s="2">
        <f t="shared" ref="AS183:AS193" si="360">SUM(AT183:AY183)</f>
        <v>0</v>
      </c>
      <c r="AT183" s="2">
        <f t="shared" ref="AT183:AY193" si="361">$E183*SUMPRODUCT($R183:$V183,INDEX(AllocFactors_E,AT$4,0))</f>
        <v>0</v>
      </c>
      <c r="AU183" s="2">
        <f t="shared" si="361"/>
        <v>0</v>
      </c>
      <c r="AV183" s="2">
        <f t="shared" si="361"/>
        <v>0</v>
      </c>
      <c r="AW183" s="2">
        <f t="shared" si="361"/>
        <v>0</v>
      </c>
      <c r="AX183" s="2">
        <f t="shared" si="361"/>
        <v>0</v>
      </c>
      <c r="AY183" s="2">
        <f t="shared" si="361"/>
        <v>0</v>
      </c>
      <c r="BA183" s="2">
        <f>SUM(BB183:BG183)</f>
        <v>0</v>
      </c>
      <c r="BB183" s="2">
        <f t="shared" ref="BB183:BG193" si="362">$E183*SUMPRODUCT($W183:$AA183,INDEX(AllocFactors_D,BB$4,0))</f>
        <v>0</v>
      </c>
      <c r="BC183" s="2">
        <f t="shared" si="362"/>
        <v>0</v>
      </c>
      <c r="BD183" s="2">
        <f t="shared" si="362"/>
        <v>0</v>
      </c>
      <c r="BE183" s="2">
        <f t="shared" si="362"/>
        <v>0</v>
      </c>
      <c r="BF183" s="2">
        <f t="shared" si="362"/>
        <v>0</v>
      </c>
      <c r="BG183" s="2">
        <f t="shared" si="362"/>
        <v>0</v>
      </c>
      <c r="BI183" s="2">
        <f t="shared" ref="BI183:BI193" si="363">SUM(BJ183:BO183)</f>
        <v>0</v>
      </c>
      <c r="BJ183" s="2">
        <f t="shared" ref="BJ183:BO193" si="364">$E183*SUMPRODUCT($AB183:$AG183,INDEX(AllocFactors_C,BJ$4,0))</f>
        <v>0</v>
      </c>
      <c r="BK183" s="2">
        <f t="shared" si="364"/>
        <v>0</v>
      </c>
      <c r="BL183" s="2">
        <f t="shared" si="364"/>
        <v>0</v>
      </c>
      <c r="BM183" s="2">
        <f t="shared" si="364"/>
        <v>0</v>
      </c>
      <c r="BN183" s="2">
        <f t="shared" si="364"/>
        <v>0</v>
      </c>
      <c r="BO183" s="2">
        <f t="shared" si="364"/>
        <v>0</v>
      </c>
      <c r="BQ183" s="28" t="s">
        <v>1</v>
      </c>
      <c r="BR183" s="23">
        <v>0.01</v>
      </c>
      <c r="BS183" s="14">
        <f t="shared" ref="BS183:BS193" si="365">R183</f>
        <v>0</v>
      </c>
      <c r="BT183" s="14">
        <f t="shared" ref="BT183:BT193" si="366">S183</f>
        <v>0</v>
      </c>
      <c r="BU183" s="14">
        <f t="shared" ref="BU183:BU193" si="367">T183</f>
        <v>0.13</v>
      </c>
      <c r="BV183" s="14">
        <f t="shared" ref="BV183:BV193" si="368">U183</f>
        <v>0.87</v>
      </c>
      <c r="BW183" s="14">
        <f t="shared" ref="BW183:BW193" si="369">V183</f>
        <v>0</v>
      </c>
      <c r="BX183" s="14">
        <f t="shared" ref="BX183:BX193" si="370">W183</f>
        <v>0</v>
      </c>
      <c r="BY183" s="14">
        <f t="shared" ref="BY183:BY193" si="371">X183</f>
        <v>0</v>
      </c>
      <c r="BZ183" s="14">
        <f t="shared" ref="BZ183:BZ193" si="372">Y183</f>
        <v>0</v>
      </c>
      <c r="CA183" s="14">
        <f t="shared" ref="CA183:CA193" si="373">Z183</f>
        <v>0</v>
      </c>
      <c r="CB183" s="14">
        <f t="shared" ref="CB183:CB193" si="374">AA183</f>
        <v>0</v>
      </c>
      <c r="CC183" s="14">
        <f t="shared" ref="CC183:CC193" si="375">AB183</f>
        <v>0</v>
      </c>
      <c r="CD183" s="14">
        <f t="shared" ref="CD183:CD193" si="376">AC183</f>
        <v>0</v>
      </c>
      <c r="CE183" s="14">
        <f t="shared" ref="CE183:CE193" si="377">AD183</f>
        <v>0</v>
      </c>
      <c r="CF183" s="14">
        <f t="shared" ref="CF183:CF193" si="378">AE183</f>
        <v>0</v>
      </c>
      <c r="CG183" s="14">
        <f t="shared" ref="CG183:CG193" si="379">AF183</f>
        <v>0</v>
      </c>
      <c r="CH183" s="14">
        <f t="shared" ref="CH183:CH193" si="380">AG183</f>
        <v>0</v>
      </c>
      <c r="CI183" s="14">
        <f t="shared" ref="CI183:CI193" si="381">AH183</f>
        <v>0</v>
      </c>
      <c r="CJ183" s="14"/>
      <c r="CK183" s="112" t="str">
        <f t="shared" ref="CK183:CK193" si="382">F183</f>
        <v>as UG Storage Plant (24)</v>
      </c>
      <c r="CL183" s="76">
        <f t="shared" si="346"/>
        <v>0</v>
      </c>
      <c r="CM183" s="2">
        <f t="shared" ref="CM183:CR193" si="383">$BR183*SUMPRODUCT($BS183:$CI183,INDEX(AllocFactors,CM$172,0))</f>
        <v>7.1394204416858707E-3</v>
      </c>
      <c r="CN183" s="2">
        <f t="shared" si="383"/>
        <v>2.6625066770817789E-3</v>
      </c>
      <c r="CO183" s="2">
        <f t="shared" si="383"/>
        <v>0</v>
      </c>
      <c r="CP183" s="2">
        <f t="shared" si="383"/>
        <v>7.2499998874885703E-5</v>
      </c>
      <c r="CQ183" s="2">
        <f t="shared" si="383"/>
        <v>1.2557288235746504E-4</v>
      </c>
      <c r="CR183" s="2">
        <f t="shared" si="383"/>
        <v>0</v>
      </c>
    </row>
    <row r="184" spans="1:96">
      <c r="A184" s="50">
        <f t="shared" si="294"/>
        <v>184</v>
      </c>
      <c r="B184" t="s">
        <v>299</v>
      </c>
      <c r="C184" s="36" t="s">
        <v>394</v>
      </c>
      <c r="D184" s="28" t="s">
        <v>289</v>
      </c>
      <c r="E184" s="373">
        <f>PROFORMA!AY36</f>
        <v>0</v>
      </c>
      <c r="F184" s="60" t="str">
        <f t="shared" ref="F184:F202" si="384">"as UG Storage Plant ("&amp;A$24&amp;")"</f>
        <v>as UG Storage Plant (24)</v>
      </c>
      <c r="G184" s="60"/>
      <c r="H184" s="2">
        <f t="shared" si="355"/>
        <v>0</v>
      </c>
      <c r="I184" s="2">
        <f t="shared" si="356"/>
        <v>0</v>
      </c>
      <c r="J184" s="2">
        <f t="shared" si="356"/>
        <v>0</v>
      </c>
      <c r="K184" s="2">
        <f t="shared" si="356"/>
        <v>0</v>
      </c>
      <c r="L184" s="2">
        <f t="shared" si="356"/>
        <v>0</v>
      </c>
      <c r="M184" s="2">
        <f t="shared" si="356"/>
        <v>0</v>
      </c>
      <c r="N184" s="2">
        <f t="shared" si="356"/>
        <v>0</v>
      </c>
      <c r="O184" s="2"/>
      <c r="P184" s="61" t="str">
        <f>E$1&amp;$A184&amp;"*     """</f>
        <v>E184*     "</v>
      </c>
      <c r="Q184" s="61"/>
      <c r="R184" s="14">
        <f t="shared" si="357"/>
        <v>0</v>
      </c>
      <c r="S184" s="14">
        <f t="shared" si="358"/>
        <v>0</v>
      </c>
      <c r="T184" s="14">
        <f t="shared" si="358"/>
        <v>0.13</v>
      </c>
      <c r="U184" s="14">
        <f t="shared" si="358"/>
        <v>0.87</v>
      </c>
      <c r="V184" s="14">
        <f t="shared" si="358"/>
        <v>0</v>
      </c>
      <c r="W184" s="14">
        <f t="shared" si="358"/>
        <v>0</v>
      </c>
      <c r="X184" s="14">
        <f t="shared" si="358"/>
        <v>0</v>
      </c>
      <c r="Y184" s="14">
        <f t="shared" si="358"/>
        <v>0</v>
      </c>
      <c r="Z184" s="14">
        <f t="shared" si="358"/>
        <v>0</v>
      </c>
      <c r="AA184" s="14">
        <f t="shared" si="358"/>
        <v>0</v>
      </c>
      <c r="AB184" s="14">
        <f t="shared" si="358"/>
        <v>0</v>
      </c>
      <c r="AC184" s="14">
        <f t="shared" si="358"/>
        <v>0</v>
      </c>
      <c r="AD184" s="14">
        <f t="shared" si="358"/>
        <v>0</v>
      </c>
      <c r="AE184" s="14">
        <f t="shared" si="358"/>
        <v>0</v>
      </c>
      <c r="AF184" s="14">
        <f t="shared" si="358"/>
        <v>0</v>
      </c>
      <c r="AG184" s="14">
        <f t="shared" si="358"/>
        <v>0</v>
      </c>
      <c r="AH184" s="14">
        <f t="shared" si="358"/>
        <v>0</v>
      </c>
      <c r="AI184" s="76">
        <f t="shared" si="337"/>
        <v>0</v>
      </c>
      <c r="AK184" s="2">
        <f>SUM(AL184:AO184)</f>
        <v>0</v>
      </c>
      <c r="AL184" s="2">
        <f t="shared" si="359"/>
        <v>0</v>
      </c>
      <c r="AM184" s="2">
        <f t="shared" si="359"/>
        <v>0</v>
      </c>
      <c r="AN184" s="2">
        <f t="shared" si="359"/>
        <v>0</v>
      </c>
      <c r="AO184" s="2">
        <f t="shared" si="359"/>
        <v>0</v>
      </c>
      <c r="AP184" s="2"/>
      <c r="AQ184" s="61" t="str">
        <f t="shared" ref="AQ184:AQ193" si="385">E$1&amp;$A184&amp;"*      """</f>
        <v>E184*      "</v>
      </c>
      <c r="AS184" s="2">
        <f t="shared" si="360"/>
        <v>0</v>
      </c>
      <c r="AT184" s="2">
        <f t="shared" si="361"/>
        <v>0</v>
      </c>
      <c r="AU184" s="2">
        <f t="shared" si="361"/>
        <v>0</v>
      </c>
      <c r="AV184" s="2">
        <f t="shared" si="361"/>
        <v>0</v>
      </c>
      <c r="AW184" s="2">
        <f t="shared" si="361"/>
        <v>0</v>
      </c>
      <c r="AX184" s="2">
        <f t="shared" si="361"/>
        <v>0</v>
      </c>
      <c r="AY184" s="2">
        <f t="shared" si="361"/>
        <v>0</v>
      </c>
      <c r="BA184" s="2">
        <f>SUM(BB184:BG184)</f>
        <v>0</v>
      </c>
      <c r="BB184" s="2">
        <f t="shared" si="362"/>
        <v>0</v>
      </c>
      <c r="BC184" s="2">
        <f t="shared" si="362"/>
        <v>0</v>
      </c>
      <c r="BD184" s="2">
        <f t="shared" si="362"/>
        <v>0</v>
      </c>
      <c r="BE184" s="2">
        <f t="shared" si="362"/>
        <v>0</v>
      </c>
      <c r="BF184" s="2">
        <f t="shared" si="362"/>
        <v>0</v>
      </c>
      <c r="BG184" s="2">
        <f t="shared" si="362"/>
        <v>0</v>
      </c>
      <c r="BI184" s="2">
        <f t="shared" si="363"/>
        <v>0</v>
      </c>
      <c r="BJ184" s="2">
        <f t="shared" si="364"/>
        <v>0</v>
      </c>
      <c r="BK184" s="2">
        <f t="shared" si="364"/>
        <v>0</v>
      </c>
      <c r="BL184" s="2">
        <f t="shared" si="364"/>
        <v>0</v>
      </c>
      <c r="BM184" s="2">
        <f t="shared" si="364"/>
        <v>0</v>
      </c>
      <c r="BN184" s="2">
        <f t="shared" si="364"/>
        <v>0</v>
      </c>
      <c r="BO184" s="2">
        <f t="shared" si="364"/>
        <v>0</v>
      </c>
      <c r="BQ184" s="28" t="s">
        <v>289</v>
      </c>
      <c r="BR184" s="23">
        <v>0</v>
      </c>
      <c r="BS184" s="14">
        <f t="shared" si="365"/>
        <v>0</v>
      </c>
      <c r="BT184" s="14">
        <f t="shared" si="366"/>
        <v>0</v>
      </c>
      <c r="BU184" s="14">
        <f t="shared" si="367"/>
        <v>0.13</v>
      </c>
      <c r="BV184" s="14">
        <f t="shared" si="368"/>
        <v>0.87</v>
      </c>
      <c r="BW184" s="14">
        <f t="shared" si="369"/>
        <v>0</v>
      </c>
      <c r="BX184" s="14">
        <f t="shared" si="370"/>
        <v>0</v>
      </c>
      <c r="BY184" s="14">
        <f t="shared" si="371"/>
        <v>0</v>
      </c>
      <c r="BZ184" s="14">
        <f t="shared" si="372"/>
        <v>0</v>
      </c>
      <c r="CA184" s="14">
        <f t="shared" si="373"/>
        <v>0</v>
      </c>
      <c r="CB184" s="14">
        <f t="shared" si="374"/>
        <v>0</v>
      </c>
      <c r="CC184" s="14">
        <f t="shared" si="375"/>
        <v>0</v>
      </c>
      <c r="CD184" s="14">
        <f t="shared" si="376"/>
        <v>0</v>
      </c>
      <c r="CE184" s="14">
        <f t="shared" si="377"/>
        <v>0</v>
      </c>
      <c r="CF184" s="14">
        <f t="shared" si="378"/>
        <v>0</v>
      </c>
      <c r="CG184" s="14">
        <f t="shared" si="379"/>
        <v>0</v>
      </c>
      <c r="CH184" s="14">
        <f t="shared" si="380"/>
        <v>0</v>
      </c>
      <c r="CI184" s="14">
        <f t="shared" si="381"/>
        <v>0</v>
      </c>
      <c r="CJ184" s="14"/>
      <c r="CK184" s="112" t="str">
        <f t="shared" si="382"/>
        <v>as UG Storage Plant (24)</v>
      </c>
      <c r="CL184" s="76">
        <f t="shared" si="346"/>
        <v>0</v>
      </c>
      <c r="CM184" s="2">
        <f t="shared" si="383"/>
        <v>0</v>
      </c>
      <c r="CN184" s="2">
        <f t="shared" si="383"/>
        <v>0</v>
      </c>
      <c r="CO184" s="2">
        <f t="shared" si="383"/>
        <v>0</v>
      </c>
      <c r="CP184" s="2">
        <f t="shared" si="383"/>
        <v>0</v>
      </c>
      <c r="CQ184" s="2">
        <f t="shared" si="383"/>
        <v>0</v>
      </c>
      <c r="CR184" s="2">
        <f t="shared" si="383"/>
        <v>0</v>
      </c>
    </row>
    <row r="185" spans="1:96">
      <c r="A185" s="50">
        <f t="shared" si="294"/>
        <v>185</v>
      </c>
      <c r="B185" t="s">
        <v>300</v>
      </c>
      <c r="C185" s="36" t="s">
        <v>394</v>
      </c>
      <c r="D185" s="28" t="s">
        <v>290</v>
      </c>
      <c r="E185" s="373">
        <f>PROFORMA!AY37</f>
        <v>0</v>
      </c>
      <c r="F185" s="60" t="str">
        <f t="shared" si="384"/>
        <v>as UG Storage Plant (24)</v>
      </c>
      <c r="G185" s="60"/>
      <c r="H185" s="2">
        <f t="shared" si="355"/>
        <v>0</v>
      </c>
      <c r="I185" s="2">
        <f t="shared" si="356"/>
        <v>0</v>
      </c>
      <c r="J185" s="2">
        <f t="shared" si="356"/>
        <v>0</v>
      </c>
      <c r="K185" s="2">
        <f t="shared" si="356"/>
        <v>0</v>
      </c>
      <c r="L185" s="2">
        <f t="shared" si="356"/>
        <v>0</v>
      </c>
      <c r="M185" s="2">
        <f t="shared" si="356"/>
        <v>0</v>
      </c>
      <c r="N185" s="2">
        <f t="shared" si="356"/>
        <v>0</v>
      </c>
      <c r="O185" s="2"/>
      <c r="P185" s="61" t="str">
        <f>E$1&amp;$A185&amp;"*     """</f>
        <v>E185*     "</v>
      </c>
      <c r="Q185" s="61"/>
      <c r="R185" s="14">
        <f t="shared" si="357"/>
        <v>0</v>
      </c>
      <c r="S185" s="14">
        <f t="shared" si="358"/>
        <v>0</v>
      </c>
      <c r="T185" s="14">
        <f t="shared" si="358"/>
        <v>0.13</v>
      </c>
      <c r="U185" s="14">
        <f t="shared" si="358"/>
        <v>0.87</v>
      </c>
      <c r="V185" s="14">
        <f t="shared" si="358"/>
        <v>0</v>
      </c>
      <c r="W185" s="14">
        <f t="shared" si="358"/>
        <v>0</v>
      </c>
      <c r="X185" s="14">
        <f t="shared" si="358"/>
        <v>0</v>
      </c>
      <c r="Y185" s="14">
        <f t="shared" si="358"/>
        <v>0</v>
      </c>
      <c r="Z185" s="14">
        <f t="shared" si="358"/>
        <v>0</v>
      </c>
      <c r="AA185" s="14">
        <f t="shared" si="358"/>
        <v>0</v>
      </c>
      <c r="AB185" s="14">
        <f t="shared" si="358"/>
        <v>0</v>
      </c>
      <c r="AC185" s="14">
        <f t="shared" si="358"/>
        <v>0</v>
      </c>
      <c r="AD185" s="14">
        <f t="shared" si="358"/>
        <v>0</v>
      </c>
      <c r="AE185" s="14">
        <f t="shared" si="358"/>
        <v>0</v>
      </c>
      <c r="AF185" s="14">
        <f t="shared" si="358"/>
        <v>0</v>
      </c>
      <c r="AG185" s="14">
        <f t="shared" si="358"/>
        <v>0</v>
      </c>
      <c r="AH185" s="14">
        <f t="shared" si="358"/>
        <v>0</v>
      </c>
      <c r="AI185" s="76">
        <f t="shared" si="337"/>
        <v>0</v>
      </c>
      <c r="AK185" s="2">
        <f>SUM(AL185:AO185)</f>
        <v>0</v>
      </c>
      <c r="AL185" s="2">
        <f t="shared" si="359"/>
        <v>0</v>
      </c>
      <c r="AM185" s="2">
        <f t="shared" si="359"/>
        <v>0</v>
      </c>
      <c r="AN185" s="2">
        <f t="shared" si="359"/>
        <v>0</v>
      </c>
      <c r="AO185" s="2">
        <f t="shared" si="359"/>
        <v>0</v>
      </c>
      <c r="AP185" s="2"/>
      <c r="AQ185" s="61" t="str">
        <f t="shared" si="385"/>
        <v>E185*      "</v>
      </c>
      <c r="AS185" s="2">
        <f t="shared" si="360"/>
        <v>0</v>
      </c>
      <c r="AT185" s="2">
        <f t="shared" si="361"/>
        <v>0</v>
      </c>
      <c r="AU185" s="2">
        <f t="shared" si="361"/>
        <v>0</v>
      </c>
      <c r="AV185" s="2">
        <f t="shared" si="361"/>
        <v>0</v>
      </c>
      <c r="AW185" s="2">
        <f t="shared" si="361"/>
        <v>0</v>
      </c>
      <c r="AX185" s="2">
        <f t="shared" si="361"/>
        <v>0</v>
      </c>
      <c r="AY185" s="2">
        <f t="shared" si="361"/>
        <v>0</v>
      </c>
      <c r="BA185" s="2">
        <f>SUM(BB185:BG185)</f>
        <v>0</v>
      </c>
      <c r="BB185" s="2">
        <f t="shared" si="362"/>
        <v>0</v>
      </c>
      <c r="BC185" s="2">
        <f t="shared" si="362"/>
        <v>0</v>
      </c>
      <c r="BD185" s="2">
        <f t="shared" si="362"/>
        <v>0</v>
      </c>
      <c r="BE185" s="2">
        <f t="shared" si="362"/>
        <v>0</v>
      </c>
      <c r="BF185" s="2">
        <f t="shared" si="362"/>
        <v>0</v>
      </c>
      <c r="BG185" s="2">
        <f t="shared" si="362"/>
        <v>0</v>
      </c>
      <c r="BI185" s="2">
        <f t="shared" si="363"/>
        <v>0</v>
      </c>
      <c r="BJ185" s="2">
        <f t="shared" si="364"/>
        <v>0</v>
      </c>
      <c r="BK185" s="2">
        <f t="shared" si="364"/>
        <v>0</v>
      </c>
      <c r="BL185" s="2">
        <f t="shared" si="364"/>
        <v>0</v>
      </c>
      <c r="BM185" s="2">
        <f t="shared" si="364"/>
        <v>0</v>
      </c>
      <c r="BN185" s="2">
        <f t="shared" si="364"/>
        <v>0</v>
      </c>
      <c r="BO185" s="2">
        <f t="shared" si="364"/>
        <v>0</v>
      </c>
      <c r="BQ185" s="28" t="s">
        <v>290</v>
      </c>
      <c r="BR185" s="23">
        <v>0</v>
      </c>
      <c r="BS185" s="14">
        <f t="shared" si="365"/>
        <v>0</v>
      </c>
      <c r="BT185" s="14">
        <f t="shared" si="366"/>
        <v>0</v>
      </c>
      <c r="BU185" s="14">
        <f t="shared" si="367"/>
        <v>0.13</v>
      </c>
      <c r="BV185" s="14">
        <f t="shared" si="368"/>
        <v>0.87</v>
      </c>
      <c r="BW185" s="14">
        <f t="shared" si="369"/>
        <v>0</v>
      </c>
      <c r="BX185" s="14">
        <f t="shared" si="370"/>
        <v>0</v>
      </c>
      <c r="BY185" s="14">
        <f t="shared" si="371"/>
        <v>0</v>
      </c>
      <c r="BZ185" s="14">
        <f t="shared" si="372"/>
        <v>0</v>
      </c>
      <c r="CA185" s="14">
        <f t="shared" si="373"/>
        <v>0</v>
      </c>
      <c r="CB185" s="14">
        <f t="shared" si="374"/>
        <v>0</v>
      </c>
      <c r="CC185" s="14">
        <f t="shared" si="375"/>
        <v>0</v>
      </c>
      <c r="CD185" s="14">
        <f t="shared" si="376"/>
        <v>0</v>
      </c>
      <c r="CE185" s="14">
        <f t="shared" si="377"/>
        <v>0</v>
      </c>
      <c r="CF185" s="14">
        <f t="shared" si="378"/>
        <v>0</v>
      </c>
      <c r="CG185" s="14">
        <f t="shared" si="379"/>
        <v>0</v>
      </c>
      <c r="CH185" s="14">
        <f t="shared" si="380"/>
        <v>0</v>
      </c>
      <c r="CI185" s="14">
        <f t="shared" si="381"/>
        <v>0</v>
      </c>
      <c r="CJ185" s="14"/>
      <c r="CK185" s="112" t="str">
        <f t="shared" si="382"/>
        <v>as UG Storage Plant (24)</v>
      </c>
      <c r="CL185" s="76">
        <f t="shared" si="346"/>
        <v>0</v>
      </c>
      <c r="CM185" s="2">
        <f t="shared" si="383"/>
        <v>0</v>
      </c>
      <c r="CN185" s="2">
        <f t="shared" si="383"/>
        <v>0</v>
      </c>
      <c r="CO185" s="2">
        <f t="shared" si="383"/>
        <v>0</v>
      </c>
      <c r="CP185" s="2">
        <f t="shared" si="383"/>
        <v>0</v>
      </c>
      <c r="CQ185" s="2">
        <f t="shared" si="383"/>
        <v>0</v>
      </c>
      <c r="CR185" s="2">
        <f t="shared" si="383"/>
        <v>0</v>
      </c>
    </row>
    <row r="186" spans="1:96">
      <c r="A186" s="50">
        <f t="shared" si="294"/>
        <v>186</v>
      </c>
      <c r="B186" t="s">
        <v>301</v>
      </c>
      <c r="C186" s="36" t="s">
        <v>394</v>
      </c>
      <c r="D186" s="28" t="s">
        <v>291</v>
      </c>
      <c r="E186" s="373">
        <f>PROFORMA!AY38</f>
        <v>0</v>
      </c>
      <c r="F186" s="60" t="str">
        <f t="shared" si="384"/>
        <v>as UG Storage Plant (24)</v>
      </c>
      <c r="G186" s="60"/>
      <c r="H186" s="2">
        <f t="shared" ref="H186:H191" si="386">SUM(I186:N186)</f>
        <v>0</v>
      </c>
      <c r="I186" s="2">
        <f t="shared" si="356"/>
        <v>0</v>
      </c>
      <c r="J186" s="2">
        <f t="shared" si="356"/>
        <v>0</v>
      </c>
      <c r="K186" s="2">
        <f t="shared" si="356"/>
        <v>0</v>
      </c>
      <c r="L186" s="2">
        <f t="shared" si="356"/>
        <v>0</v>
      </c>
      <c r="M186" s="2">
        <f t="shared" si="356"/>
        <v>0</v>
      </c>
      <c r="N186" s="2">
        <f t="shared" si="356"/>
        <v>0</v>
      </c>
      <c r="O186" s="2"/>
      <c r="P186" s="61"/>
      <c r="Q186" s="61"/>
      <c r="R186" s="14">
        <f t="shared" si="357"/>
        <v>0</v>
      </c>
      <c r="S186" s="14">
        <f t="shared" si="358"/>
        <v>0</v>
      </c>
      <c r="T186" s="14">
        <f t="shared" si="358"/>
        <v>0.13</v>
      </c>
      <c r="U186" s="14">
        <f t="shared" si="358"/>
        <v>0.87</v>
      </c>
      <c r="V186" s="14">
        <f t="shared" si="358"/>
        <v>0</v>
      </c>
      <c r="W186" s="14">
        <f t="shared" si="358"/>
        <v>0</v>
      </c>
      <c r="X186" s="14">
        <f t="shared" si="358"/>
        <v>0</v>
      </c>
      <c r="Y186" s="14">
        <f t="shared" si="358"/>
        <v>0</v>
      </c>
      <c r="Z186" s="14">
        <f t="shared" si="358"/>
        <v>0</v>
      </c>
      <c r="AA186" s="14">
        <f t="shared" si="358"/>
        <v>0</v>
      </c>
      <c r="AB186" s="14">
        <f t="shared" si="358"/>
        <v>0</v>
      </c>
      <c r="AC186" s="14">
        <f t="shared" si="358"/>
        <v>0</v>
      </c>
      <c r="AD186" s="14">
        <f t="shared" si="358"/>
        <v>0</v>
      </c>
      <c r="AE186" s="14">
        <f t="shared" si="358"/>
        <v>0</v>
      </c>
      <c r="AF186" s="14">
        <f t="shared" si="358"/>
        <v>0</v>
      </c>
      <c r="AG186" s="14">
        <f t="shared" si="358"/>
        <v>0</v>
      </c>
      <c r="AH186" s="14">
        <f t="shared" si="358"/>
        <v>0</v>
      </c>
      <c r="AI186" s="76">
        <f t="shared" si="337"/>
        <v>0</v>
      </c>
      <c r="AK186" s="2">
        <f t="shared" ref="AK186:AK193" si="387">SUM(AL186:AO186)</f>
        <v>0</v>
      </c>
      <c r="AL186" s="2">
        <f t="shared" si="359"/>
        <v>0</v>
      </c>
      <c r="AM186" s="2">
        <f t="shared" si="359"/>
        <v>0</v>
      </c>
      <c r="AN186" s="2">
        <f t="shared" si="359"/>
        <v>0</v>
      </c>
      <c r="AO186" s="2">
        <f t="shared" si="359"/>
        <v>0</v>
      </c>
      <c r="AP186" s="2"/>
      <c r="AQ186" s="61" t="str">
        <f t="shared" si="385"/>
        <v>E186*      "</v>
      </c>
      <c r="AS186" s="2">
        <f t="shared" si="360"/>
        <v>0</v>
      </c>
      <c r="AT186" s="2">
        <f t="shared" si="361"/>
        <v>0</v>
      </c>
      <c r="AU186" s="2">
        <f t="shared" si="361"/>
        <v>0</v>
      </c>
      <c r="AV186" s="2">
        <f t="shared" si="361"/>
        <v>0</v>
      </c>
      <c r="AW186" s="2">
        <f t="shared" si="361"/>
        <v>0</v>
      </c>
      <c r="AX186" s="2">
        <f t="shared" si="361"/>
        <v>0</v>
      </c>
      <c r="AY186" s="2">
        <f t="shared" si="361"/>
        <v>0</v>
      </c>
      <c r="BA186" s="2">
        <f t="shared" ref="BA186:BA193" si="388">SUM(BB186:BG186)</f>
        <v>0</v>
      </c>
      <c r="BB186" s="2">
        <f t="shared" si="362"/>
        <v>0</v>
      </c>
      <c r="BC186" s="2">
        <f t="shared" si="362"/>
        <v>0</v>
      </c>
      <c r="BD186" s="2">
        <f t="shared" si="362"/>
        <v>0</v>
      </c>
      <c r="BE186" s="2">
        <f t="shared" si="362"/>
        <v>0</v>
      </c>
      <c r="BF186" s="2">
        <f t="shared" si="362"/>
        <v>0</v>
      </c>
      <c r="BG186" s="2">
        <f t="shared" si="362"/>
        <v>0</v>
      </c>
      <c r="BI186" s="2">
        <f t="shared" si="363"/>
        <v>0</v>
      </c>
      <c r="BJ186" s="2">
        <f t="shared" si="364"/>
        <v>0</v>
      </c>
      <c r="BK186" s="2">
        <f t="shared" si="364"/>
        <v>0</v>
      </c>
      <c r="BL186" s="2">
        <f t="shared" si="364"/>
        <v>0</v>
      </c>
      <c r="BM186" s="2">
        <f t="shared" si="364"/>
        <v>0</v>
      </c>
      <c r="BN186" s="2">
        <f t="shared" si="364"/>
        <v>0</v>
      </c>
      <c r="BO186" s="2">
        <f t="shared" si="364"/>
        <v>0</v>
      </c>
      <c r="BQ186" s="28" t="s">
        <v>291</v>
      </c>
      <c r="BR186" s="23">
        <v>0</v>
      </c>
      <c r="BS186" s="14">
        <f t="shared" si="365"/>
        <v>0</v>
      </c>
      <c r="BT186" s="14">
        <f t="shared" si="366"/>
        <v>0</v>
      </c>
      <c r="BU186" s="14">
        <f t="shared" si="367"/>
        <v>0.13</v>
      </c>
      <c r="BV186" s="14">
        <f t="shared" si="368"/>
        <v>0.87</v>
      </c>
      <c r="BW186" s="14">
        <f t="shared" si="369"/>
        <v>0</v>
      </c>
      <c r="BX186" s="14">
        <f t="shared" si="370"/>
        <v>0</v>
      </c>
      <c r="BY186" s="14">
        <f t="shared" si="371"/>
        <v>0</v>
      </c>
      <c r="BZ186" s="14">
        <f t="shared" si="372"/>
        <v>0</v>
      </c>
      <c r="CA186" s="14">
        <f t="shared" si="373"/>
        <v>0</v>
      </c>
      <c r="CB186" s="14">
        <f t="shared" si="374"/>
        <v>0</v>
      </c>
      <c r="CC186" s="14">
        <f t="shared" si="375"/>
        <v>0</v>
      </c>
      <c r="CD186" s="14">
        <f t="shared" si="376"/>
        <v>0</v>
      </c>
      <c r="CE186" s="14">
        <f t="shared" si="377"/>
        <v>0</v>
      </c>
      <c r="CF186" s="14">
        <f t="shared" si="378"/>
        <v>0</v>
      </c>
      <c r="CG186" s="14">
        <f t="shared" si="379"/>
        <v>0</v>
      </c>
      <c r="CH186" s="14">
        <f t="shared" si="380"/>
        <v>0</v>
      </c>
      <c r="CI186" s="14">
        <f t="shared" si="381"/>
        <v>0</v>
      </c>
      <c r="CJ186" s="14"/>
      <c r="CK186" s="112" t="str">
        <f t="shared" si="382"/>
        <v>as UG Storage Plant (24)</v>
      </c>
      <c r="CL186" s="76">
        <f t="shared" si="346"/>
        <v>0</v>
      </c>
      <c r="CM186" s="2">
        <f t="shared" si="383"/>
        <v>0</v>
      </c>
      <c r="CN186" s="2">
        <f t="shared" si="383"/>
        <v>0</v>
      </c>
      <c r="CO186" s="2">
        <f t="shared" si="383"/>
        <v>0</v>
      </c>
      <c r="CP186" s="2">
        <f t="shared" si="383"/>
        <v>0</v>
      </c>
      <c r="CQ186" s="2">
        <f t="shared" si="383"/>
        <v>0</v>
      </c>
      <c r="CR186" s="2">
        <f t="shared" si="383"/>
        <v>0</v>
      </c>
    </row>
    <row r="187" spans="1:96">
      <c r="A187" s="50">
        <f t="shared" si="294"/>
        <v>187</v>
      </c>
      <c r="B187" t="s">
        <v>302</v>
      </c>
      <c r="C187" s="36" t="s">
        <v>394</v>
      </c>
      <c r="D187" s="28" t="s">
        <v>292</v>
      </c>
      <c r="E187" s="373">
        <f>PROFORMA!AY39</f>
        <v>0</v>
      </c>
      <c r="F187" s="60" t="str">
        <f t="shared" si="384"/>
        <v>as UG Storage Plant (24)</v>
      </c>
      <c r="G187" s="60"/>
      <c r="H187" s="2">
        <f t="shared" si="386"/>
        <v>0</v>
      </c>
      <c r="I187" s="2">
        <f t="shared" si="356"/>
        <v>0</v>
      </c>
      <c r="J187" s="2">
        <f t="shared" si="356"/>
        <v>0</v>
      </c>
      <c r="K187" s="2">
        <f t="shared" si="356"/>
        <v>0</v>
      </c>
      <c r="L187" s="2">
        <f t="shared" si="356"/>
        <v>0</v>
      </c>
      <c r="M187" s="2">
        <f t="shared" si="356"/>
        <v>0</v>
      </c>
      <c r="N187" s="2">
        <f t="shared" si="356"/>
        <v>0</v>
      </c>
      <c r="O187" s="2"/>
      <c r="P187" s="61"/>
      <c r="Q187" s="61"/>
      <c r="R187" s="14">
        <f t="shared" si="357"/>
        <v>0</v>
      </c>
      <c r="S187" s="14">
        <f t="shared" si="358"/>
        <v>0</v>
      </c>
      <c r="T187" s="14">
        <f t="shared" si="358"/>
        <v>0.13</v>
      </c>
      <c r="U187" s="14">
        <f t="shared" si="358"/>
        <v>0.87</v>
      </c>
      <c r="V187" s="14">
        <f t="shared" si="358"/>
        <v>0</v>
      </c>
      <c r="W187" s="14">
        <f t="shared" si="358"/>
        <v>0</v>
      </c>
      <c r="X187" s="14">
        <f t="shared" si="358"/>
        <v>0</v>
      </c>
      <c r="Y187" s="14">
        <f t="shared" si="358"/>
        <v>0</v>
      </c>
      <c r="Z187" s="14">
        <f t="shared" si="358"/>
        <v>0</v>
      </c>
      <c r="AA187" s="14">
        <f t="shared" si="358"/>
        <v>0</v>
      </c>
      <c r="AB187" s="14">
        <f t="shared" si="358"/>
        <v>0</v>
      </c>
      <c r="AC187" s="14">
        <f t="shared" si="358"/>
        <v>0</v>
      </c>
      <c r="AD187" s="14">
        <f t="shared" si="358"/>
        <v>0</v>
      </c>
      <c r="AE187" s="14">
        <f t="shared" si="358"/>
        <v>0</v>
      </c>
      <c r="AF187" s="14">
        <f t="shared" si="358"/>
        <v>0</v>
      </c>
      <c r="AG187" s="14">
        <f t="shared" si="358"/>
        <v>0</v>
      </c>
      <c r="AH187" s="14">
        <f t="shared" si="358"/>
        <v>0</v>
      </c>
      <c r="AI187" s="76">
        <f t="shared" si="337"/>
        <v>0</v>
      </c>
      <c r="AK187" s="2">
        <f t="shared" si="387"/>
        <v>0</v>
      </c>
      <c r="AL187" s="2">
        <f t="shared" si="359"/>
        <v>0</v>
      </c>
      <c r="AM187" s="2">
        <f t="shared" si="359"/>
        <v>0</v>
      </c>
      <c r="AN187" s="2">
        <f t="shared" si="359"/>
        <v>0</v>
      </c>
      <c r="AO187" s="2">
        <f t="shared" si="359"/>
        <v>0</v>
      </c>
      <c r="AP187" s="2"/>
      <c r="AQ187" s="61" t="str">
        <f t="shared" si="385"/>
        <v>E187*      "</v>
      </c>
      <c r="AS187" s="2">
        <f t="shared" si="360"/>
        <v>0</v>
      </c>
      <c r="AT187" s="2">
        <f t="shared" si="361"/>
        <v>0</v>
      </c>
      <c r="AU187" s="2">
        <f t="shared" si="361"/>
        <v>0</v>
      </c>
      <c r="AV187" s="2">
        <f t="shared" si="361"/>
        <v>0</v>
      </c>
      <c r="AW187" s="2">
        <f t="shared" si="361"/>
        <v>0</v>
      </c>
      <c r="AX187" s="2">
        <f t="shared" si="361"/>
        <v>0</v>
      </c>
      <c r="AY187" s="2">
        <f t="shared" si="361"/>
        <v>0</v>
      </c>
      <c r="BA187" s="2">
        <f t="shared" si="388"/>
        <v>0</v>
      </c>
      <c r="BB187" s="2">
        <f t="shared" si="362"/>
        <v>0</v>
      </c>
      <c r="BC187" s="2">
        <f t="shared" si="362"/>
        <v>0</v>
      </c>
      <c r="BD187" s="2">
        <f t="shared" si="362"/>
        <v>0</v>
      </c>
      <c r="BE187" s="2">
        <f t="shared" si="362"/>
        <v>0</v>
      </c>
      <c r="BF187" s="2">
        <f t="shared" si="362"/>
        <v>0</v>
      </c>
      <c r="BG187" s="2">
        <f t="shared" si="362"/>
        <v>0</v>
      </c>
      <c r="BI187" s="2">
        <f t="shared" si="363"/>
        <v>0</v>
      </c>
      <c r="BJ187" s="2">
        <f t="shared" si="364"/>
        <v>0</v>
      </c>
      <c r="BK187" s="2">
        <f t="shared" si="364"/>
        <v>0</v>
      </c>
      <c r="BL187" s="2">
        <f t="shared" si="364"/>
        <v>0</v>
      </c>
      <c r="BM187" s="2">
        <f t="shared" si="364"/>
        <v>0</v>
      </c>
      <c r="BN187" s="2">
        <f t="shared" si="364"/>
        <v>0</v>
      </c>
      <c r="BO187" s="2">
        <f t="shared" si="364"/>
        <v>0</v>
      </c>
      <c r="BQ187" s="28" t="s">
        <v>292</v>
      </c>
      <c r="BR187" s="23">
        <v>0</v>
      </c>
      <c r="BS187" s="14">
        <f t="shared" si="365"/>
        <v>0</v>
      </c>
      <c r="BT187" s="14">
        <f t="shared" si="366"/>
        <v>0</v>
      </c>
      <c r="BU187" s="14">
        <f t="shared" si="367"/>
        <v>0.13</v>
      </c>
      <c r="BV187" s="14">
        <f t="shared" si="368"/>
        <v>0.87</v>
      </c>
      <c r="BW187" s="14">
        <f t="shared" si="369"/>
        <v>0</v>
      </c>
      <c r="BX187" s="14">
        <f t="shared" si="370"/>
        <v>0</v>
      </c>
      <c r="BY187" s="14">
        <f t="shared" si="371"/>
        <v>0</v>
      </c>
      <c r="BZ187" s="14">
        <f t="shared" si="372"/>
        <v>0</v>
      </c>
      <c r="CA187" s="14">
        <f t="shared" si="373"/>
        <v>0</v>
      </c>
      <c r="CB187" s="14">
        <f t="shared" si="374"/>
        <v>0</v>
      </c>
      <c r="CC187" s="14">
        <f t="shared" si="375"/>
        <v>0</v>
      </c>
      <c r="CD187" s="14">
        <f t="shared" si="376"/>
        <v>0</v>
      </c>
      <c r="CE187" s="14">
        <f t="shared" si="377"/>
        <v>0</v>
      </c>
      <c r="CF187" s="14">
        <f t="shared" si="378"/>
        <v>0</v>
      </c>
      <c r="CG187" s="14">
        <f t="shared" si="379"/>
        <v>0</v>
      </c>
      <c r="CH187" s="14">
        <f t="shared" si="380"/>
        <v>0</v>
      </c>
      <c r="CI187" s="14">
        <f t="shared" si="381"/>
        <v>0</v>
      </c>
      <c r="CJ187" s="14"/>
      <c r="CK187" s="112" t="str">
        <f t="shared" si="382"/>
        <v>as UG Storage Plant (24)</v>
      </c>
      <c r="CL187" s="76">
        <f t="shared" si="346"/>
        <v>0</v>
      </c>
      <c r="CM187" s="2">
        <f t="shared" si="383"/>
        <v>0</v>
      </c>
      <c r="CN187" s="2">
        <f t="shared" si="383"/>
        <v>0</v>
      </c>
      <c r="CO187" s="2">
        <f t="shared" si="383"/>
        <v>0</v>
      </c>
      <c r="CP187" s="2">
        <f t="shared" si="383"/>
        <v>0</v>
      </c>
      <c r="CQ187" s="2">
        <f t="shared" si="383"/>
        <v>0</v>
      </c>
      <c r="CR187" s="2">
        <f t="shared" si="383"/>
        <v>0</v>
      </c>
    </row>
    <row r="188" spans="1:96">
      <c r="A188" s="50">
        <f t="shared" si="294"/>
        <v>188</v>
      </c>
      <c r="B188" t="s">
        <v>303</v>
      </c>
      <c r="C188" s="36" t="s">
        <v>394</v>
      </c>
      <c r="D188" s="28" t="s">
        <v>293</v>
      </c>
      <c r="E188" s="373">
        <f>PROFORMA!AY40</f>
        <v>0</v>
      </c>
      <c r="F188" s="60" t="str">
        <f t="shared" si="384"/>
        <v>as UG Storage Plant (24)</v>
      </c>
      <c r="G188" s="60"/>
      <c r="H188" s="2">
        <f t="shared" si="386"/>
        <v>0</v>
      </c>
      <c r="I188" s="2">
        <f t="shared" si="356"/>
        <v>0</v>
      </c>
      <c r="J188" s="2">
        <f t="shared" si="356"/>
        <v>0</v>
      </c>
      <c r="K188" s="2">
        <f t="shared" si="356"/>
        <v>0</v>
      </c>
      <c r="L188" s="2">
        <f t="shared" si="356"/>
        <v>0</v>
      </c>
      <c r="M188" s="2">
        <f t="shared" si="356"/>
        <v>0</v>
      </c>
      <c r="N188" s="2">
        <f t="shared" si="356"/>
        <v>0</v>
      </c>
      <c r="O188" s="2"/>
      <c r="P188" s="61"/>
      <c r="Q188" s="61"/>
      <c r="R188" s="14">
        <f t="shared" si="357"/>
        <v>0</v>
      </c>
      <c r="S188" s="14">
        <f t="shared" si="358"/>
        <v>0</v>
      </c>
      <c r="T188" s="14">
        <f t="shared" si="358"/>
        <v>0.13</v>
      </c>
      <c r="U188" s="14">
        <f t="shared" si="358"/>
        <v>0.87</v>
      </c>
      <c r="V188" s="14">
        <f t="shared" si="358"/>
        <v>0</v>
      </c>
      <c r="W188" s="14">
        <f t="shared" si="358"/>
        <v>0</v>
      </c>
      <c r="X188" s="14">
        <f t="shared" si="358"/>
        <v>0</v>
      </c>
      <c r="Y188" s="14">
        <f t="shared" si="358"/>
        <v>0</v>
      </c>
      <c r="Z188" s="14">
        <f t="shared" si="358"/>
        <v>0</v>
      </c>
      <c r="AA188" s="14">
        <f t="shared" si="358"/>
        <v>0</v>
      </c>
      <c r="AB188" s="14">
        <f t="shared" si="358"/>
        <v>0</v>
      </c>
      <c r="AC188" s="14">
        <f t="shared" si="358"/>
        <v>0</v>
      </c>
      <c r="AD188" s="14">
        <f t="shared" si="358"/>
        <v>0</v>
      </c>
      <c r="AE188" s="14">
        <f t="shared" si="358"/>
        <v>0</v>
      </c>
      <c r="AF188" s="14">
        <f t="shared" si="358"/>
        <v>0</v>
      </c>
      <c r="AG188" s="14">
        <f t="shared" si="358"/>
        <v>0</v>
      </c>
      <c r="AH188" s="14">
        <f t="shared" si="358"/>
        <v>0</v>
      </c>
      <c r="AI188" s="76">
        <f t="shared" si="337"/>
        <v>0</v>
      </c>
      <c r="AK188" s="2">
        <f t="shared" si="387"/>
        <v>0</v>
      </c>
      <c r="AL188" s="2">
        <f t="shared" si="359"/>
        <v>0</v>
      </c>
      <c r="AM188" s="2">
        <f t="shared" si="359"/>
        <v>0</v>
      </c>
      <c r="AN188" s="2">
        <f t="shared" si="359"/>
        <v>0</v>
      </c>
      <c r="AO188" s="2">
        <f t="shared" si="359"/>
        <v>0</v>
      </c>
      <c r="AP188" s="2"/>
      <c r="AQ188" s="61" t="str">
        <f t="shared" si="385"/>
        <v>E188*      "</v>
      </c>
      <c r="AS188" s="2">
        <f t="shared" si="360"/>
        <v>0</v>
      </c>
      <c r="AT188" s="2">
        <f t="shared" si="361"/>
        <v>0</v>
      </c>
      <c r="AU188" s="2">
        <f t="shared" si="361"/>
        <v>0</v>
      </c>
      <c r="AV188" s="2">
        <f t="shared" si="361"/>
        <v>0</v>
      </c>
      <c r="AW188" s="2">
        <f t="shared" si="361"/>
        <v>0</v>
      </c>
      <c r="AX188" s="2">
        <f t="shared" si="361"/>
        <v>0</v>
      </c>
      <c r="AY188" s="2">
        <f t="shared" si="361"/>
        <v>0</v>
      </c>
      <c r="BA188" s="2">
        <f t="shared" si="388"/>
        <v>0</v>
      </c>
      <c r="BB188" s="2">
        <f t="shared" si="362"/>
        <v>0</v>
      </c>
      <c r="BC188" s="2">
        <f t="shared" si="362"/>
        <v>0</v>
      </c>
      <c r="BD188" s="2">
        <f t="shared" si="362"/>
        <v>0</v>
      </c>
      <c r="BE188" s="2">
        <f t="shared" si="362"/>
        <v>0</v>
      </c>
      <c r="BF188" s="2">
        <f t="shared" si="362"/>
        <v>0</v>
      </c>
      <c r="BG188" s="2">
        <f t="shared" si="362"/>
        <v>0</v>
      </c>
      <c r="BI188" s="2">
        <f t="shared" si="363"/>
        <v>0</v>
      </c>
      <c r="BJ188" s="2">
        <f t="shared" si="364"/>
        <v>0</v>
      </c>
      <c r="BK188" s="2">
        <f t="shared" si="364"/>
        <v>0</v>
      </c>
      <c r="BL188" s="2">
        <f t="shared" si="364"/>
        <v>0</v>
      </c>
      <c r="BM188" s="2">
        <f t="shared" si="364"/>
        <v>0</v>
      </c>
      <c r="BN188" s="2">
        <f t="shared" si="364"/>
        <v>0</v>
      </c>
      <c r="BO188" s="2">
        <f t="shared" si="364"/>
        <v>0</v>
      </c>
      <c r="BQ188" s="28" t="s">
        <v>293</v>
      </c>
      <c r="BR188" s="23">
        <v>0</v>
      </c>
      <c r="BS188" s="14">
        <f t="shared" si="365"/>
        <v>0</v>
      </c>
      <c r="BT188" s="14">
        <f t="shared" si="366"/>
        <v>0</v>
      </c>
      <c r="BU188" s="14">
        <f t="shared" si="367"/>
        <v>0.13</v>
      </c>
      <c r="BV188" s="14">
        <f t="shared" si="368"/>
        <v>0.87</v>
      </c>
      <c r="BW188" s="14">
        <f t="shared" si="369"/>
        <v>0</v>
      </c>
      <c r="BX188" s="14">
        <f t="shared" si="370"/>
        <v>0</v>
      </c>
      <c r="BY188" s="14">
        <f t="shared" si="371"/>
        <v>0</v>
      </c>
      <c r="BZ188" s="14">
        <f t="shared" si="372"/>
        <v>0</v>
      </c>
      <c r="CA188" s="14">
        <f t="shared" si="373"/>
        <v>0</v>
      </c>
      <c r="CB188" s="14">
        <f t="shared" si="374"/>
        <v>0</v>
      </c>
      <c r="CC188" s="14">
        <f t="shared" si="375"/>
        <v>0</v>
      </c>
      <c r="CD188" s="14">
        <f t="shared" si="376"/>
        <v>0</v>
      </c>
      <c r="CE188" s="14">
        <f t="shared" si="377"/>
        <v>0</v>
      </c>
      <c r="CF188" s="14">
        <f t="shared" si="378"/>
        <v>0</v>
      </c>
      <c r="CG188" s="14">
        <f t="shared" si="379"/>
        <v>0</v>
      </c>
      <c r="CH188" s="14">
        <f t="shared" si="380"/>
        <v>0</v>
      </c>
      <c r="CI188" s="14">
        <f t="shared" si="381"/>
        <v>0</v>
      </c>
      <c r="CJ188" s="14"/>
      <c r="CK188" s="112" t="str">
        <f t="shared" si="382"/>
        <v>as UG Storage Plant (24)</v>
      </c>
      <c r="CL188" s="76">
        <f t="shared" si="346"/>
        <v>0</v>
      </c>
      <c r="CM188" s="2">
        <f t="shared" si="383"/>
        <v>0</v>
      </c>
      <c r="CN188" s="2">
        <f t="shared" si="383"/>
        <v>0</v>
      </c>
      <c r="CO188" s="2">
        <f t="shared" si="383"/>
        <v>0</v>
      </c>
      <c r="CP188" s="2">
        <f t="shared" si="383"/>
        <v>0</v>
      </c>
      <c r="CQ188" s="2">
        <f t="shared" si="383"/>
        <v>0</v>
      </c>
      <c r="CR188" s="2">
        <f t="shared" si="383"/>
        <v>0</v>
      </c>
    </row>
    <row r="189" spans="1:96">
      <c r="A189" s="50">
        <f t="shared" si="294"/>
        <v>189</v>
      </c>
      <c r="B189" t="s">
        <v>304</v>
      </c>
      <c r="C189" s="36" t="s">
        <v>394</v>
      </c>
      <c r="D189" s="28" t="s">
        <v>294</v>
      </c>
      <c r="E189" s="373">
        <f>PROFORMA!AY41</f>
        <v>0</v>
      </c>
      <c r="F189" s="60" t="str">
        <f t="shared" si="384"/>
        <v>as UG Storage Plant (24)</v>
      </c>
      <c r="G189" s="60"/>
      <c r="H189" s="2">
        <f t="shared" si="386"/>
        <v>0</v>
      </c>
      <c r="I189" s="2">
        <f t="shared" si="356"/>
        <v>0</v>
      </c>
      <c r="J189" s="2">
        <f t="shared" si="356"/>
        <v>0</v>
      </c>
      <c r="K189" s="2">
        <f t="shared" si="356"/>
        <v>0</v>
      </c>
      <c r="L189" s="2">
        <f t="shared" si="356"/>
        <v>0</v>
      </c>
      <c r="M189" s="2">
        <f t="shared" si="356"/>
        <v>0</v>
      </c>
      <c r="N189" s="2">
        <f t="shared" si="356"/>
        <v>0</v>
      </c>
      <c r="O189" s="2"/>
      <c r="P189" s="61"/>
      <c r="Q189" s="61"/>
      <c r="R189" s="14">
        <f t="shared" si="357"/>
        <v>0</v>
      </c>
      <c r="S189" s="14">
        <f t="shared" si="358"/>
        <v>0</v>
      </c>
      <c r="T189" s="14">
        <f t="shared" si="358"/>
        <v>0.13</v>
      </c>
      <c r="U189" s="14">
        <f t="shared" si="358"/>
        <v>0.87</v>
      </c>
      <c r="V189" s="14">
        <f t="shared" si="358"/>
        <v>0</v>
      </c>
      <c r="W189" s="14">
        <f t="shared" si="358"/>
        <v>0</v>
      </c>
      <c r="X189" s="14">
        <f t="shared" si="358"/>
        <v>0</v>
      </c>
      <c r="Y189" s="14">
        <f t="shared" si="358"/>
        <v>0</v>
      </c>
      <c r="Z189" s="14">
        <f t="shared" si="358"/>
        <v>0</v>
      </c>
      <c r="AA189" s="14">
        <f t="shared" si="358"/>
        <v>0</v>
      </c>
      <c r="AB189" s="14">
        <f t="shared" si="358"/>
        <v>0</v>
      </c>
      <c r="AC189" s="14">
        <f t="shared" si="358"/>
        <v>0</v>
      </c>
      <c r="AD189" s="14">
        <f t="shared" si="358"/>
        <v>0</v>
      </c>
      <c r="AE189" s="14">
        <f t="shared" si="358"/>
        <v>0</v>
      </c>
      <c r="AF189" s="14">
        <f t="shared" si="358"/>
        <v>0</v>
      </c>
      <c r="AG189" s="14">
        <f t="shared" si="358"/>
        <v>0</v>
      </c>
      <c r="AH189" s="14">
        <f t="shared" si="358"/>
        <v>0</v>
      </c>
      <c r="AI189" s="76">
        <f t="shared" si="337"/>
        <v>0</v>
      </c>
      <c r="AK189" s="2">
        <f t="shared" si="387"/>
        <v>0</v>
      </c>
      <c r="AL189" s="2">
        <f t="shared" si="359"/>
        <v>0</v>
      </c>
      <c r="AM189" s="2">
        <f t="shared" si="359"/>
        <v>0</v>
      </c>
      <c r="AN189" s="2">
        <f t="shared" si="359"/>
        <v>0</v>
      </c>
      <c r="AO189" s="2">
        <f t="shared" si="359"/>
        <v>0</v>
      </c>
      <c r="AP189" s="2"/>
      <c r="AQ189" s="61" t="str">
        <f t="shared" si="385"/>
        <v>E189*      "</v>
      </c>
      <c r="AS189" s="2">
        <f t="shared" si="360"/>
        <v>0</v>
      </c>
      <c r="AT189" s="2">
        <f t="shared" si="361"/>
        <v>0</v>
      </c>
      <c r="AU189" s="2">
        <f t="shared" si="361"/>
        <v>0</v>
      </c>
      <c r="AV189" s="2">
        <f t="shared" si="361"/>
        <v>0</v>
      </c>
      <c r="AW189" s="2">
        <f t="shared" si="361"/>
        <v>0</v>
      </c>
      <c r="AX189" s="2">
        <f t="shared" si="361"/>
        <v>0</v>
      </c>
      <c r="AY189" s="2">
        <f t="shared" si="361"/>
        <v>0</v>
      </c>
      <c r="BA189" s="2">
        <f t="shared" si="388"/>
        <v>0</v>
      </c>
      <c r="BB189" s="2">
        <f t="shared" si="362"/>
        <v>0</v>
      </c>
      <c r="BC189" s="2">
        <f t="shared" si="362"/>
        <v>0</v>
      </c>
      <c r="BD189" s="2">
        <f t="shared" si="362"/>
        <v>0</v>
      </c>
      <c r="BE189" s="2">
        <f t="shared" si="362"/>
        <v>0</v>
      </c>
      <c r="BF189" s="2">
        <f t="shared" si="362"/>
        <v>0</v>
      </c>
      <c r="BG189" s="2">
        <f t="shared" si="362"/>
        <v>0</v>
      </c>
      <c r="BI189" s="2">
        <f t="shared" si="363"/>
        <v>0</v>
      </c>
      <c r="BJ189" s="2">
        <f t="shared" si="364"/>
        <v>0</v>
      </c>
      <c r="BK189" s="2">
        <f t="shared" si="364"/>
        <v>0</v>
      </c>
      <c r="BL189" s="2">
        <f t="shared" si="364"/>
        <v>0</v>
      </c>
      <c r="BM189" s="2">
        <f t="shared" si="364"/>
        <v>0</v>
      </c>
      <c r="BN189" s="2">
        <f t="shared" si="364"/>
        <v>0</v>
      </c>
      <c r="BO189" s="2">
        <f t="shared" si="364"/>
        <v>0</v>
      </c>
      <c r="BQ189" s="28" t="s">
        <v>294</v>
      </c>
      <c r="BR189" s="23">
        <v>0</v>
      </c>
      <c r="BS189" s="14">
        <f t="shared" si="365"/>
        <v>0</v>
      </c>
      <c r="BT189" s="14">
        <f t="shared" si="366"/>
        <v>0</v>
      </c>
      <c r="BU189" s="14">
        <f t="shared" si="367"/>
        <v>0.13</v>
      </c>
      <c r="BV189" s="14">
        <f t="shared" si="368"/>
        <v>0.87</v>
      </c>
      <c r="BW189" s="14">
        <f t="shared" si="369"/>
        <v>0</v>
      </c>
      <c r="BX189" s="14">
        <f t="shared" si="370"/>
        <v>0</v>
      </c>
      <c r="BY189" s="14">
        <f t="shared" si="371"/>
        <v>0</v>
      </c>
      <c r="BZ189" s="14">
        <f t="shared" si="372"/>
        <v>0</v>
      </c>
      <c r="CA189" s="14">
        <f t="shared" si="373"/>
        <v>0</v>
      </c>
      <c r="CB189" s="14">
        <f t="shared" si="374"/>
        <v>0</v>
      </c>
      <c r="CC189" s="14">
        <f t="shared" si="375"/>
        <v>0</v>
      </c>
      <c r="CD189" s="14">
        <f t="shared" si="376"/>
        <v>0</v>
      </c>
      <c r="CE189" s="14">
        <f t="shared" si="377"/>
        <v>0</v>
      </c>
      <c r="CF189" s="14">
        <f t="shared" si="378"/>
        <v>0</v>
      </c>
      <c r="CG189" s="14">
        <f t="shared" si="379"/>
        <v>0</v>
      </c>
      <c r="CH189" s="14">
        <f t="shared" si="380"/>
        <v>0</v>
      </c>
      <c r="CI189" s="14">
        <f t="shared" si="381"/>
        <v>0</v>
      </c>
      <c r="CJ189" s="14"/>
      <c r="CK189" s="112" t="str">
        <f t="shared" si="382"/>
        <v>as UG Storage Plant (24)</v>
      </c>
      <c r="CL189" s="76">
        <f t="shared" si="346"/>
        <v>0</v>
      </c>
      <c r="CM189" s="2">
        <f t="shared" si="383"/>
        <v>0</v>
      </c>
      <c r="CN189" s="2">
        <f t="shared" si="383"/>
        <v>0</v>
      </c>
      <c r="CO189" s="2">
        <f t="shared" si="383"/>
        <v>0</v>
      </c>
      <c r="CP189" s="2">
        <f t="shared" si="383"/>
        <v>0</v>
      </c>
      <c r="CQ189" s="2">
        <f t="shared" si="383"/>
        <v>0</v>
      </c>
      <c r="CR189" s="2">
        <f t="shared" si="383"/>
        <v>0</v>
      </c>
    </row>
    <row r="190" spans="1:96">
      <c r="A190" s="50">
        <f t="shared" si="294"/>
        <v>190</v>
      </c>
      <c r="B190" t="s">
        <v>305</v>
      </c>
      <c r="C190" s="36" t="s">
        <v>394</v>
      </c>
      <c r="D190" s="28" t="s">
        <v>295</v>
      </c>
      <c r="E190" s="373">
        <f>PROFORMA!AY42</f>
        <v>0</v>
      </c>
      <c r="F190" s="60" t="str">
        <f t="shared" si="384"/>
        <v>as UG Storage Plant (24)</v>
      </c>
      <c r="G190" s="60"/>
      <c r="H190" s="2">
        <f t="shared" si="386"/>
        <v>0</v>
      </c>
      <c r="I190" s="2">
        <f t="shared" si="356"/>
        <v>0</v>
      </c>
      <c r="J190" s="2">
        <f t="shared" si="356"/>
        <v>0</v>
      </c>
      <c r="K190" s="2">
        <f t="shared" si="356"/>
        <v>0</v>
      </c>
      <c r="L190" s="2">
        <f t="shared" si="356"/>
        <v>0</v>
      </c>
      <c r="M190" s="2">
        <f t="shared" si="356"/>
        <v>0</v>
      </c>
      <c r="N190" s="2">
        <f t="shared" si="356"/>
        <v>0</v>
      </c>
      <c r="O190" s="2"/>
      <c r="P190" s="61"/>
      <c r="Q190" s="61"/>
      <c r="R190" s="14">
        <f t="shared" si="357"/>
        <v>0</v>
      </c>
      <c r="S190" s="14">
        <f t="shared" si="358"/>
        <v>0</v>
      </c>
      <c r="T190" s="14">
        <f t="shared" si="358"/>
        <v>0.13</v>
      </c>
      <c r="U190" s="14">
        <f t="shared" si="358"/>
        <v>0.87</v>
      </c>
      <c r="V190" s="14">
        <f t="shared" si="358"/>
        <v>0</v>
      </c>
      <c r="W190" s="14">
        <f t="shared" si="358"/>
        <v>0</v>
      </c>
      <c r="X190" s="14">
        <f t="shared" si="358"/>
        <v>0</v>
      </c>
      <c r="Y190" s="14">
        <f t="shared" si="358"/>
        <v>0</v>
      </c>
      <c r="Z190" s="14">
        <f t="shared" si="358"/>
        <v>0</v>
      </c>
      <c r="AA190" s="14">
        <f t="shared" si="358"/>
        <v>0</v>
      </c>
      <c r="AB190" s="14">
        <f t="shared" si="358"/>
        <v>0</v>
      </c>
      <c r="AC190" s="14">
        <f t="shared" si="358"/>
        <v>0</v>
      </c>
      <c r="AD190" s="14">
        <f t="shared" si="358"/>
        <v>0</v>
      </c>
      <c r="AE190" s="14">
        <f t="shared" si="358"/>
        <v>0</v>
      </c>
      <c r="AF190" s="14">
        <f t="shared" si="358"/>
        <v>0</v>
      </c>
      <c r="AG190" s="14">
        <f t="shared" si="358"/>
        <v>0</v>
      </c>
      <c r="AH190" s="14">
        <f t="shared" si="358"/>
        <v>0</v>
      </c>
      <c r="AI190" s="76">
        <f t="shared" si="337"/>
        <v>0</v>
      </c>
      <c r="AK190" s="2">
        <f t="shared" si="387"/>
        <v>0</v>
      </c>
      <c r="AL190" s="2">
        <f t="shared" si="359"/>
        <v>0</v>
      </c>
      <c r="AM190" s="2">
        <f t="shared" si="359"/>
        <v>0</v>
      </c>
      <c r="AN190" s="2">
        <f t="shared" si="359"/>
        <v>0</v>
      </c>
      <c r="AO190" s="2">
        <f t="shared" si="359"/>
        <v>0</v>
      </c>
      <c r="AP190" s="2"/>
      <c r="AQ190" s="61" t="str">
        <f t="shared" si="385"/>
        <v>E190*      "</v>
      </c>
      <c r="AS190" s="2">
        <f t="shared" si="360"/>
        <v>0</v>
      </c>
      <c r="AT190" s="2">
        <f t="shared" si="361"/>
        <v>0</v>
      </c>
      <c r="AU190" s="2">
        <f t="shared" si="361"/>
        <v>0</v>
      </c>
      <c r="AV190" s="2">
        <f t="shared" si="361"/>
        <v>0</v>
      </c>
      <c r="AW190" s="2">
        <f t="shared" si="361"/>
        <v>0</v>
      </c>
      <c r="AX190" s="2">
        <f t="shared" si="361"/>
        <v>0</v>
      </c>
      <c r="AY190" s="2">
        <f t="shared" si="361"/>
        <v>0</v>
      </c>
      <c r="BA190" s="2">
        <f t="shared" si="388"/>
        <v>0</v>
      </c>
      <c r="BB190" s="2">
        <f t="shared" si="362"/>
        <v>0</v>
      </c>
      <c r="BC190" s="2">
        <f t="shared" si="362"/>
        <v>0</v>
      </c>
      <c r="BD190" s="2">
        <f t="shared" si="362"/>
        <v>0</v>
      </c>
      <c r="BE190" s="2">
        <f t="shared" si="362"/>
        <v>0</v>
      </c>
      <c r="BF190" s="2">
        <f t="shared" si="362"/>
        <v>0</v>
      </c>
      <c r="BG190" s="2">
        <f t="shared" si="362"/>
        <v>0</v>
      </c>
      <c r="BI190" s="2">
        <f t="shared" si="363"/>
        <v>0</v>
      </c>
      <c r="BJ190" s="2">
        <f t="shared" si="364"/>
        <v>0</v>
      </c>
      <c r="BK190" s="2">
        <f t="shared" si="364"/>
        <v>0</v>
      </c>
      <c r="BL190" s="2">
        <f t="shared" si="364"/>
        <v>0</v>
      </c>
      <c r="BM190" s="2">
        <f t="shared" si="364"/>
        <v>0</v>
      </c>
      <c r="BN190" s="2">
        <f t="shared" si="364"/>
        <v>0</v>
      </c>
      <c r="BO190" s="2">
        <f t="shared" si="364"/>
        <v>0</v>
      </c>
      <c r="BQ190" s="28" t="s">
        <v>295</v>
      </c>
      <c r="BR190" s="23">
        <v>0</v>
      </c>
      <c r="BS190" s="14">
        <f t="shared" si="365"/>
        <v>0</v>
      </c>
      <c r="BT190" s="14">
        <f t="shared" si="366"/>
        <v>0</v>
      </c>
      <c r="BU190" s="14">
        <f t="shared" si="367"/>
        <v>0.13</v>
      </c>
      <c r="BV190" s="14">
        <f t="shared" si="368"/>
        <v>0.87</v>
      </c>
      <c r="BW190" s="14">
        <f t="shared" si="369"/>
        <v>0</v>
      </c>
      <c r="BX190" s="14">
        <f t="shared" si="370"/>
        <v>0</v>
      </c>
      <c r="BY190" s="14">
        <f t="shared" si="371"/>
        <v>0</v>
      </c>
      <c r="BZ190" s="14">
        <f t="shared" si="372"/>
        <v>0</v>
      </c>
      <c r="CA190" s="14">
        <f t="shared" si="373"/>
        <v>0</v>
      </c>
      <c r="CB190" s="14">
        <f t="shared" si="374"/>
        <v>0</v>
      </c>
      <c r="CC190" s="14">
        <f t="shared" si="375"/>
        <v>0</v>
      </c>
      <c r="CD190" s="14">
        <f t="shared" si="376"/>
        <v>0</v>
      </c>
      <c r="CE190" s="14">
        <f t="shared" si="377"/>
        <v>0</v>
      </c>
      <c r="CF190" s="14">
        <f t="shared" si="378"/>
        <v>0</v>
      </c>
      <c r="CG190" s="14">
        <f t="shared" si="379"/>
        <v>0</v>
      </c>
      <c r="CH190" s="14">
        <f t="shared" si="380"/>
        <v>0</v>
      </c>
      <c r="CI190" s="14">
        <f t="shared" si="381"/>
        <v>0</v>
      </c>
      <c r="CJ190" s="14"/>
      <c r="CK190" s="112" t="str">
        <f t="shared" si="382"/>
        <v>as UG Storage Plant (24)</v>
      </c>
      <c r="CL190" s="76">
        <f t="shared" si="346"/>
        <v>0</v>
      </c>
      <c r="CM190" s="2">
        <f t="shared" si="383"/>
        <v>0</v>
      </c>
      <c r="CN190" s="2">
        <f t="shared" si="383"/>
        <v>0</v>
      </c>
      <c r="CO190" s="2">
        <f t="shared" si="383"/>
        <v>0</v>
      </c>
      <c r="CP190" s="2">
        <f t="shared" si="383"/>
        <v>0</v>
      </c>
      <c r="CQ190" s="2">
        <f t="shared" si="383"/>
        <v>0</v>
      </c>
      <c r="CR190" s="2">
        <f t="shared" si="383"/>
        <v>0</v>
      </c>
    </row>
    <row r="191" spans="1:96">
      <c r="A191" s="50">
        <f t="shared" si="294"/>
        <v>191</v>
      </c>
      <c r="B191" t="s">
        <v>306</v>
      </c>
      <c r="C191" s="36" t="s">
        <v>394</v>
      </c>
      <c r="D191" s="28" t="s">
        <v>296</v>
      </c>
      <c r="E191" s="373">
        <f>PROFORMA!AY43</f>
        <v>571000</v>
      </c>
      <c r="F191" s="60" t="str">
        <f t="shared" si="384"/>
        <v>as UG Storage Plant (24)</v>
      </c>
      <c r="G191" s="60"/>
      <c r="H191" s="2">
        <f t="shared" si="386"/>
        <v>571000</v>
      </c>
      <c r="I191" s="2">
        <f t="shared" si="356"/>
        <v>407660.90722026321</v>
      </c>
      <c r="J191" s="2">
        <f t="shared" si="356"/>
        <v>152029.13126136959</v>
      </c>
      <c r="K191" s="2">
        <f t="shared" si="356"/>
        <v>0</v>
      </c>
      <c r="L191" s="2">
        <f t="shared" si="356"/>
        <v>4139.7499357559736</v>
      </c>
      <c r="M191" s="2">
        <f t="shared" si="356"/>
        <v>7170.2115826112549</v>
      </c>
      <c r="N191" s="2">
        <f t="shared" si="356"/>
        <v>0</v>
      </c>
      <c r="O191" s="2"/>
      <c r="P191" s="61" t="str">
        <f>E$1&amp;$A191&amp;"*     """</f>
        <v>E191*     "</v>
      </c>
      <c r="Q191" s="61"/>
      <c r="R191" s="14">
        <f t="shared" si="357"/>
        <v>0</v>
      </c>
      <c r="S191" s="14">
        <f t="shared" si="358"/>
        <v>0</v>
      </c>
      <c r="T191" s="14">
        <f t="shared" si="358"/>
        <v>0.13</v>
      </c>
      <c r="U191" s="14">
        <f t="shared" si="358"/>
        <v>0.87</v>
      </c>
      <c r="V191" s="14">
        <f t="shared" si="358"/>
        <v>0</v>
      </c>
      <c r="W191" s="14">
        <f t="shared" si="358"/>
        <v>0</v>
      </c>
      <c r="X191" s="14">
        <f t="shared" si="358"/>
        <v>0</v>
      </c>
      <c r="Y191" s="14">
        <f t="shared" si="358"/>
        <v>0</v>
      </c>
      <c r="Z191" s="14">
        <f t="shared" si="358"/>
        <v>0</v>
      </c>
      <c r="AA191" s="14">
        <f t="shared" si="358"/>
        <v>0</v>
      </c>
      <c r="AB191" s="14">
        <f t="shared" si="358"/>
        <v>0</v>
      </c>
      <c r="AC191" s="14">
        <f t="shared" si="358"/>
        <v>0</v>
      </c>
      <c r="AD191" s="14">
        <f t="shared" si="358"/>
        <v>0</v>
      </c>
      <c r="AE191" s="14">
        <f t="shared" si="358"/>
        <v>0</v>
      </c>
      <c r="AF191" s="14">
        <f t="shared" si="358"/>
        <v>0</v>
      </c>
      <c r="AG191" s="14">
        <f t="shared" si="358"/>
        <v>0</v>
      </c>
      <c r="AH191" s="14">
        <f t="shared" si="358"/>
        <v>0</v>
      </c>
      <c r="AI191" s="76">
        <f t="shared" si="337"/>
        <v>0</v>
      </c>
      <c r="AK191" s="2">
        <f t="shared" si="387"/>
        <v>571000</v>
      </c>
      <c r="AL191" s="2">
        <f t="shared" si="359"/>
        <v>571000</v>
      </c>
      <c r="AM191" s="2">
        <f t="shared" si="359"/>
        <v>0</v>
      </c>
      <c r="AN191" s="2">
        <f t="shared" si="359"/>
        <v>0</v>
      </c>
      <c r="AO191" s="2">
        <f t="shared" si="359"/>
        <v>0</v>
      </c>
      <c r="AP191" s="2"/>
      <c r="AQ191" s="61" t="str">
        <f t="shared" si="385"/>
        <v>E191*      "</v>
      </c>
      <c r="AS191" s="2">
        <f t="shared" si="360"/>
        <v>571000</v>
      </c>
      <c r="AT191" s="2">
        <f t="shared" si="361"/>
        <v>407660.90722026321</v>
      </c>
      <c r="AU191" s="2">
        <f t="shared" si="361"/>
        <v>152029.13126136959</v>
      </c>
      <c r="AV191" s="2">
        <f t="shared" si="361"/>
        <v>0</v>
      </c>
      <c r="AW191" s="2">
        <f t="shared" si="361"/>
        <v>4139.7499357559736</v>
      </c>
      <c r="AX191" s="2">
        <f t="shared" si="361"/>
        <v>7170.2115826112549</v>
      </c>
      <c r="AY191" s="2">
        <f t="shared" si="361"/>
        <v>0</v>
      </c>
      <c r="BA191" s="2">
        <f t="shared" si="388"/>
        <v>0</v>
      </c>
      <c r="BB191" s="2">
        <f t="shared" si="362"/>
        <v>0</v>
      </c>
      <c r="BC191" s="2">
        <f t="shared" si="362"/>
        <v>0</v>
      </c>
      <c r="BD191" s="2">
        <f t="shared" si="362"/>
        <v>0</v>
      </c>
      <c r="BE191" s="2">
        <f t="shared" si="362"/>
        <v>0</v>
      </c>
      <c r="BF191" s="2">
        <f t="shared" si="362"/>
        <v>0</v>
      </c>
      <c r="BG191" s="2">
        <f t="shared" si="362"/>
        <v>0</v>
      </c>
      <c r="BI191" s="2">
        <f t="shared" si="363"/>
        <v>0</v>
      </c>
      <c r="BJ191" s="2">
        <f t="shared" si="364"/>
        <v>0</v>
      </c>
      <c r="BK191" s="2">
        <f t="shared" si="364"/>
        <v>0</v>
      </c>
      <c r="BL191" s="2">
        <f t="shared" si="364"/>
        <v>0</v>
      </c>
      <c r="BM191" s="2">
        <f t="shared" si="364"/>
        <v>0</v>
      </c>
      <c r="BN191" s="2">
        <f t="shared" si="364"/>
        <v>0</v>
      </c>
      <c r="BO191" s="2">
        <f t="shared" si="364"/>
        <v>0</v>
      </c>
      <c r="BQ191" s="28" t="s">
        <v>296</v>
      </c>
      <c r="BR191" s="23">
        <v>0</v>
      </c>
      <c r="BS191" s="14">
        <f t="shared" si="365"/>
        <v>0</v>
      </c>
      <c r="BT191" s="14">
        <f t="shared" si="366"/>
        <v>0</v>
      </c>
      <c r="BU191" s="14">
        <f t="shared" si="367"/>
        <v>0.13</v>
      </c>
      <c r="BV191" s="14">
        <f t="shared" si="368"/>
        <v>0.87</v>
      </c>
      <c r="BW191" s="14">
        <f t="shared" si="369"/>
        <v>0</v>
      </c>
      <c r="BX191" s="14">
        <f t="shared" si="370"/>
        <v>0</v>
      </c>
      <c r="BY191" s="14">
        <f t="shared" si="371"/>
        <v>0</v>
      </c>
      <c r="BZ191" s="14">
        <f t="shared" si="372"/>
        <v>0</v>
      </c>
      <c r="CA191" s="14">
        <f t="shared" si="373"/>
        <v>0</v>
      </c>
      <c r="CB191" s="14">
        <f t="shared" si="374"/>
        <v>0</v>
      </c>
      <c r="CC191" s="14">
        <f t="shared" si="375"/>
        <v>0</v>
      </c>
      <c r="CD191" s="14">
        <f t="shared" si="376"/>
        <v>0</v>
      </c>
      <c r="CE191" s="14">
        <f t="shared" si="377"/>
        <v>0</v>
      </c>
      <c r="CF191" s="14">
        <f t="shared" si="378"/>
        <v>0</v>
      </c>
      <c r="CG191" s="14">
        <f t="shared" si="379"/>
        <v>0</v>
      </c>
      <c r="CH191" s="14">
        <f t="shared" si="380"/>
        <v>0</v>
      </c>
      <c r="CI191" s="14">
        <f t="shared" si="381"/>
        <v>0</v>
      </c>
      <c r="CJ191" s="14"/>
      <c r="CK191" s="112" t="str">
        <f t="shared" si="382"/>
        <v>as UG Storage Plant (24)</v>
      </c>
      <c r="CL191" s="76">
        <f t="shared" si="346"/>
        <v>0</v>
      </c>
      <c r="CM191" s="2">
        <f t="shared" si="383"/>
        <v>0</v>
      </c>
      <c r="CN191" s="2">
        <f t="shared" si="383"/>
        <v>0</v>
      </c>
      <c r="CO191" s="2">
        <f t="shared" si="383"/>
        <v>0</v>
      </c>
      <c r="CP191" s="2">
        <f t="shared" si="383"/>
        <v>0</v>
      </c>
      <c r="CQ191" s="2">
        <f t="shared" si="383"/>
        <v>0</v>
      </c>
      <c r="CR191" s="2">
        <f t="shared" si="383"/>
        <v>0</v>
      </c>
    </row>
    <row r="192" spans="1:96">
      <c r="A192" s="50">
        <f t="shared" si="294"/>
        <v>192</v>
      </c>
      <c r="B192" t="s">
        <v>307</v>
      </c>
      <c r="C192" s="36" t="s">
        <v>394</v>
      </c>
      <c r="D192" s="28" t="s">
        <v>297</v>
      </c>
      <c r="E192" s="373">
        <f>PROFORMA!AY44</f>
        <v>0</v>
      </c>
      <c r="F192" s="60" t="str">
        <f t="shared" si="384"/>
        <v>as UG Storage Plant (24)</v>
      </c>
      <c r="G192" s="60"/>
      <c r="H192" s="2">
        <f t="shared" si="355"/>
        <v>0</v>
      </c>
      <c r="I192" s="2">
        <f t="shared" si="356"/>
        <v>0</v>
      </c>
      <c r="J192" s="2">
        <f t="shared" si="356"/>
        <v>0</v>
      </c>
      <c r="K192" s="2">
        <f t="shared" si="356"/>
        <v>0</v>
      </c>
      <c r="L192" s="2">
        <f t="shared" si="356"/>
        <v>0</v>
      </c>
      <c r="M192" s="2">
        <f t="shared" si="356"/>
        <v>0</v>
      </c>
      <c r="N192" s="2">
        <f t="shared" si="356"/>
        <v>0</v>
      </c>
      <c r="O192" s="2"/>
      <c r="P192" s="61" t="str">
        <f>E$1&amp;$A192&amp;"*     """</f>
        <v>E192*     "</v>
      </c>
      <c r="Q192" s="61"/>
      <c r="R192" s="14">
        <f t="shared" si="357"/>
        <v>0</v>
      </c>
      <c r="S192" s="14">
        <f t="shared" si="358"/>
        <v>0</v>
      </c>
      <c r="T192" s="14">
        <f t="shared" si="358"/>
        <v>0.13</v>
      </c>
      <c r="U192" s="14">
        <f t="shared" si="358"/>
        <v>0.87</v>
      </c>
      <c r="V192" s="14">
        <f t="shared" si="358"/>
        <v>0</v>
      </c>
      <c r="W192" s="14">
        <f t="shared" si="358"/>
        <v>0</v>
      </c>
      <c r="X192" s="14">
        <f t="shared" si="358"/>
        <v>0</v>
      </c>
      <c r="Y192" s="14">
        <f t="shared" si="358"/>
        <v>0</v>
      </c>
      <c r="Z192" s="14">
        <f t="shared" si="358"/>
        <v>0</v>
      </c>
      <c r="AA192" s="14">
        <f t="shared" si="358"/>
        <v>0</v>
      </c>
      <c r="AB192" s="14">
        <f t="shared" si="358"/>
        <v>0</v>
      </c>
      <c r="AC192" s="14">
        <f t="shared" si="358"/>
        <v>0</v>
      </c>
      <c r="AD192" s="14">
        <f t="shared" si="358"/>
        <v>0</v>
      </c>
      <c r="AE192" s="14">
        <f t="shared" si="358"/>
        <v>0</v>
      </c>
      <c r="AF192" s="14">
        <f t="shared" si="358"/>
        <v>0</v>
      </c>
      <c r="AG192" s="14">
        <f t="shared" si="358"/>
        <v>0</v>
      </c>
      <c r="AH192" s="14">
        <f t="shared" si="358"/>
        <v>0</v>
      </c>
      <c r="AI192" s="76">
        <f t="shared" si="337"/>
        <v>0</v>
      </c>
      <c r="AK192" s="2">
        <f t="shared" si="387"/>
        <v>0</v>
      </c>
      <c r="AL192" s="2">
        <f t="shared" si="359"/>
        <v>0</v>
      </c>
      <c r="AM192" s="2">
        <f t="shared" si="359"/>
        <v>0</v>
      </c>
      <c r="AN192" s="2">
        <f t="shared" si="359"/>
        <v>0</v>
      </c>
      <c r="AO192" s="2">
        <f t="shared" si="359"/>
        <v>0</v>
      </c>
      <c r="AP192" s="2"/>
      <c r="AQ192" s="61" t="str">
        <f t="shared" si="385"/>
        <v>E192*      "</v>
      </c>
      <c r="AS192" s="2">
        <f t="shared" si="360"/>
        <v>0</v>
      </c>
      <c r="AT192" s="2">
        <f t="shared" si="361"/>
        <v>0</v>
      </c>
      <c r="AU192" s="2">
        <f t="shared" si="361"/>
        <v>0</v>
      </c>
      <c r="AV192" s="2">
        <f t="shared" si="361"/>
        <v>0</v>
      </c>
      <c r="AW192" s="2">
        <f t="shared" si="361"/>
        <v>0</v>
      </c>
      <c r="AX192" s="2">
        <f t="shared" si="361"/>
        <v>0</v>
      </c>
      <c r="AY192" s="2">
        <f t="shared" si="361"/>
        <v>0</v>
      </c>
      <c r="BA192" s="2">
        <f t="shared" si="388"/>
        <v>0</v>
      </c>
      <c r="BB192" s="2">
        <f t="shared" si="362"/>
        <v>0</v>
      </c>
      <c r="BC192" s="2">
        <f t="shared" si="362"/>
        <v>0</v>
      </c>
      <c r="BD192" s="2">
        <f t="shared" si="362"/>
        <v>0</v>
      </c>
      <c r="BE192" s="2">
        <f t="shared" si="362"/>
        <v>0</v>
      </c>
      <c r="BF192" s="2">
        <f t="shared" si="362"/>
        <v>0</v>
      </c>
      <c r="BG192" s="2">
        <f t="shared" si="362"/>
        <v>0</v>
      </c>
      <c r="BI192" s="2">
        <f t="shared" si="363"/>
        <v>0</v>
      </c>
      <c r="BJ192" s="2">
        <f t="shared" si="364"/>
        <v>0</v>
      </c>
      <c r="BK192" s="2">
        <f t="shared" si="364"/>
        <v>0</v>
      </c>
      <c r="BL192" s="2">
        <f t="shared" si="364"/>
        <v>0</v>
      </c>
      <c r="BM192" s="2">
        <f t="shared" si="364"/>
        <v>0</v>
      </c>
      <c r="BN192" s="2">
        <f t="shared" si="364"/>
        <v>0</v>
      </c>
      <c r="BO192" s="2">
        <f t="shared" si="364"/>
        <v>0</v>
      </c>
      <c r="BQ192" s="28" t="s">
        <v>297</v>
      </c>
      <c r="BR192" s="23">
        <v>0</v>
      </c>
      <c r="BS192" s="14">
        <f t="shared" si="365"/>
        <v>0</v>
      </c>
      <c r="BT192" s="14">
        <f t="shared" si="366"/>
        <v>0</v>
      </c>
      <c r="BU192" s="14">
        <f t="shared" si="367"/>
        <v>0.13</v>
      </c>
      <c r="BV192" s="14">
        <f t="shared" si="368"/>
        <v>0.87</v>
      </c>
      <c r="BW192" s="14">
        <f t="shared" si="369"/>
        <v>0</v>
      </c>
      <c r="BX192" s="14">
        <f t="shared" si="370"/>
        <v>0</v>
      </c>
      <c r="BY192" s="14">
        <f t="shared" si="371"/>
        <v>0</v>
      </c>
      <c r="BZ192" s="14">
        <f t="shared" si="372"/>
        <v>0</v>
      </c>
      <c r="CA192" s="14">
        <f t="shared" si="373"/>
        <v>0</v>
      </c>
      <c r="CB192" s="14">
        <f t="shared" si="374"/>
        <v>0</v>
      </c>
      <c r="CC192" s="14">
        <f t="shared" si="375"/>
        <v>0</v>
      </c>
      <c r="CD192" s="14">
        <f t="shared" si="376"/>
        <v>0</v>
      </c>
      <c r="CE192" s="14">
        <f t="shared" si="377"/>
        <v>0</v>
      </c>
      <c r="CF192" s="14">
        <f t="shared" si="378"/>
        <v>0</v>
      </c>
      <c r="CG192" s="14">
        <f t="shared" si="379"/>
        <v>0</v>
      </c>
      <c r="CH192" s="14">
        <f t="shared" si="380"/>
        <v>0</v>
      </c>
      <c r="CI192" s="14">
        <f t="shared" si="381"/>
        <v>0</v>
      </c>
      <c r="CJ192" s="14"/>
      <c r="CK192" s="112" t="str">
        <f t="shared" si="382"/>
        <v>as UG Storage Plant (24)</v>
      </c>
      <c r="CL192" s="76">
        <f t="shared" si="346"/>
        <v>0</v>
      </c>
      <c r="CM192" s="2">
        <f t="shared" si="383"/>
        <v>0</v>
      </c>
      <c r="CN192" s="2">
        <f t="shared" si="383"/>
        <v>0</v>
      </c>
      <c r="CO192" s="2">
        <f t="shared" si="383"/>
        <v>0</v>
      </c>
      <c r="CP192" s="2">
        <f t="shared" si="383"/>
        <v>0</v>
      </c>
      <c r="CQ192" s="2">
        <f t="shared" si="383"/>
        <v>0</v>
      </c>
      <c r="CR192" s="2">
        <f t="shared" si="383"/>
        <v>0</v>
      </c>
    </row>
    <row r="193" spans="1:96">
      <c r="A193" s="50">
        <f t="shared" si="294"/>
        <v>193</v>
      </c>
      <c r="B193" t="s">
        <v>308</v>
      </c>
      <c r="C193" s="36" t="s">
        <v>394</v>
      </c>
      <c r="D193" s="28" t="s">
        <v>2</v>
      </c>
      <c r="E193" s="373">
        <f>PROFORMA!AY45</f>
        <v>0</v>
      </c>
      <c r="F193" s="60" t="str">
        <f t="shared" si="384"/>
        <v>as UG Storage Plant (24)</v>
      </c>
      <c r="G193" s="60"/>
      <c r="H193" s="2">
        <f t="shared" si="355"/>
        <v>0</v>
      </c>
      <c r="I193" s="2">
        <f t="shared" si="356"/>
        <v>0</v>
      </c>
      <c r="J193" s="2">
        <f t="shared" si="356"/>
        <v>0</v>
      </c>
      <c r="K193" s="2">
        <f t="shared" si="356"/>
        <v>0</v>
      </c>
      <c r="L193" s="2">
        <f t="shared" si="356"/>
        <v>0</v>
      </c>
      <c r="M193" s="2">
        <f t="shared" si="356"/>
        <v>0</v>
      </c>
      <c r="N193" s="2">
        <f t="shared" si="356"/>
        <v>0</v>
      </c>
      <c r="O193" s="2"/>
      <c r="P193" s="61" t="str">
        <f>E$1&amp;$A193&amp;"*     """</f>
        <v>E193*     "</v>
      </c>
      <c r="Q193" s="61"/>
      <c r="R193" s="14">
        <f t="shared" si="357"/>
        <v>0</v>
      </c>
      <c r="S193" s="14">
        <f t="shared" si="358"/>
        <v>0</v>
      </c>
      <c r="T193" s="14">
        <f t="shared" si="358"/>
        <v>0.13</v>
      </c>
      <c r="U193" s="14">
        <f t="shared" si="358"/>
        <v>0.87</v>
      </c>
      <c r="V193" s="14">
        <f t="shared" si="358"/>
        <v>0</v>
      </c>
      <c r="W193" s="14">
        <f t="shared" si="358"/>
        <v>0</v>
      </c>
      <c r="X193" s="14">
        <f t="shared" si="358"/>
        <v>0</v>
      </c>
      <c r="Y193" s="14">
        <f t="shared" si="358"/>
        <v>0</v>
      </c>
      <c r="Z193" s="14">
        <f t="shared" si="358"/>
        <v>0</v>
      </c>
      <c r="AA193" s="14">
        <f t="shared" si="358"/>
        <v>0</v>
      </c>
      <c r="AB193" s="14">
        <f t="shared" si="358"/>
        <v>0</v>
      </c>
      <c r="AC193" s="14">
        <f t="shared" si="358"/>
        <v>0</v>
      </c>
      <c r="AD193" s="14">
        <f t="shared" si="358"/>
        <v>0</v>
      </c>
      <c r="AE193" s="14">
        <f t="shared" si="358"/>
        <v>0</v>
      </c>
      <c r="AF193" s="14">
        <f t="shared" si="358"/>
        <v>0</v>
      </c>
      <c r="AG193" s="14">
        <f t="shared" si="358"/>
        <v>0</v>
      </c>
      <c r="AH193" s="14">
        <f t="shared" si="358"/>
        <v>0</v>
      </c>
      <c r="AI193" s="76">
        <f t="shared" si="337"/>
        <v>0</v>
      </c>
      <c r="AK193" s="2">
        <f t="shared" si="387"/>
        <v>0</v>
      </c>
      <c r="AL193" s="2">
        <f t="shared" si="359"/>
        <v>0</v>
      </c>
      <c r="AM193" s="2">
        <f t="shared" si="359"/>
        <v>0</v>
      </c>
      <c r="AN193" s="2">
        <f t="shared" si="359"/>
        <v>0</v>
      </c>
      <c r="AO193" s="2">
        <f t="shared" si="359"/>
        <v>0</v>
      </c>
      <c r="AP193" s="2"/>
      <c r="AQ193" s="61" t="str">
        <f t="shared" si="385"/>
        <v>E193*      "</v>
      </c>
      <c r="AS193" s="2">
        <f t="shared" si="360"/>
        <v>0</v>
      </c>
      <c r="AT193" s="2">
        <f t="shared" si="361"/>
        <v>0</v>
      </c>
      <c r="AU193" s="2">
        <f t="shared" si="361"/>
        <v>0</v>
      </c>
      <c r="AV193" s="2">
        <f t="shared" si="361"/>
        <v>0</v>
      </c>
      <c r="AW193" s="2">
        <f t="shared" si="361"/>
        <v>0</v>
      </c>
      <c r="AX193" s="2">
        <f t="shared" si="361"/>
        <v>0</v>
      </c>
      <c r="AY193" s="2">
        <f t="shared" si="361"/>
        <v>0</v>
      </c>
      <c r="BA193" s="2">
        <f t="shared" si="388"/>
        <v>0</v>
      </c>
      <c r="BB193" s="2">
        <f t="shared" si="362"/>
        <v>0</v>
      </c>
      <c r="BC193" s="2">
        <f t="shared" si="362"/>
        <v>0</v>
      </c>
      <c r="BD193" s="2">
        <f t="shared" si="362"/>
        <v>0</v>
      </c>
      <c r="BE193" s="2">
        <f t="shared" si="362"/>
        <v>0</v>
      </c>
      <c r="BF193" s="2">
        <f t="shared" si="362"/>
        <v>0</v>
      </c>
      <c r="BG193" s="2">
        <f t="shared" si="362"/>
        <v>0</v>
      </c>
      <c r="BI193" s="2">
        <f t="shared" si="363"/>
        <v>0</v>
      </c>
      <c r="BJ193" s="2">
        <f t="shared" si="364"/>
        <v>0</v>
      </c>
      <c r="BK193" s="2">
        <f t="shared" si="364"/>
        <v>0</v>
      </c>
      <c r="BL193" s="2">
        <f t="shared" si="364"/>
        <v>0</v>
      </c>
      <c r="BM193" s="2">
        <f t="shared" si="364"/>
        <v>0</v>
      </c>
      <c r="BN193" s="2">
        <f t="shared" si="364"/>
        <v>0</v>
      </c>
      <c r="BO193" s="2">
        <f t="shared" si="364"/>
        <v>0</v>
      </c>
      <c r="BQ193" s="28" t="s">
        <v>2</v>
      </c>
      <c r="BR193" s="23">
        <v>0</v>
      </c>
      <c r="BS193" s="14">
        <f t="shared" si="365"/>
        <v>0</v>
      </c>
      <c r="BT193" s="14">
        <f t="shared" si="366"/>
        <v>0</v>
      </c>
      <c r="BU193" s="14">
        <f t="shared" si="367"/>
        <v>0.13</v>
      </c>
      <c r="BV193" s="14">
        <f t="shared" si="368"/>
        <v>0.87</v>
      </c>
      <c r="BW193" s="14">
        <f t="shared" si="369"/>
        <v>0</v>
      </c>
      <c r="BX193" s="14">
        <f t="shared" si="370"/>
        <v>0</v>
      </c>
      <c r="BY193" s="14">
        <f t="shared" si="371"/>
        <v>0</v>
      </c>
      <c r="BZ193" s="14">
        <f t="shared" si="372"/>
        <v>0</v>
      </c>
      <c r="CA193" s="14">
        <f t="shared" si="373"/>
        <v>0</v>
      </c>
      <c r="CB193" s="14">
        <f t="shared" si="374"/>
        <v>0</v>
      </c>
      <c r="CC193" s="14">
        <f t="shared" si="375"/>
        <v>0</v>
      </c>
      <c r="CD193" s="14">
        <f t="shared" si="376"/>
        <v>0</v>
      </c>
      <c r="CE193" s="14">
        <f t="shared" si="377"/>
        <v>0</v>
      </c>
      <c r="CF193" s="14">
        <f t="shared" si="378"/>
        <v>0</v>
      </c>
      <c r="CG193" s="14">
        <f t="shared" si="379"/>
        <v>0</v>
      </c>
      <c r="CH193" s="14">
        <f t="shared" si="380"/>
        <v>0</v>
      </c>
      <c r="CI193" s="14">
        <f t="shared" si="381"/>
        <v>0</v>
      </c>
      <c r="CJ193" s="14"/>
      <c r="CK193" s="112" t="str">
        <f t="shared" si="382"/>
        <v>as UG Storage Plant (24)</v>
      </c>
      <c r="CL193" s="76">
        <f t="shared" si="346"/>
        <v>0</v>
      </c>
      <c r="CM193" s="2">
        <f t="shared" si="383"/>
        <v>0</v>
      </c>
      <c r="CN193" s="2">
        <f t="shared" si="383"/>
        <v>0</v>
      </c>
      <c r="CO193" s="2">
        <f t="shared" si="383"/>
        <v>0</v>
      </c>
      <c r="CP193" s="2">
        <f t="shared" si="383"/>
        <v>0</v>
      </c>
      <c r="CQ193" s="2">
        <f t="shared" si="383"/>
        <v>0</v>
      </c>
      <c r="CR193" s="2">
        <f t="shared" si="383"/>
        <v>0</v>
      </c>
    </row>
    <row r="194" spans="1:96">
      <c r="A194" s="50">
        <f t="shared" si="294"/>
        <v>194</v>
      </c>
      <c r="D194" s="52" t="s">
        <v>288</v>
      </c>
      <c r="E194" s="3">
        <f>SUM(E182:E193)</f>
        <v>571000</v>
      </c>
      <c r="F194" s="62"/>
      <c r="G194" s="62"/>
      <c r="H194" s="3">
        <f>IF(ROUND(SUM(H183:H193),3)&lt;&gt;ROUND(SUM(I194:N194),3),#VALUE!,SUM(H183:H193))</f>
        <v>571000</v>
      </c>
      <c r="I194" s="3">
        <f t="shared" ref="I194:N194" si="389">SUM(I183:I193)</f>
        <v>407660.90722026321</v>
      </c>
      <c r="J194" s="3">
        <f t="shared" si="389"/>
        <v>152029.13126136959</v>
      </c>
      <c r="K194" s="3">
        <f t="shared" si="389"/>
        <v>0</v>
      </c>
      <c r="L194" s="3">
        <f t="shared" si="389"/>
        <v>4139.7499357559736</v>
      </c>
      <c r="M194" s="3">
        <f t="shared" si="389"/>
        <v>7170.2115826112549</v>
      </c>
      <c r="N194" s="3">
        <f t="shared" si="389"/>
        <v>0</v>
      </c>
      <c r="O194" s="5"/>
      <c r="P194" s="61" t="str">
        <f>$A183&amp;":"&amp;$A193</f>
        <v>183:193</v>
      </c>
      <c r="Q194" s="61"/>
      <c r="R194" s="22">
        <f t="shared" ref="R194:AH194" si="390">SUMPRODUCT($E$183:$E$193,R$183:R$193)/$E194</f>
        <v>0</v>
      </c>
      <c r="S194" s="22">
        <f t="shared" si="390"/>
        <v>0</v>
      </c>
      <c r="T194" s="22">
        <f t="shared" si="390"/>
        <v>0.13</v>
      </c>
      <c r="U194" s="22">
        <f t="shared" si="390"/>
        <v>0.87</v>
      </c>
      <c r="V194" s="22">
        <f t="shared" si="390"/>
        <v>0</v>
      </c>
      <c r="W194" s="22">
        <f t="shared" si="390"/>
        <v>0</v>
      </c>
      <c r="X194" s="22">
        <f t="shared" si="390"/>
        <v>0</v>
      </c>
      <c r="Y194" s="22">
        <f t="shared" si="390"/>
        <v>0</v>
      </c>
      <c r="Z194" s="22">
        <f t="shared" si="390"/>
        <v>0</v>
      </c>
      <c r="AA194" s="22">
        <f t="shared" si="390"/>
        <v>0</v>
      </c>
      <c r="AB194" s="22">
        <f t="shared" si="390"/>
        <v>0</v>
      </c>
      <c r="AC194" s="22">
        <f t="shared" si="390"/>
        <v>0</v>
      </c>
      <c r="AD194" s="22">
        <f t="shared" si="390"/>
        <v>0</v>
      </c>
      <c r="AE194" s="22">
        <f t="shared" si="390"/>
        <v>0</v>
      </c>
      <c r="AF194" s="22">
        <f t="shared" si="390"/>
        <v>0</v>
      </c>
      <c r="AG194" s="22">
        <f t="shared" si="390"/>
        <v>0</v>
      </c>
      <c r="AH194" s="22">
        <f t="shared" si="390"/>
        <v>0</v>
      </c>
      <c r="AI194" s="76">
        <f t="shared" si="337"/>
        <v>0</v>
      </c>
      <c r="AK194" s="3">
        <f>IF(ROUND(SUM(AK183:AK193),3)&lt;&gt;ROUND(SUM(AL194:AO194),3),#VALUE!,SUM(AK183:AK193))</f>
        <v>571000</v>
      </c>
      <c r="AL194" s="3">
        <f>SUM(AL183:AL193)</f>
        <v>571000</v>
      </c>
      <c r="AM194" s="3">
        <f>SUM(AM183:AM193)</f>
        <v>0</v>
      </c>
      <c r="AN194" s="3">
        <f>SUM(AN183:AN193)</f>
        <v>0</v>
      </c>
      <c r="AO194" s="3">
        <f>SUM(AO183:AO193)</f>
        <v>0</v>
      </c>
      <c r="AP194" s="5"/>
      <c r="AQ194" s="61" t="str">
        <f>$A183&amp;":"&amp;$A193</f>
        <v>183:193</v>
      </c>
      <c r="AS194" s="3">
        <f>IF(ROUND(SUM(AS183:AS193),3)&lt;&gt;ROUND(SUM(AT194:AY194),3),#VALUE!,SUM(AS183:AS193))</f>
        <v>571000</v>
      </c>
      <c r="AT194" s="3">
        <f t="shared" ref="AT194:AY194" si="391">SUM(AT183:AT193)</f>
        <v>407660.90722026321</v>
      </c>
      <c r="AU194" s="3">
        <f t="shared" si="391"/>
        <v>152029.13126136959</v>
      </c>
      <c r="AV194" s="3">
        <f t="shared" si="391"/>
        <v>0</v>
      </c>
      <c r="AW194" s="3">
        <f t="shared" si="391"/>
        <v>4139.7499357559736</v>
      </c>
      <c r="AX194" s="3">
        <f t="shared" si="391"/>
        <v>7170.2115826112549</v>
      </c>
      <c r="AY194" s="3">
        <f t="shared" si="391"/>
        <v>0</v>
      </c>
      <c r="BA194" s="3">
        <f>IF(ROUND(SUM(BA183:BA193),3)&lt;&gt;ROUND(SUM(BB194:BG194),3),#VALUE!,SUM(BA183:BA193))</f>
        <v>0</v>
      </c>
      <c r="BB194" s="3">
        <f t="shared" ref="BB194:BG194" si="392">SUM(BB183:BB193)</f>
        <v>0</v>
      </c>
      <c r="BC194" s="3">
        <f t="shared" si="392"/>
        <v>0</v>
      </c>
      <c r="BD194" s="3">
        <f t="shared" si="392"/>
        <v>0</v>
      </c>
      <c r="BE194" s="3">
        <f t="shared" si="392"/>
        <v>0</v>
      </c>
      <c r="BF194" s="3">
        <f t="shared" si="392"/>
        <v>0</v>
      </c>
      <c r="BG194" s="3">
        <f t="shared" si="392"/>
        <v>0</v>
      </c>
      <c r="BI194" s="3">
        <f>IF(ROUND(SUM(BI183:BI193),3)&lt;&gt;ROUND(SUM(BJ194:BO194),3),#VALUE!,SUM(BI183:BI193))</f>
        <v>0</v>
      </c>
      <c r="BJ194" s="3">
        <f t="shared" ref="BJ194:BO194" si="393">SUM(BJ183:BJ193)</f>
        <v>0</v>
      </c>
      <c r="BK194" s="3">
        <f t="shared" si="393"/>
        <v>0</v>
      </c>
      <c r="BL194" s="3">
        <f t="shared" si="393"/>
        <v>0</v>
      </c>
      <c r="BM194" s="3">
        <f t="shared" si="393"/>
        <v>0</v>
      </c>
      <c r="BN194" s="3">
        <f t="shared" si="393"/>
        <v>0</v>
      </c>
      <c r="BO194" s="3">
        <f t="shared" si="393"/>
        <v>0</v>
      </c>
      <c r="BQ194" s="52" t="s">
        <v>288</v>
      </c>
      <c r="BR194" s="686">
        <f>IF(ROUND(SUM(BR183:BR193),3)&lt;&gt;ROUND(SUM(CM194:CR194),3),#VALUE!,SUM(BR183:BR193))</f>
        <v>0.01</v>
      </c>
      <c r="BS194" s="22">
        <f>SUMPRODUCT($BR$183:$BR$193,BS$183:BS$193)/$BR$194</f>
        <v>0</v>
      </c>
      <c r="BT194" s="22">
        <f t="shared" ref="BT194:CI194" si="394">SUMPRODUCT($BR$183:$BR$193,BT$183:BT$193)/$BR$194</f>
        <v>0</v>
      </c>
      <c r="BU194" s="22">
        <f t="shared" si="394"/>
        <v>0.13</v>
      </c>
      <c r="BV194" s="22">
        <f t="shared" si="394"/>
        <v>0.86999999999999988</v>
      </c>
      <c r="BW194" s="22">
        <f t="shared" si="394"/>
        <v>0</v>
      </c>
      <c r="BX194" s="22">
        <f t="shared" si="394"/>
        <v>0</v>
      </c>
      <c r="BY194" s="22">
        <f t="shared" si="394"/>
        <v>0</v>
      </c>
      <c r="BZ194" s="22">
        <f t="shared" si="394"/>
        <v>0</v>
      </c>
      <c r="CA194" s="22">
        <f t="shared" si="394"/>
        <v>0</v>
      </c>
      <c r="CB194" s="22">
        <f t="shared" si="394"/>
        <v>0</v>
      </c>
      <c r="CC194" s="22">
        <f t="shared" si="394"/>
        <v>0</v>
      </c>
      <c r="CD194" s="22">
        <f t="shared" si="394"/>
        <v>0</v>
      </c>
      <c r="CE194" s="22">
        <f t="shared" si="394"/>
        <v>0</v>
      </c>
      <c r="CF194" s="22">
        <f t="shared" si="394"/>
        <v>0</v>
      </c>
      <c r="CG194" s="22">
        <f t="shared" si="394"/>
        <v>0</v>
      </c>
      <c r="CH194" s="22">
        <f t="shared" si="394"/>
        <v>0</v>
      </c>
      <c r="CI194" s="22">
        <f t="shared" si="394"/>
        <v>0</v>
      </c>
      <c r="CJ194" s="42"/>
      <c r="CK194" s="42"/>
      <c r="CL194" s="76">
        <f t="shared" si="346"/>
        <v>0</v>
      </c>
      <c r="CM194" s="3">
        <f t="shared" ref="CM194:CR194" si="395">SUM(CM183:CM193)</f>
        <v>7.1394204416858707E-3</v>
      </c>
      <c r="CN194" s="3">
        <f t="shared" si="395"/>
        <v>2.6625066770817789E-3</v>
      </c>
      <c r="CO194" s="3">
        <f t="shared" si="395"/>
        <v>0</v>
      </c>
      <c r="CP194" s="3">
        <f t="shared" si="395"/>
        <v>7.2499998874885703E-5</v>
      </c>
      <c r="CQ194" s="3">
        <f t="shared" si="395"/>
        <v>1.2557288235746504E-4</v>
      </c>
      <c r="CR194" s="3">
        <f t="shared" si="395"/>
        <v>0</v>
      </c>
    </row>
    <row r="195" spans="1:96">
      <c r="A195" s="50">
        <f t="shared" si="294"/>
        <v>195</v>
      </c>
      <c r="B195" t="s">
        <v>309</v>
      </c>
      <c r="C195" s="36" t="s">
        <v>394</v>
      </c>
      <c r="D195" s="28" t="s">
        <v>1</v>
      </c>
      <c r="E195" s="373">
        <f>PROFORMA!AY47</f>
        <v>0</v>
      </c>
      <c r="F195" s="60" t="str">
        <f t="shared" si="384"/>
        <v>as UG Storage Plant (24)</v>
      </c>
      <c r="G195" s="60"/>
      <c r="H195" s="2">
        <f t="shared" ref="H195:H202" si="396">SUM(I195:N195)</f>
        <v>0</v>
      </c>
      <c r="I195" s="2">
        <f t="shared" ref="I195:N202" si="397">$E195*SUMPRODUCT($R195:$AH195,INDEX(AllocFactors,I$4,0))</f>
        <v>0</v>
      </c>
      <c r="J195" s="2">
        <f t="shared" si="397"/>
        <v>0</v>
      </c>
      <c r="K195" s="2">
        <f t="shared" si="397"/>
        <v>0</v>
      </c>
      <c r="L195" s="2">
        <f t="shared" si="397"/>
        <v>0</v>
      </c>
      <c r="M195" s="2">
        <f t="shared" si="397"/>
        <v>0</v>
      </c>
      <c r="N195" s="2">
        <f t="shared" si="397"/>
        <v>0</v>
      </c>
      <c r="O195" s="2"/>
      <c r="P195" s="61" t="str">
        <f>E$1&amp;$A195&amp;"* Sum["&amp;$R$1&amp;$A195&amp;":"&amp;$AH$1&amp;$A195&amp;"* "&amp;Factors!D$1&amp;Factors!$A$58&amp;":"&amp;Factors!S$1&amp;Factors!$A$64&amp;"]"</f>
        <v>E195* Sum[R195:AH195* D1042:S1048]</v>
      </c>
      <c r="Q195" s="61"/>
      <c r="R195" s="14">
        <f>R$24</f>
        <v>0</v>
      </c>
      <c r="S195" s="14">
        <f t="shared" si="358"/>
        <v>0</v>
      </c>
      <c r="T195" s="14">
        <f t="shared" si="358"/>
        <v>0.13</v>
      </c>
      <c r="U195" s="14">
        <f t="shared" si="358"/>
        <v>0.87</v>
      </c>
      <c r="V195" s="14">
        <f t="shared" si="358"/>
        <v>0</v>
      </c>
      <c r="W195" s="14">
        <f t="shared" si="358"/>
        <v>0</v>
      </c>
      <c r="X195" s="14">
        <f t="shared" si="358"/>
        <v>0</v>
      </c>
      <c r="Y195" s="14">
        <f t="shared" si="358"/>
        <v>0</v>
      </c>
      <c r="Z195" s="14">
        <f t="shared" si="358"/>
        <v>0</v>
      </c>
      <c r="AA195" s="14">
        <f t="shared" si="358"/>
        <v>0</v>
      </c>
      <c r="AB195" s="14">
        <f t="shared" si="358"/>
        <v>0</v>
      </c>
      <c r="AC195" s="14">
        <f t="shared" si="358"/>
        <v>0</v>
      </c>
      <c r="AD195" s="14">
        <f t="shared" si="358"/>
        <v>0</v>
      </c>
      <c r="AE195" s="14">
        <f t="shared" si="358"/>
        <v>0</v>
      </c>
      <c r="AF195" s="14">
        <f t="shared" si="358"/>
        <v>0</v>
      </c>
      <c r="AG195" s="14">
        <f t="shared" si="358"/>
        <v>0</v>
      </c>
      <c r="AH195" s="14">
        <f t="shared" si="358"/>
        <v>0</v>
      </c>
      <c r="AI195" s="76">
        <f t="shared" si="337"/>
        <v>0</v>
      </c>
      <c r="AK195" s="2">
        <f>SUM(AL195:AO195)</f>
        <v>0</v>
      </c>
      <c r="AL195" s="2">
        <f t="shared" ref="AL195:AO202" si="398">SUMIF($R$4:$AH$4,AL$5,$R195:$AH195)*$E195</f>
        <v>0</v>
      </c>
      <c r="AM195" s="2">
        <f t="shared" si="398"/>
        <v>0</v>
      </c>
      <c r="AN195" s="2">
        <f t="shared" si="398"/>
        <v>0</v>
      </c>
      <c r="AO195" s="2">
        <f t="shared" si="398"/>
        <v>0</v>
      </c>
      <c r="AP195" s="2"/>
      <c r="AQ195" s="61" t="str">
        <f>E$1&amp;$A195&amp;"*["&amp;R$1&amp;$A195&amp;":"&amp;$AH$1&amp;$A195&amp;" when "&amp;R$1&amp;$A$4&amp;":"&amp;$AH$1&amp;$A$4&amp;" = E,D,C,or R]"</f>
        <v>E195*[R195:AH195 when R4:AH4 = E,D,C,or R]</v>
      </c>
      <c r="AS195" s="2">
        <f>SUM(AT195:AY195)</f>
        <v>0</v>
      </c>
      <c r="AT195" s="2">
        <f t="shared" ref="AT195:AY202" si="399">$E195*SUMPRODUCT($R195:$V195,INDEX(AllocFactors_E,AT$4,0))</f>
        <v>0</v>
      </c>
      <c r="AU195" s="2">
        <f t="shared" si="399"/>
        <v>0</v>
      </c>
      <c r="AV195" s="2">
        <f t="shared" si="399"/>
        <v>0</v>
      </c>
      <c r="AW195" s="2">
        <f t="shared" si="399"/>
        <v>0</v>
      </c>
      <c r="AX195" s="2">
        <f t="shared" si="399"/>
        <v>0</v>
      </c>
      <c r="AY195" s="2">
        <f t="shared" si="399"/>
        <v>0</v>
      </c>
      <c r="BA195" s="2">
        <f>SUM(BB195:BG195)</f>
        <v>0</v>
      </c>
      <c r="BB195" s="2">
        <f t="shared" ref="BB195:BG202" si="400">$E195*SUMPRODUCT($W195:$AA195,INDEX(AllocFactors_D,BB$4,0))</f>
        <v>0</v>
      </c>
      <c r="BC195" s="2">
        <f t="shared" si="400"/>
        <v>0</v>
      </c>
      <c r="BD195" s="2">
        <f t="shared" si="400"/>
        <v>0</v>
      </c>
      <c r="BE195" s="2">
        <f t="shared" si="400"/>
        <v>0</v>
      </c>
      <c r="BF195" s="2">
        <f t="shared" si="400"/>
        <v>0</v>
      </c>
      <c r="BG195" s="2">
        <f t="shared" si="400"/>
        <v>0</v>
      </c>
      <c r="BI195" s="2">
        <f t="shared" ref="BI195:BI202" si="401">SUM(BJ195:BO195)</f>
        <v>0</v>
      </c>
      <c r="BJ195" s="2">
        <f t="shared" ref="BJ195:BO202" si="402">$E195*SUMPRODUCT($AB195:$AG195,INDEX(AllocFactors_C,BJ$4,0))</f>
        <v>0</v>
      </c>
      <c r="BK195" s="2">
        <f t="shared" si="402"/>
        <v>0</v>
      </c>
      <c r="BL195" s="2">
        <f t="shared" si="402"/>
        <v>0</v>
      </c>
      <c r="BM195" s="2">
        <f t="shared" si="402"/>
        <v>0</v>
      </c>
      <c r="BN195" s="2">
        <f t="shared" si="402"/>
        <v>0</v>
      </c>
      <c r="BO195" s="2">
        <f t="shared" si="402"/>
        <v>0</v>
      </c>
      <c r="BQ195" s="28" t="s">
        <v>1</v>
      </c>
      <c r="BR195" s="23">
        <v>0</v>
      </c>
      <c r="BS195" s="14">
        <f t="shared" ref="BS195:BU202" si="403">R195</f>
        <v>0</v>
      </c>
      <c r="BT195" s="14">
        <f t="shared" si="403"/>
        <v>0</v>
      </c>
      <c r="BU195" s="14">
        <f t="shared" si="403"/>
        <v>0.13</v>
      </c>
      <c r="BV195" s="14">
        <f t="shared" ref="BV195:BV202" si="404">U195</f>
        <v>0.87</v>
      </c>
      <c r="BW195" s="14">
        <f t="shared" ref="BW195:BW202" si="405">V195</f>
        <v>0</v>
      </c>
      <c r="BX195" s="14">
        <f t="shared" ref="BX195:BX202" si="406">W195</f>
        <v>0</v>
      </c>
      <c r="BY195" s="14">
        <f t="shared" ref="BY195:BY202" si="407">X195</f>
        <v>0</v>
      </c>
      <c r="BZ195" s="14">
        <f t="shared" ref="BZ195:BZ202" si="408">Y195</f>
        <v>0</v>
      </c>
      <c r="CA195" s="14">
        <f t="shared" ref="CA195:CA202" si="409">Z195</f>
        <v>0</v>
      </c>
      <c r="CB195" s="14">
        <f t="shared" ref="CB195:CB202" si="410">AA195</f>
        <v>0</v>
      </c>
      <c r="CC195" s="14">
        <f t="shared" ref="CC195:CC202" si="411">AB195</f>
        <v>0</v>
      </c>
      <c r="CD195" s="14">
        <f t="shared" ref="CD195:CD202" si="412">AC195</f>
        <v>0</v>
      </c>
      <c r="CE195" s="14">
        <f t="shared" ref="CE195:CE202" si="413">AD195</f>
        <v>0</v>
      </c>
      <c r="CF195" s="14">
        <f t="shared" ref="CF195:CF202" si="414">AE195</f>
        <v>0</v>
      </c>
      <c r="CG195" s="14">
        <f t="shared" ref="CG195:CG202" si="415">AF195</f>
        <v>0</v>
      </c>
      <c r="CH195" s="14">
        <f t="shared" ref="CH195:CH202" si="416">AG195</f>
        <v>0</v>
      </c>
      <c r="CI195" s="14">
        <f t="shared" ref="CI195:CI202" si="417">AH195</f>
        <v>0</v>
      </c>
      <c r="CJ195" s="14"/>
      <c r="CK195" s="112" t="str">
        <f t="shared" ref="CK195:CK202" si="418">F195</f>
        <v>as UG Storage Plant (24)</v>
      </c>
      <c r="CL195" s="76">
        <f t="shared" si="346"/>
        <v>0</v>
      </c>
      <c r="CM195" s="2">
        <f t="shared" ref="CM195:CR202" si="419">$BR195*SUMPRODUCT($BS195:$CI195,INDEX(AllocFactors,CM$172,0))</f>
        <v>0</v>
      </c>
      <c r="CN195" s="2">
        <f t="shared" si="419"/>
        <v>0</v>
      </c>
      <c r="CO195" s="2">
        <f t="shared" si="419"/>
        <v>0</v>
      </c>
      <c r="CP195" s="2">
        <f t="shared" si="419"/>
        <v>0</v>
      </c>
      <c r="CQ195" s="2">
        <f t="shared" si="419"/>
        <v>0</v>
      </c>
      <c r="CR195" s="2">
        <f t="shared" si="419"/>
        <v>0</v>
      </c>
    </row>
    <row r="196" spans="1:96">
      <c r="A196" s="50">
        <f t="shared" si="294"/>
        <v>196</v>
      </c>
      <c r="B196" t="s">
        <v>310</v>
      </c>
      <c r="C196" s="36" t="s">
        <v>394</v>
      </c>
      <c r="D196" s="28" t="s">
        <v>289</v>
      </c>
      <c r="E196" s="373">
        <f>PROFORMA!AY48</f>
        <v>0</v>
      </c>
      <c r="F196" s="60" t="str">
        <f t="shared" si="384"/>
        <v>as UG Storage Plant (24)</v>
      </c>
      <c r="G196" s="60"/>
      <c r="H196" s="2">
        <f t="shared" si="396"/>
        <v>0</v>
      </c>
      <c r="I196" s="2">
        <f t="shared" si="397"/>
        <v>0</v>
      </c>
      <c r="J196" s="2">
        <f t="shared" si="397"/>
        <v>0</v>
      </c>
      <c r="K196" s="2">
        <f t="shared" si="397"/>
        <v>0</v>
      </c>
      <c r="L196" s="2">
        <f t="shared" si="397"/>
        <v>0</v>
      </c>
      <c r="M196" s="2">
        <f t="shared" si="397"/>
        <v>0</v>
      </c>
      <c r="N196" s="2">
        <f t="shared" si="397"/>
        <v>0</v>
      </c>
      <c r="O196" s="2"/>
      <c r="P196" s="61"/>
      <c r="Q196" s="61"/>
      <c r="R196" s="14">
        <f>R$24</f>
        <v>0</v>
      </c>
      <c r="S196" s="14">
        <f t="shared" si="358"/>
        <v>0</v>
      </c>
      <c r="T196" s="14">
        <f t="shared" si="358"/>
        <v>0.13</v>
      </c>
      <c r="U196" s="14">
        <f t="shared" si="358"/>
        <v>0.87</v>
      </c>
      <c r="V196" s="14">
        <f t="shared" si="358"/>
        <v>0</v>
      </c>
      <c r="W196" s="14">
        <f t="shared" si="358"/>
        <v>0</v>
      </c>
      <c r="X196" s="14">
        <f t="shared" si="358"/>
        <v>0</v>
      </c>
      <c r="Y196" s="14">
        <f t="shared" si="358"/>
        <v>0</v>
      </c>
      <c r="Z196" s="14">
        <f t="shared" si="358"/>
        <v>0</v>
      </c>
      <c r="AA196" s="14">
        <f t="shared" si="358"/>
        <v>0</v>
      </c>
      <c r="AB196" s="14">
        <f t="shared" si="358"/>
        <v>0</v>
      </c>
      <c r="AC196" s="14">
        <f t="shared" si="358"/>
        <v>0</v>
      </c>
      <c r="AD196" s="14">
        <f t="shared" si="358"/>
        <v>0</v>
      </c>
      <c r="AE196" s="14">
        <f t="shared" si="358"/>
        <v>0</v>
      </c>
      <c r="AF196" s="14">
        <f t="shared" si="358"/>
        <v>0</v>
      </c>
      <c r="AG196" s="14">
        <f t="shared" si="358"/>
        <v>0</v>
      </c>
      <c r="AH196" s="14">
        <f t="shared" si="358"/>
        <v>0</v>
      </c>
      <c r="AI196" s="76">
        <f t="shared" si="337"/>
        <v>0</v>
      </c>
      <c r="AK196" s="2">
        <f t="shared" ref="AK196:AK202" si="420">SUM(AL196:AO196)</f>
        <v>0</v>
      </c>
      <c r="AL196" s="2">
        <f t="shared" si="398"/>
        <v>0</v>
      </c>
      <c r="AM196" s="2">
        <f t="shared" si="398"/>
        <v>0</v>
      </c>
      <c r="AN196" s="2">
        <f t="shared" si="398"/>
        <v>0</v>
      </c>
      <c r="AO196" s="2">
        <f t="shared" si="398"/>
        <v>0</v>
      </c>
      <c r="AP196" s="2"/>
      <c r="AQ196" s="61" t="str">
        <f t="shared" ref="AQ196:AQ202" si="421">E$1&amp;$A196&amp;"*      """</f>
        <v>E196*      "</v>
      </c>
      <c r="AS196" s="2">
        <f t="shared" ref="AS196:AS202" si="422">SUM(AT196:AY196)</f>
        <v>0</v>
      </c>
      <c r="AT196" s="2">
        <f t="shared" si="399"/>
        <v>0</v>
      </c>
      <c r="AU196" s="2">
        <f t="shared" si="399"/>
        <v>0</v>
      </c>
      <c r="AV196" s="2">
        <f t="shared" si="399"/>
        <v>0</v>
      </c>
      <c r="AW196" s="2">
        <f t="shared" si="399"/>
        <v>0</v>
      </c>
      <c r="AX196" s="2">
        <f t="shared" si="399"/>
        <v>0</v>
      </c>
      <c r="AY196" s="2">
        <f t="shared" si="399"/>
        <v>0</v>
      </c>
      <c r="BA196" s="2">
        <f t="shared" ref="BA196:BA202" si="423">SUM(BB196:BG196)</f>
        <v>0</v>
      </c>
      <c r="BB196" s="2">
        <f t="shared" si="400"/>
        <v>0</v>
      </c>
      <c r="BC196" s="2">
        <f t="shared" si="400"/>
        <v>0</v>
      </c>
      <c r="BD196" s="2">
        <f t="shared" si="400"/>
        <v>0</v>
      </c>
      <c r="BE196" s="2">
        <f t="shared" si="400"/>
        <v>0</v>
      </c>
      <c r="BF196" s="2">
        <f t="shared" si="400"/>
        <v>0</v>
      </c>
      <c r="BG196" s="2">
        <f t="shared" si="400"/>
        <v>0</v>
      </c>
      <c r="BI196" s="2">
        <f t="shared" si="401"/>
        <v>0</v>
      </c>
      <c r="BJ196" s="2">
        <f t="shared" si="402"/>
        <v>0</v>
      </c>
      <c r="BK196" s="2">
        <f t="shared" si="402"/>
        <v>0</v>
      </c>
      <c r="BL196" s="2">
        <f t="shared" si="402"/>
        <v>0</v>
      </c>
      <c r="BM196" s="2">
        <f t="shared" si="402"/>
        <v>0</v>
      </c>
      <c r="BN196" s="2">
        <f t="shared" si="402"/>
        <v>0</v>
      </c>
      <c r="BO196" s="2">
        <f t="shared" si="402"/>
        <v>0</v>
      </c>
      <c r="BQ196" s="28" t="s">
        <v>289</v>
      </c>
      <c r="BR196" s="23">
        <v>0</v>
      </c>
      <c r="BS196" s="14">
        <f t="shared" si="403"/>
        <v>0</v>
      </c>
      <c r="BT196" s="14">
        <f t="shared" si="403"/>
        <v>0</v>
      </c>
      <c r="BU196" s="14">
        <f t="shared" si="403"/>
        <v>0.13</v>
      </c>
      <c r="BV196" s="14">
        <f t="shared" si="404"/>
        <v>0.87</v>
      </c>
      <c r="BW196" s="14">
        <f t="shared" si="405"/>
        <v>0</v>
      </c>
      <c r="BX196" s="14">
        <f t="shared" si="406"/>
        <v>0</v>
      </c>
      <c r="BY196" s="14">
        <f t="shared" si="407"/>
        <v>0</v>
      </c>
      <c r="BZ196" s="14">
        <f t="shared" si="408"/>
        <v>0</v>
      </c>
      <c r="CA196" s="14">
        <f t="shared" si="409"/>
        <v>0</v>
      </c>
      <c r="CB196" s="14">
        <f t="shared" si="410"/>
        <v>0</v>
      </c>
      <c r="CC196" s="14">
        <f t="shared" si="411"/>
        <v>0</v>
      </c>
      <c r="CD196" s="14">
        <f t="shared" si="412"/>
        <v>0</v>
      </c>
      <c r="CE196" s="14">
        <f t="shared" si="413"/>
        <v>0</v>
      </c>
      <c r="CF196" s="14">
        <f t="shared" si="414"/>
        <v>0</v>
      </c>
      <c r="CG196" s="14">
        <f t="shared" si="415"/>
        <v>0</v>
      </c>
      <c r="CH196" s="14">
        <f t="shared" si="416"/>
        <v>0</v>
      </c>
      <c r="CI196" s="14">
        <f t="shared" si="417"/>
        <v>0</v>
      </c>
      <c r="CJ196" s="14"/>
      <c r="CK196" s="112" t="str">
        <f t="shared" si="418"/>
        <v>as UG Storage Plant (24)</v>
      </c>
      <c r="CL196" s="76">
        <f t="shared" si="346"/>
        <v>0</v>
      </c>
      <c r="CM196" s="2">
        <f t="shared" si="419"/>
        <v>0</v>
      </c>
      <c r="CN196" s="2">
        <f t="shared" si="419"/>
        <v>0</v>
      </c>
      <c r="CO196" s="2">
        <f t="shared" si="419"/>
        <v>0</v>
      </c>
      <c r="CP196" s="2">
        <f t="shared" si="419"/>
        <v>0</v>
      </c>
      <c r="CQ196" s="2">
        <f t="shared" si="419"/>
        <v>0</v>
      </c>
      <c r="CR196" s="2">
        <f t="shared" si="419"/>
        <v>0</v>
      </c>
    </row>
    <row r="197" spans="1:96">
      <c r="A197" s="50">
        <f t="shared" si="294"/>
        <v>197</v>
      </c>
      <c r="B197" t="s">
        <v>311</v>
      </c>
      <c r="C197" s="36" t="s">
        <v>394</v>
      </c>
      <c r="D197" s="28" t="s">
        <v>290</v>
      </c>
      <c r="E197" s="373">
        <f>PROFORMA!AY49</f>
        <v>0</v>
      </c>
      <c r="F197" s="60" t="str">
        <f t="shared" si="384"/>
        <v>as UG Storage Plant (24)</v>
      </c>
      <c r="G197" s="60"/>
      <c r="H197" s="2">
        <f t="shared" si="396"/>
        <v>0</v>
      </c>
      <c r="I197" s="2">
        <f t="shared" si="397"/>
        <v>0</v>
      </c>
      <c r="J197" s="2">
        <f t="shared" si="397"/>
        <v>0</v>
      </c>
      <c r="K197" s="2">
        <f t="shared" si="397"/>
        <v>0</v>
      </c>
      <c r="L197" s="2">
        <f t="shared" si="397"/>
        <v>0</v>
      </c>
      <c r="M197" s="2">
        <f t="shared" si="397"/>
        <v>0</v>
      </c>
      <c r="N197" s="2">
        <f t="shared" si="397"/>
        <v>0</v>
      </c>
      <c r="O197" s="2"/>
      <c r="P197" s="61"/>
      <c r="Q197" s="61"/>
      <c r="R197" s="14">
        <f>R$24</f>
        <v>0</v>
      </c>
      <c r="S197" s="14">
        <f t="shared" si="358"/>
        <v>0</v>
      </c>
      <c r="T197" s="14">
        <f t="shared" si="358"/>
        <v>0.13</v>
      </c>
      <c r="U197" s="14">
        <f t="shared" si="358"/>
        <v>0.87</v>
      </c>
      <c r="V197" s="14">
        <f t="shared" si="358"/>
        <v>0</v>
      </c>
      <c r="W197" s="14">
        <f t="shared" si="358"/>
        <v>0</v>
      </c>
      <c r="X197" s="14">
        <f t="shared" si="358"/>
        <v>0</v>
      </c>
      <c r="Y197" s="14">
        <f t="shared" si="358"/>
        <v>0</v>
      </c>
      <c r="Z197" s="14">
        <f t="shared" si="358"/>
        <v>0</v>
      </c>
      <c r="AA197" s="14">
        <f t="shared" si="358"/>
        <v>0</v>
      </c>
      <c r="AB197" s="14">
        <f t="shared" si="358"/>
        <v>0</v>
      </c>
      <c r="AC197" s="14">
        <f t="shared" si="358"/>
        <v>0</v>
      </c>
      <c r="AD197" s="14">
        <f t="shared" si="358"/>
        <v>0</v>
      </c>
      <c r="AE197" s="14">
        <f t="shared" si="358"/>
        <v>0</v>
      </c>
      <c r="AF197" s="14">
        <f t="shared" si="358"/>
        <v>0</v>
      </c>
      <c r="AG197" s="14">
        <f t="shared" si="358"/>
        <v>0</v>
      </c>
      <c r="AH197" s="14">
        <f t="shared" si="358"/>
        <v>0</v>
      </c>
      <c r="AI197" s="76">
        <f t="shared" si="337"/>
        <v>0</v>
      </c>
      <c r="AK197" s="2">
        <f t="shared" si="420"/>
        <v>0</v>
      </c>
      <c r="AL197" s="2">
        <f t="shared" si="398"/>
        <v>0</v>
      </c>
      <c r="AM197" s="2">
        <f t="shared" si="398"/>
        <v>0</v>
      </c>
      <c r="AN197" s="2">
        <f t="shared" si="398"/>
        <v>0</v>
      </c>
      <c r="AO197" s="2">
        <f t="shared" si="398"/>
        <v>0</v>
      </c>
      <c r="AP197" s="2"/>
      <c r="AQ197" s="61" t="str">
        <f t="shared" si="421"/>
        <v>E197*      "</v>
      </c>
      <c r="AS197" s="2">
        <f t="shared" si="422"/>
        <v>0</v>
      </c>
      <c r="AT197" s="2">
        <f t="shared" si="399"/>
        <v>0</v>
      </c>
      <c r="AU197" s="2">
        <f t="shared" si="399"/>
        <v>0</v>
      </c>
      <c r="AV197" s="2">
        <f t="shared" si="399"/>
        <v>0</v>
      </c>
      <c r="AW197" s="2">
        <f t="shared" si="399"/>
        <v>0</v>
      </c>
      <c r="AX197" s="2">
        <f t="shared" si="399"/>
        <v>0</v>
      </c>
      <c r="AY197" s="2">
        <f t="shared" si="399"/>
        <v>0</v>
      </c>
      <c r="BA197" s="2">
        <f t="shared" si="423"/>
        <v>0</v>
      </c>
      <c r="BB197" s="2">
        <f t="shared" si="400"/>
        <v>0</v>
      </c>
      <c r="BC197" s="2">
        <f t="shared" si="400"/>
        <v>0</v>
      </c>
      <c r="BD197" s="2">
        <f t="shared" si="400"/>
        <v>0</v>
      </c>
      <c r="BE197" s="2">
        <f t="shared" si="400"/>
        <v>0</v>
      </c>
      <c r="BF197" s="2">
        <f t="shared" si="400"/>
        <v>0</v>
      </c>
      <c r="BG197" s="2">
        <f t="shared" si="400"/>
        <v>0</v>
      </c>
      <c r="BI197" s="2">
        <f t="shared" si="401"/>
        <v>0</v>
      </c>
      <c r="BJ197" s="2">
        <f t="shared" si="402"/>
        <v>0</v>
      </c>
      <c r="BK197" s="2">
        <f t="shared" si="402"/>
        <v>0</v>
      </c>
      <c r="BL197" s="2">
        <f t="shared" si="402"/>
        <v>0</v>
      </c>
      <c r="BM197" s="2">
        <f t="shared" si="402"/>
        <v>0</v>
      </c>
      <c r="BN197" s="2">
        <f t="shared" si="402"/>
        <v>0</v>
      </c>
      <c r="BO197" s="2">
        <f t="shared" si="402"/>
        <v>0</v>
      </c>
      <c r="BQ197" s="28" t="s">
        <v>290</v>
      </c>
      <c r="BR197" s="23">
        <v>0</v>
      </c>
      <c r="BS197" s="14">
        <f t="shared" si="403"/>
        <v>0</v>
      </c>
      <c r="BT197" s="14">
        <f t="shared" si="403"/>
        <v>0</v>
      </c>
      <c r="BU197" s="14">
        <f t="shared" si="403"/>
        <v>0.13</v>
      </c>
      <c r="BV197" s="14">
        <f t="shared" si="404"/>
        <v>0.87</v>
      </c>
      <c r="BW197" s="14">
        <f t="shared" si="405"/>
        <v>0</v>
      </c>
      <c r="BX197" s="14">
        <f t="shared" si="406"/>
        <v>0</v>
      </c>
      <c r="BY197" s="14">
        <f t="shared" si="407"/>
        <v>0</v>
      </c>
      <c r="BZ197" s="14">
        <f t="shared" si="408"/>
        <v>0</v>
      </c>
      <c r="CA197" s="14">
        <f t="shared" si="409"/>
        <v>0</v>
      </c>
      <c r="CB197" s="14">
        <f t="shared" si="410"/>
        <v>0</v>
      </c>
      <c r="CC197" s="14">
        <f t="shared" si="411"/>
        <v>0</v>
      </c>
      <c r="CD197" s="14">
        <f t="shared" si="412"/>
        <v>0</v>
      </c>
      <c r="CE197" s="14">
        <f t="shared" si="413"/>
        <v>0</v>
      </c>
      <c r="CF197" s="14">
        <f t="shared" si="414"/>
        <v>0</v>
      </c>
      <c r="CG197" s="14">
        <f t="shared" si="415"/>
        <v>0</v>
      </c>
      <c r="CH197" s="14">
        <f t="shared" si="416"/>
        <v>0</v>
      </c>
      <c r="CI197" s="14">
        <f t="shared" si="417"/>
        <v>0</v>
      </c>
      <c r="CJ197" s="14"/>
      <c r="CK197" s="112" t="str">
        <f t="shared" si="418"/>
        <v>as UG Storage Plant (24)</v>
      </c>
      <c r="CL197" s="76">
        <f t="shared" si="346"/>
        <v>0</v>
      </c>
      <c r="CM197" s="2">
        <f t="shared" si="419"/>
        <v>0</v>
      </c>
      <c r="CN197" s="2">
        <f t="shared" si="419"/>
        <v>0</v>
      </c>
      <c r="CO197" s="2">
        <f t="shared" si="419"/>
        <v>0</v>
      </c>
      <c r="CP197" s="2">
        <f t="shared" si="419"/>
        <v>0</v>
      </c>
      <c r="CQ197" s="2">
        <f t="shared" si="419"/>
        <v>0</v>
      </c>
      <c r="CR197" s="2">
        <f t="shared" si="419"/>
        <v>0</v>
      </c>
    </row>
    <row r="198" spans="1:96">
      <c r="A198" s="50">
        <f t="shared" si="294"/>
        <v>198</v>
      </c>
      <c r="B198" t="s">
        <v>312</v>
      </c>
      <c r="C198" s="36" t="s">
        <v>394</v>
      </c>
      <c r="D198" s="28" t="s">
        <v>291</v>
      </c>
      <c r="E198" s="373">
        <f>PROFORMA!AY50</f>
        <v>0</v>
      </c>
      <c r="F198" s="60" t="str">
        <f t="shared" si="384"/>
        <v>as UG Storage Plant (24)</v>
      </c>
      <c r="G198" s="60"/>
      <c r="H198" s="2">
        <f t="shared" si="396"/>
        <v>0</v>
      </c>
      <c r="I198" s="2">
        <f t="shared" si="397"/>
        <v>0</v>
      </c>
      <c r="J198" s="2">
        <f t="shared" si="397"/>
        <v>0</v>
      </c>
      <c r="K198" s="2">
        <f t="shared" si="397"/>
        <v>0</v>
      </c>
      <c r="L198" s="2">
        <f t="shared" si="397"/>
        <v>0</v>
      </c>
      <c r="M198" s="2">
        <f t="shared" si="397"/>
        <v>0</v>
      </c>
      <c r="N198" s="2">
        <f t="shared" si="397"/>
        <v>0</v>
      </c>
      <c r="O198" s="2"/>
      <c r="P198" s="61"/>
      <c r="Q198" s="61"/>
      <c r="R198" s="14">
        <f>R$24</f>
        <v>0</v>
      </c>
      <c r="S198" s="14">
        <f t="shared" si="358"/>
        <v>0</v>
      </c>
      <c r="T198" s="14">
        <f t="shared" si="358"/>
        <v>0.13</v>
      </c>
      <c r="U198" s="14">
        <f t="shared" si="358"/>
        <v>0.87</v>
      </c>
      <c r="V198" s="14">
        <f t="shared" ref="V198:AH199" si="424">V$24</f>
        <v>0</v>
      </c>
      <c r="W198" s="14">
        <f t="shared" si="424"/>
        <v>0</v>
      </c>
      <c r="X198" s="14">
        <f t="shared" si="424"/>
        <v>0</v>
      </c>
      <c r="Y198" s="14">
        <f t="shared" si="424"/>
        <v>0</v>
      </c>
      <c r="Z198" s="14">
        <f t="shared" si="424"/>
        <v>0</v>
      </c>
      <c r="AA198" s="14">
        <f t="shared" si="424"/>
        <v>0</v>
      </c>
      <c r="AB198" s="14">
        <f t="shared" si="424"/>
        <v>0</v>
      </c>
      <c r="AC198" s="14">
        <f t="shared" si="424"/>
        <v>0</v>
      </c>
      <c r="AD198" s="14">
        <f t="shared" si="424"/>
        <v>0</v>
      </c>
      <c r="AE198" s="14">
        <f t="shared" si="424"/>
        <v>0</v>
      </c>
      <c r="AF198" s="14">
        <f t="shared" si="424"/>
        <v>0</v>
      </c>
      <c r="AG198" s="14">
        <f t="shared" si="424"/>
        <v>0</v>
      </c>
      <c r="AH198" s="14">
        <f t="shared" si="424"/>
        <v>0</v>
      </c>
      <c r="AI198" s="76">
        <f t="shared" si="337"/>
        <v>0</v>
      </c>
      <c r="AK198" s="2">
        <f t="shared" si="420"/>
        <v>0</v>
      </c>
      <c r="AL198" s="2">
        <f t="shared" si="398"/>
        <v>0</v>
      </c>
      <c r="AM198" s="2">
        <f t="shared" si="398"/>
        <v>0</v>
      </c>
      <c r="AN198" s="2">
        <f t="shared" si="398"/>
        <v>0</v>
      </c>
      <c r="AO198" s="2">
        <f t="shared" si="398"/>
        <v>0</v>
      </c>
      <c r="AP198" s="2"/>
      <c r="AQ198" s="61" t="str">
        <f t="shared" si="421"/>
        <v>E198*      "</v>
      </c>
      <c r="AS198" s="2">
        <f t="shared" si="422"/>
        <v>0</v>
      </c>
      <c r="AT198" s="2">
        <f t="shared" si="399"/>
        <v>0</v>
      </c>
      <c r="AU198" s="2">
        <f t="shared" si="399"/>
        <v>0</v>
      </c>
      <c r="AV198" s="2">
        <f t="shared" si="399"/>
        <v>0</v>
      </c>
      <c r="AW198" s="2">
        <f t="shared" si="399"/>
        <v>0</v>
      </c>
      <c r="AX198" s="2">
        <f t="shared" si="399"/>
        <v>0</v>
      </c>
      <c r="AY198" s="2">
        <f t="shared" si="399"/>
        <v>0</v>
      </c>
      <c r="BA198" s="2">
        <f t="shared" si="423"/>
        <v>0</v>
      </c>
      <c r="BB198" s="2">
        <f t="shared" si="400"/>
        <v>0</v>
      </c>
      <c r="BC198" s="2">
        <f t="shared" si="400"/>
        <v>0</v>
      </c>
      <c r="BD198" s="2">
        <f t="shared" si="400"/>
        <v>0</v>
      </c>
      <c r="BE198" s="2">
        <f t="shared" si="400"/>
        <v>0</v>
      </c>
      <c r="BF198" s="2">
        <f t="shared" si="400"/>
        <v>0</v>
      </c>
      <c r="BG198" s="2">
        <f t="shared" si="400"/>
        <v>0</v>
      </c>
      <c r="BI198" s="2">
        <f t="shared" si="401"/>
        <v>0</v>
      </c>
      <c r="BJ198" s="2">
        <f t="shared" si="402"/>
        <v>0</v>
      </c>
      <c r="BK198" s="2">
        <f t="shared" si="402"/>
        <v>0</v>
      </c>
      <c r="BL198" s="2">
        <f t="shared" si="402"/>
        <v>0</v>
      </c>
      <c r="BM198" s="2">
        <f t="shared" si="402"/>
        <v>0</v>
      </c>
      <c r="BN198" s="2">
        <f t="shared" si="402"/>
        <v>0</v>
      </c>
      <c r="BO198" s="2">
        <f t="shared" si="402"/>
        <v>0</v>
      </c>
      <c r="BQ198" s="28" t="s">
        <v>291</v>
      </c>
      <c r="BR198" s="23">
        <v>0</v>
      </c>
      <c r="BS198" s="14">
        <f t="shared" si="403"/>
        <v>0</v>
      </c>
      <c r="BT198" s="14">
        <f t="shared" si="403"/>
        <v>0</v>
      </c>
      <c r="BU198" s="14">
        <f t="shared" si="403"/>
        <v>0.13</v>
      </c>
      <c r="BV198" s="14">
        <f t="shared" si="404"/>
        <v>0.87</v>
      </c>
      <c r="BW198" s="14">
        <f t="shared" si="405"/>
        <v>0</v>
      </c>
      <c r="BX198" s="14">
        <f t="shared" si="406"/>
        <v>0</v>
      </c>
      <c r="BY198" s="14">
        <f t="shared" si="407"/>
        <v>0</v>
      </c>
      <c r="BZ198" s="14">
        <f t="shared" si="408"/>
        <v>0</v>
      </c>
      <c r="CA198" s="14">
        <f t="shared" si="409"/>
        <v>0</v>
      </c>
      <c r="CB198" s="14">
        <f t="shared" si="410"/>
        <v>0</v>
      </c>
      <c r="CC198" s="14">
        <f t="shared" si="411"/>
        <v>0</v>
      </c>
      <c r="CD198" s="14">
        <f t="shared" si="412"/>
        <v>0</v>
      </c>
      <c r="CE198" s="14">
        <f t="shared" si="413"/>
        <v>0</v>
      </c>
      <c r="CF198" s="14">
        <f t="shared" si="414"/>
        <v>0</v>
      </c>
      <c r="CG198" s="14">
        <f t="shared" si="415"/>
        <v>0</v>
      </c>
      <c r="CH198" s="14">
        <f t="shared" si="416"/>
        <v>0</v>
      </c>
      <c r="CI198" s="14">
        <f t="shared" si="417"/>
        <v>0</v>
      </c>
      <c r="CJ198" s="14"/>
      <c r="CK198" s="112" t="str">
        <f t="shared" si="418"/>
        <v>as UG Storage Plant (24)</v>
      </c>
      <c r="CL198" s="76">
        <f t="shared" si="346"/>
        <v>0</v>
      </c>
      <c r="CM198" s="2">
        <f t="shared" si="419"/>
        <v>0</v>
      </c>
      <c r="CN198" s="2">
        <f t="shared" si="419"/>
        <v>0</v>
      </c>
      <c r="CO198" s="2">
        <f t="shared" si="419"/>
        <v>0</v>
      </c>
      <c r="CP198" s="2">
        <f t="shared" si="419"/>
        <v>0</v>
      </c>
      <c r="CQ198" s="2">
        <f t="shared" si="419"/>
        <v>0</v>
      </c>
      <c r="CR198" s="2">
        <f t="shared" si="419"/>
        <v>0</v>
      </c>
    </row>
    <row r="199" spans="1:96">
      <c r="A199" s="50">
        <f t="shared" si="294"/>
        <v>199</v>
      </c>
      <c r="B199" t="s">
        <v>313</v>
      </c>
      <c r="C199" s="36" t="s">
        <v>394</v>
      </c>
      <c r="D199" s="28" t="s">
        <v>292</v>
      </c>
      <c r="E199" s="373">
        <f>PROFORMA!AY51</f>
        <v>0</v>
      </c>
      <c r="F199" s="60" t="str">
        <f t="shared" si="384"/>
        <v>as UG Storage Plant (24)</v>
      </c>
      <c r="G199" s="60"/>
      <c r="H199" s="2">
        <f t="shared" si="396"/>
        <v>0</v>
      </c>
      <c r="I199" s="2">
        <f t="shared" si="397"/>
        <v>0</v>
      </c>
      <c r="J199" s="2">
        <f t="shared" si="397"/>
        <v>0</v>
      </c>
      <c r="K199" s="2">
        <f t="shared" si="397"/>
        <v>0</v>
      </c>
      <c r="L199" s="2">
        <f t="shared" si="397"/>
        <v>0</v>
      </c>
      <c r="M199" s="2">
        <f t="shared" si="397"/>
        <v>0</v>
      </c>
      <c r="N199" s="2">
        <f t="shared" si="397"/>
        <v>0</v>
      </c>
      <c r="O199" s="2"/>
      <c r="P199" s="61" t="str">
        <f>E$1&amp;$A199&amp;"*     """</f>
        <v>E199*     "</v>
      </c>
      <c r="Q199" s="61"/>
      <c r="R199" s="14">
        <f>R$24</f>
        <v>0</v>
      </c>
      <c r="S199" s="14">
        <f>S$24</f>
        <v>0</v>
      </c>
      <c r="T199" s="14">
        <f>T$24</f>
        <v>0.13</v>
      </c>
      <c r="U199" s="14">
        <f>U$24</f>
        <v>0.87</v>
      </c>
      <c r="V199" s="14">
        <f t="shared" si="424"/>
        <v>0</v>
      </c>
      <c r="W199" s="14">
        <f t="shared" si="424"/>
        <v>0</v>
      </c>
      <c r="X199" s="14">
        <f t="shared" si="424"/>
        <v>0</v>
      </c>
      <c r="Y199" s="14">
        <f t="shared" si="424"/>
        <v>0</v>
      </c>
      <c r="Z199" s="14">
        <f t="shared" si="424"/>
        <v>0</v>
      </c>
      <c r="AA199" s="14">
        <f t="shared" si="424"/>
        <v>0</v>
      </c>
      <c r="AB199" s="14">
        <f t="shared" si="424"/>
        <v>0</v>
      </c>
      <c r="AC199" s="14">
        <f t="shared" si="424"/>
        <v>0</v>
      </c>
      <c r="AD199" s="14">
        <f t="shared" si="424"/>
        <v>0</v>
      </c>
      <c r="AE199" s="14">
        <f t="shared" si="424"/>
        <v>0</v>
      </c>
      <c r="AF199" s="14">
        <f t="shared" si="424"/>
        <v>0</v>
      </c>
      <c r="AG199" s="14">
        <f t="shared" si="424"/>
        <v>0</v>
      </c>
      <c r="AH199" s="14">
        <f t="shared" si="424"/>
        <v>0</v>
      </c>
      <c r="AI199" s="76">
        <f t="shared" si="337"/>
        <v>0</v>
      </c>
      <c r="AK199" s="2">
        <f t="shared" si="420"/>
        <v>0</v>
      </c>
      <c r="AL199" s="2">
        <f t="shared" si="398"/>
        <v>0</v>
      </c>
      <c r="AM199" s="2">
        <f t="shared" si="398"/>
        <v>0</v>
      </c>
      <c r="AN199" s="2">
        <f t="shared" si="398"/>
        <v>0</v>
      </c>
      <c r="AO199" s="2">
        <f t="shared" si="398"/>
        <v>0</v>
      </c>
      <c r="AP199" s="2"/>
      <c r="AQ199" s="61" t="str">
        <f t="shared" si="421"/>
        <v>E199*      "</v>
      </c>
      <c r="AS199" s="2">
        <f t="shared" si="422"/>
        <v>0</v>
      </c>
      <c r="AT199" s="2">
        <f t="shared" si="399"/>
        <v>0</v>
      </c>
      <c r="AU199" s="2">
        <f t="shared" si="399"/>
        <v>0</v>
      </c>
      <c r="AV199" s="2">
        <f t="shared" si="399"/>
        <v>0</v>
      </c>
      <c r="AW199" s="2">
        <f t="shared" si="399"/>
        <v>0</v>
      </c>
      <c r="AX199" s="2">
        <f t="shared" si="399"/>
        <v>0</v>
      </c>
      <c r="AY199" s="2">
        <f t="shared" si="399"/>
        <v>0</v>
      </c>
      <c r="BA199" s="2">
        <f t="shared" si="423"/>
        <v>0</v>
      </c>
      <c r="BB199" s="2">
        <f t="shared" si="400"/>
        <v>0</v>
      </c>
      <c r="BC199" s="2">
        <f t="shared" si="400"/>
        <v>0</v>
      </c>
      <c r="BD199" s="2">
        <f t="shared" si="400"/>
        <v>0</v>
      </c>
      <c r="BE199" s="2">
        <f t="shared" si="400"/>
        <v>0</v>
      </c>
      <c r="BF199" s="2">
        <f t="shared" si="400"/>
        <v>0</v>
      </c>
      <c r="BG199" s="2">
        <f t="shared" si="400"/>
        <v>0</v>
      </c>
      <c r="BI199" s="2">
        <f t="shared" si="401"/>
        <v>0</v>
      </c>
      <c r="BJ199" s="2">
        <f t="shared" si="402"/>
        <v>0</v>
      </c>
      <c r="BK199" s="2">
        <f t="shared" si="402"/>
        <v>0</v>
      </c>
      <c r="BL199" s="2">
        <f t="shared" si="402"/>
        <v>0</v>
      </c>
      <c r="BM199" s="2">
        <f t="shared" si="402"/>
        <v>0</v>
      </c>
      <c r="BN199" s="2">
        <f t="shared" si="402"/>
        <v>0</v>
      </c>
      <c r="BO199" s="2">
        <f t="shared" si="402"/>
        <v>0</v>
      </c>
      <c r="BQ199" s="28" t="s">
        <v>292</v>
      </c>
      <c r="BR199" s="23">
        <v>0</v>
      </c>
      <c r="BS199" s="14">
        <f t="shared" si="403"/>
        <v>0</v>
      </c>
      <c r="BT199" s="14">
        <f t="shared" si="403"/>
        <v>0</v>
      </c>
      <c r="BU199" s="14">
        <f t="shared" si="403"/>
        <v>0.13</v>
      </c>
      <c r="BV199" s="14">
        <f t="shared" si="404"/>
        <v>0.87</v>
      </c>
      <c r="BW199" s="14">
        <f t="shared" si="405"/>
        <v>0</v>
      </c>
      <c r="BX199" s="14">
        <f t="shared" si="406"/>
        <v>0</v>
      </c>
      <c r="BY199" s="14">
        <f t="shared" si="407"/>
        <v>0</v>
      </c>
      <c r="BZ199" s="14">
        <f t="shared" si="408"/>
        <v>0</v>
      </c>
      <c r="CA199" s="14">
        <f t="shared" si="409"/>
        <v>0</v>
      </c>
      <c r="CB199" s="14">
        <f t="shared" si="410"/>
        <v>0</v>
      </c>
      <c r="CC199" s="14">
        <f t="shared" si="411"/>
        <v>0</v>
      </c>
      <c r="CD199" s="14">
        <f t="shared" si="412"/>
        <v>0</v>
      </c>
      <c r="CE199" s="14">
        <f t="shared" si="413"/>
        <v>0</v>
      </c>
      <c r="CF199" s="14">
        <f t="shared" si="414"/>
        <v>0</v>
      </c>
      <c r="CG199" s="14">
        <f t="shared" si="415"/>
        <v>0</v>
      </c>
      <c r="CH199" s="14">
        <f t="shared" si="416"/>
        <v>0</v>
      </c>
      <c r="CI199" s="14">
        <f t="shared" si="417"/>
        <v>0</v>
      </c>
      <c r="CJ199" s="14"/>
      <c r="CK199" s="112" t="str">
        <f t="shared" si="418"/>
        <v>as UG Storage Plant (24)</v>
      </c>
      <c r="CL199" s="76">
        <f t="shared" si="346"/>
        <v>0</v>
      </c>
      <c r="CM199" s="2">
        <f t="shared" si="419"/>
        <v>0</v>
      </c>
      <c r="CN199" s="2">
        <f t="shared" si="419"/>
        <v>0</v>
      </c>
      <c r="CO199" s="2">
        <f t="shared" si="419"/>
        <v>0</v>
      </c>
      <c r="CP199" s="2">
        <f t="shared" si="419"/>
        <v>0</v>
      </c>
      <c r="CQ199" s="2">
        <f t="shared" si="419"/>
        <v>0</v>
      </c>
      <c r="CR199" s="2">
        <f t="shared" si="419"/>
        <v>0</v>
      </c>
    </row>
    <row r="200" spans="1:96">
      <c r="A200" s="50">
        <f t="shared" si="294"/>
        <v>200</v>
      </c>
      <c r="B200" t="s">
        <v>314</v>
      </c>
      <c r="C200" s="36" t="s">
        <v>394</v>
      </c>
      <c r="D200" s="28" t="s">
        <v>293</v>
      </c>
      <c r="E200" s="373">
        <f>PROFORMA!AY52</f>
        <v>0</v>
      </c>
      <c r="F200" s="60" t="str">
        <f t="shared" si="384"/>
        <v>as UG Storage Plant (24)</v>
      </c>
      <c r="G200" s="60"/>
      <c r="H200" s="2">
        <f t="shared" si="396"/>
        <v>0</v>
      </c>
      <c r="I200" s="2">
        <f t="shared" si="397"/>
        <v>0</v>
      </c>
      <c r="J200" s="2">
        <f t="shared" si="397"/>
        <v>0</v>
      </c>
      <c r="K200" s="2">
        <f t="shared" si="397"/>
        <v>0</v>
      </c>
      <c r="L200" s="2">
        <f t="shared" si="397"/>
        <v>0</v>
      </c>
      <c r="M200" s="2">
        <f t="shared" si="397"/>
        <v>0</v>
      </c>
      <c r="N200" s="2">
        <f t="shared" si="397"/>
        <v>0</v>
      </c>
      <c r="O200" s="2"/>
      <c r="P200" s="61" t="str">
        <f>E$1&amp;$A200&amp;"*     """</f>
        <v>E200*     "</v>
      </c>
      <c r="Q200" s="61"/>
      <c r="R200" s="14">
        <f t="shared" ref="R200:AE202" si="425">R$24</f>
        <v>0</v>
      </c>
      <c r="S200" s="14">
        <f t="shared" si="425"/>
        <v>0</v>
      </c>
      <c r="T200" s="14">
        <f t="shared" si="425"/>
        <v>0.13</v>
      </c>
      <c r="U200" s="14">
        <f t="shared" si="425"/>
        <v>0.87</v>
      </c>
      <c r="V200" s="14">
        <f t="shared" si="425"/>
        <v>0</v>
      </c>
      <c r="W200" s="14">
        <f t="shared" si="425"/>
        <v>0</v>
      </c>
      <c r="X200" s="14">
        <f t="shared" si="425"/>
        <v>0</v>
      </c>
      <c r="Y200" s="14">
        <f t="shared" si="425"/>
        <v>0</v>
      </c>
      <c r="Z200" s="14">
        <f t="shared" si="425"/>
        <v>0</v>
      </c>
      <c r="AA200" s="14">
        <f t="shared" si="425"/>
        <v>0</v>
      </c>
      <c r="AB200" s="14">
        <f t="shared" si="425"/>
        <v>0</v>
      </c>
      <c r="AC200" s="14">
        <f t="shared" si="425"/>
        <v>0</v>
      </c>
      <c r="AD200" s="14">
        <f t="shared" si="425"/>
        <v>0</v>
      </c>
      <c r="AE200" s="14">
        <f t="shared" si="425"/>
        <v>0</v>
      </c>
      <c r="AF200" s="14">
        <f t="shared" ref="AF200:AH202" si="426">AF$24</f>
        <v>0</v>
      </c>
      <c r="AG200" s="14">
        <f t="shared" si="426"/>
        <v>0</v>
      </c>
      <c r="AH200" s="14">
        <f t="shared" si="426"/>
        <v>0</v>
      </c>
      <c r="AI200" s="76">
        <f t="shared" si="337"/>
        <v>0</v>
      </c>
      <c r="AK200" s="2">
        <f t="shared" si="420"/>
        <v>0</v>
      </c>
      <c r="AL200" s="2">
        <f t="shared" si="398"/>
        <v>0</v>
      </c>
      <c r="AM200" s="2">
        <f t="shared" si="398"/>
        <v>0</v>
      </c>
      <c r="AN200" s="2">
        <f t="shared" si="398"/>
        <v>0</v>
      </c>
      <c r="AO200" s="2">
        <f t="shared" si="398"/>
        <v>0</v>
      </c>
      <c r="AP200" s="2"/>
      <c r="AQ200" s="61" t="str">
        <f t="shared" si="421"/>
        <v>E200*      "</v>
      </c>
      <c r="AS200" s="2">
        <f t="shared" si="422"/>
        <v>0</v>
      </c>
      <c r="AT200" s="2">
        <f t="shared" si="399"/>
        <v>0</v>
      </c>
      <c r="AU200" s="2">
        <f t="shared" si="399"/>
        <v>0</v>
      </c>
      <c r="AV200" s="2">
        <f t="shared" si="399"/>
        <v>0</v>
      </c>
      <c r="AW200" s="2">
        <f t="shared" si="399"/>
        <v>0</v>
      </c>
      <c r="AX200" s="2">
        <f t="shared" si="399"/>
        <v>0</v>
      </c>
      <c r="AY200" s="2">
        <f t="shared" si="399"/>
        <v>0</v>
      </c>
      <c r="BA200" s="2">
        <f t="shared" si="423"/>
        <v>0</v>
      </c>
      <c r="BB200" s="2">
        <f t="shared" si="400"/>
        <v>0</v>
      </c>
      <c r="BC200" s="2">
        <f t="shared" si="400"/>
        <v>0</v>
      </c>
      <c r="BD200" s="2">
        <f t="shared" si="400"/>
        <v>0</v>
      </c>
      <c r="BE200" s="2">
        <f t="shared" si="400"/>
        <v>0</v>
      </c>
      <c r="BF200" s="2">
        <f t="shared" si="400"/>
        <v>0</v>
      </c>
      <c r="BG200" s="2">
        <f t="shared" si="400"/>
        <v>0</v>
      </c>
      <c r="BI200" s="2">
        <f t="shared" si="401"/>
        <v>0</v>
      </c>
      <c r="BJ200" s="2">
        <f t="shared" si="402"/>
        <v>0</v>
      </c>
      <c r="BK200" s="2">
        <f t="shared" si="402"/>
        <v>0</v>
      </c>
      <c r="BL200" s="2">
        <f t="shared" si="402"/>
        <v>0</v>
      </c>
      <c r="BM200" s="2">
        <f t="shared" si="402"/>
        <v>0</v>
      </c>
      <c r="BN200" s="2">
        <f t="shared" si="402"/>
        <v>0</v>
      </c>
      <c r="BO200" s="2">
        <f t="shared" si="402"/>
        <v>0</v>
      </c>
      <c r="BQ200" s="28" t="s">
        <v>293</v>
      </c>
      <c r="BR200" s="23">
        <v>0</v>
      </c>
      <c r="BS200" s="14">
        <f t="shared" si="403"/>
        <v>0</v>
      </c>
      <c r="BT200" s="14">
        <f t="shared" si="403"/>
        <v>0</v>
      </c>
      <c r="BU200" s="14">
        <f t="shared" si="403"/>
        <v>0.13</v>
      </c>
      <c r="BV200" s="14">
        <f t="shared" si="404"/>
        <v>0.87</v>
      </c>
      <c r="BW200" s="14">
        <f t="shared" si="405"/>
        <v>0</v>
      </c>
      <c r="BX200" s="14">
        <f t="shared" si="406"/>
        <v>0</v>
      </c>
      <c r="BY200" s="14">
        <f t="shared" si="407"/>
        <v>0</v>
      </c>
      <c r="BZ200" s="14">
        <f t="shared" si="408"/>
        <v>0</v>
      </c>
      <c r="CA200" s="14">
        <f t="shared" si="409"/>
        <v>0</v>
      </c>
      <c r="CB200" s="14">
        <f t="shared" si="410"/>
        <v>0</v>
      </c>
      <c r="CC200" s="14">
        <f t="shared" si="411"/>
        <v>0</v>
      </c>
      <c r="CD200" s="14">
        <f t="shared" si="412"/>
        <v>0</v>
      </c>
      <c r="CE200" s="14">
        <f t="shared" si="413"/>
        <v>0</v>
      </c>
      <c r="CF200" s="14">
        <f t="shared" si="414"/>
        <v>0</v>
      </c>
      <c r="CG200" s="14">
        <f t="shared" si="415"/>
        <v>0</v>
      </c>
      <c r="CH200" s="14">
        <f t="shared" si="416"/>
        <v>0</v>
      </c>
      <c r="CI200" s="14">
        <f t="shared" si="417"/>
        <v>0</v>
      </c>
      <c r="CJ200" s="14"/>
      <c r="CK200" s="112" t="str">
        <f t="shared" si="418"/>
        <v>as UG Storage Plant (24)</v>
      </c>
      <c r="CL200" s="76">
        <f t="shared" si="346"/>
        <v>0</v>
      </c>
      <c r="CM200" s="2">
        <f t="shared" si="419"/>
        <v>0</v>
      </c>
      <c r="CN200" s="2">
        <f t="shared" si="419"/>
        <v>0</v>
      </c>
      <c r="CO200" s="2">
        <f t="shared" si="419"/>
        <v>0</v>
      </c>
      <c r="CP200" s="2">
        <f t="shared" si="419"/>
        <v>0</v>
      </c>
      <c r="CQ200" s="2">
        <f t="shared" si="419"/>
        <v>0</v>
      </c>
      <c r="CR200" s="2">
        <f t="shared" si="419"/>
        <v>0</v>
      </c>
    </row>
    <row r="201" spans="1:96">
      <c r="A201" s="50">
        <f t="shared" si="294"/>
        <v>201</v>
      </c>
      <c r="B201" t="s">
        <v>315</v>
      </c>
      <c r="C201" s="36" t="s">
        <v>394</v>
      </c>
      <c r="D201" s="28" t="s">
        <v>317</v>
      </c>
      <c r="E201" s="373">
        <f>PROFORMA!AY53</f>
        <v>0</v>
      </c>
      <c r="F201" s="60" t="str">
        <f t="shared" si="384"/>
        <v>as UG Storage Plant (24)</v>
      </c>
      <c r="G201" s="60"/>
      <c r="H201" s="2">
        <f t="shared" si="396"/>
        <v>0</v>
      </c>
      <c r="I201" s="2">
        <f t="shared" si="397"/>
        <v>0</v>
      </c>
      <c r="J201" s="2">
        <f t="shared" si="397"/>
        <v>0</v>
      </c>
      <c r="K201" s="2">
        <f t="shared" si="397"/>
        <v>0</v>
      </c>
      <c r="L201" s="2">
        <f t="shared" si="397"/>
        <v>0</v>
      </c>
      <c r="M201" s="2">
        <f t="shared" si="397"/>
        <v>0</v>
      </c>
      <c r="N201" s="2">
        <f t="shared" si="397"/>
        <v>0</v>
      </c>
      <c r="O201" s="2"/>
      <c r="P201" s="61" t="str">
        <f>E$1&amp;$A201&amp;"*     """</f>
        <v>E201*     "</v>
      </c>
      <c r="Q201" s="61"/>
      <c r="R201" s="14">
        <f t="shared" si="425"/>
        <v>0</v>
      </c>
      <c r="S201" s="14">
        <f t="shared" si="425"/>
        <v>0</v>
      </c>
      <c r="T201" s="14">
        <f t="shared" si="425"/>
        <v>0.13</v>
      </c>
      <c r="U201" s="14">
        <f t="shared" si="425"/>
        <v>0.87</v>
      </c>
      <c r="V201" s="14">
        <f t="shared" si="425"/>
        <v>0</v>
      </c>
      <c r="W201" s="14">
        <f t="shared" si="425"/>
        <v>0</v>
      </c>
      <c r="X201" s="14">
        <f t="shared" si="425"/>
        <v>0</v>
      </c>
      <c r="Y201" s="14">
        <f t="shared" si="425"/>
        <v>0</v>
      </c>
      <c r="Z201" s="14">
        <f t="shared" si="425"/>
        <v>0</v>
      </c>
      <c r="AA201" s="14">
        <f t="shared" si="425"/>
        <v>0</v>
      </c>
      <c r="AB201" s="14">
        <f t="shared" si="425"/>
        <v>0</v>
      </c>
      <c r="AC201" s="14">
        <f t="shared" si="425"/>
        <v>0</v>
      </c>
      <c r="AD201" s="14">
        <f t="shared" si="425"/>
        <v>0</v>
      </c>
      <c r="AE201" s="14">
        <f t="shared" si="425"/>
        <v>0</v>
      </c>
      <c r="AF201" s="14">
        <f t="shared" si="426"/>
        <v>0</v>
      </c>
      <c r="AG201" s="14">
        <f t="shared" si="426"/>
        <v>0</v>
      </c>
      <c r="AH201" s="14">
        <f t="shared" si="426"/>
        <v>0</v>
      </c>
      <c r="AI201" s="76">
        <f t="shared" si="337"/>
        <v>0</v>
      </c>
      <c r="AK201" s="2">
        <f t="shared" si="420"/>
        <v>0</v>
      </c>
      <c r="AL201" s="2">
        <f t="shared" si="398"/>
        <v>0</v>
      </c>
      <c r="AM201" s="2">
        <f t="shared" si="398"/>
        <v>0</v>
      </c>
      <c r="AN201" s="2">
        <f t="shared" si="398"/>
        <v>0</v>
      </c>
      <c r="AO201" s="2">
        <f t="shared" si="398"/>
        <v>0</v>
      </c>
      <c r="AP201" s="2"/>
      <c r="AQ201" s="61" t="str">
        <f t="shared" si="421"/>
        <v>E201*      "</v>
      </c>
      <c r="AS201" s="2">
        <f t="shared" si="422"/>
        <v>0</v>
      </c>
      <c r="AT201" s="2">
        <f t="shared" si="399"/>
        <v>0</v>
      </c>
      <c r="AU201" s="2">
        <f t="shared" si="399"/>
        <v>0</v>
      </c>
      <c r="AV201" s="2">
        <f t="shared" si="399"/>
        <v>0</v>
      </c>
      <c r="AW201" s="2">
        <f t="shared" si="399"/>
        <v>0</v>
      </c>
      <c r="AX201" s="2">
        <f t="shared" si="399"/>
        <v>0</v>
      </c>
      <c r="AY201" s="2">
        <f t="shared" si="399"/>
        <v>0</v>
      </c>
      <c r="BA201" s="2">
        <f t="shared" si="423"/>
        <v>0</v>
      </c>
      <c r="BB201" s="2">
        <f t="shared" si="400"/>
        <v>0</v>
      </c>
      <c r="BC201" s="2">
        <f t="shared" si="400"/>
        <v>0</v>
      </c>
      <c r="BD201" s="2">
        <f t="shared" si="400"/>
        <v>0</v>
      </c>
      <c r="BE201" s="2">
        <f t="shared" si="400"/>
        <v>0</v>
      </c>
      <c r="BF201" s="2">
        <f t="shared" si="400"/>
        <v>0</v>
      </c>
      <c r="BG201" s="2">
        <f t="shared" si="400"/>
        <v>0</v>
      </c>
      <c r="BI201" s="2">
        <f t="shared" si="401"/>
        <v>0</v>
      </c>
      <c r="BJ201" s="2">
        <f t="shared" si="402"/>
        <v>0</v>
      </c>
      <c r="BK201" s="2">
        <f t="shared" si="402"/>
        <v>0</v>
      </c>
      <c r="BL201" s="2">
        <f t="shared" si="402"/>
        <v>0</v>
      </c>
      <c r="BM201" s="2">
        <f t="shared" si="402"/>
        <v>0</v>
      </c>
      <c r="BN201" s="2">
        <f t="shared" si="402"/>
        <v>0</v>
      </c>
      <c r="BO201" s="2">
        <f t="shared" si="402"/>
        <v>0</v>
      </c>
      <c r="BQ201" s="28" t="s">
        <v>317</v>
      </c>
      <c r="BR201" s="23">
        <v>0</v>
      </c>
      <c r="BS201" s="14">
        <f t="shared" si="403"/>
        <v>0</v>
      </c>
      <c r="BT201" s="14">
        <f t="shared" si="403"/>
        <v>0</v>
      </c>
      <c r="BU201" s="14">
        <f t="shared" si="403"/>
        <v>0.13</v>
      </c>
      <c r="BV201" s="14">
        <f t="shared" si="404"/>
        <v>0.87</v>
      </c>
      <c r="BW201" s="14">
        <f t="shared" si="405"/>
        <v>0</v>
      </c>
      <c r="BX201" s="14">
        <f t="shared" si="406"/>
        <v>0</v>
      </c>
      <c r="BY201" s="14">
        <f t="shared" si="407"/>
        <v>0</v>
      </c>
      <c r="BZ201" s="14">
        <f t="shared" si="408"/>
        <v>0</v>
      </c>
      <c r="CA201" s="14">
        <f t="shared" si="409"/>
        <v>0</v>
      </c>
      <c r="CB201" s="14">
        <f t="shared" si="410"/>
        <v>0</v>
      </c>
      <c r="CC201" s="14">
        <f t="shared" si="411"/>
        <v>0</v>
      </c>
      <c r="CD201" s="14">
        <f t="shared" si="412"/>
        <v>0</v>
      </c>
      <c r="CE201" s="14">
        <f t="shared" si="413"/>
        <v>0</v>
      </c>
      <c r="CF201" s="14">
        <f t="shared" si="414"/>
        <v>0</v>
      </c>
      <c r="CG201" s="14">
        <f t="shared" si="415"/>
        <v>0</v>
      </c>
      <c r="CH201" s="14">
        <f t="shared" si="416"/>
        <v>0</v>
      </c>
      <c r="CI201" s="14">
        <f t="shared" si="417"/>
        <v>0</v>
      </c>
      <c r="CJ201" s="14"/>
      <c r="CK201" s="112" t="str">
        <f t="shared" si="418"/>
        <v>as UG Storage Plant (24)</v>
      </c>
      <c r="CL201" s="76">
        <f t="shared" si="346"/>
        <v>0</v>
      </c>
      <c r="CM201" s="2">
        <f t="shared" si="419"/>
        <v>0</v>
      </c>
      <c r="CN201" s="2">
        <f t="shared" si="419"/>
        <v>0</v>
      </c>
      <c r="CO201" s="2">
        <f t="shared" si="419"/>
        <v>0</v>
      </c>
      <c r="CP201" s="2">
        <f t="shared" si="419"/>
        <v>0</v>
      </c>
      <c r="CQ201" s="2">
        <f t="shared" si="419"/>
        <v>0</v>
      </c>
      <c r="CR201" s="2">
        <f t="shared" si="419"/>
        <v>0</v>
      </c>
    </row>
    <row r="202" spans="1:96">
      <c r="A202" s="50">
        <f t="shared" si="294"/>
        <v>202</v>
      </c>
      <c r="B202" t="s">
        <v>316</v>
      </c>
      <c r="C202" s="36" t="s">
        <v>394</v>
      </c>
      <c r="D202" s="28" t="s">
        <v>242</v>
      </c>
      <c r="E202" s="373">
        <f>PROFORMA!AY54</f>
        <v>1728000</v>
      </c>
      <c r="F202" s="60" t="str">
        <f t="shared" si="384"/>
        <v>as UG Storage Plant (24)</v>
      </c>
      <c r="G202" s="60"/>
      <c r="H202" s="2">
        <f t="shared" si="396"/>
        <v>1728000.0000000005</v>
      </c>
      <c r="I202" s="2">
        <f t="shared" si="397"/>
        <v>1233691.8523233186</v>
      </c>
      <c r="J202" s="2">
        <f t="shared" si="397"/>
        <v>460081.1537997314</v>
      </c>
      <c r="K202" s="2">
        <f t="shared" si="397"/>
        <v>0</v>
      </c>
      <c r="L202" s="2">
        <f t="shared" si="397"/>
        <v>12527.99980558025</v>
      </c>
      <c r="M202" s="2">
        <f t="shared" si="397"/>
        <v>21698.994071369962</v>
      </c>
      <c r="N202" s="2">
        <f t="shared" si="397"/>
        <v>0</v>
      </c>
      <c r="O202" s="2"/>
      <c r="P202" s="61" t="str">
        <f>E$1&amp;$A202&amp;"*     """</f>
        <v>E202*     "</v>
      </c>
      <c r="Q202" s="61"/>
      <c r="R202" s="14">
        <f t="shared" si="425"/>
        <v>0</v>
      </c>
      <c r="S202" s="14">
        <f t="shared" si="425"/>
        <v>0</v>
      </c>
      <c r="T202" s="14">
        <f t="shared" si="425"/>
        <v>0.13</v>
      </c>
      <c r="U202" s="14">
        <f t="shared" si="425"/>
        <v>0.87</v>
      </c>
      <c r="V202" s="14">
        <f t="shared" si="425"/>
        <v>0</v>
      </c>
      <c r="W202" s="14">
        <f t="shared" si="425"/>
        <v>0</v>
      </c>
      <c r="X202" s="14">
        <f t="shared" si="425"/>
        <v>0</v>
      </c>
      <c r="Y202" s="14">
        <f t="shared" si="425"/>
        <v>0</v>
      </c>
      <c r="Z202" s="14">
        <f t="shared" si="425"/>
        <v>0</v>
      </c>
      <c r="AA202" s="14">
        <f t="shared" si="425"/>
        <v>0</v>
      </c>
      <c r="AB202" s="14">
        <f t="shared" si="425"/>
        <v>0</v>
      </c>
      <c r="AC202" s="14">
        <f t="shared" si="425"/>
        <v>0</v>
      </c>
      <c r="AD202" s="14">
        <f t="shared" si="425"/>
        <v>0</v>
      </c>
      <c r="AE202" s="14">
        <f t="shared" si="425"/>
        <v>0</v>
      </c>
      <c r="AF202" s="14">
        <f t="shared" si="426"/>
        <v>0</v>
      </c>
      <c r="AG202" s="14">
        <f t="shared" si="426"/>
        <v>0</v>
      </c>
      <c r="AH202" s="14">
        <f t="shared" si="426"/>
        <v>0</v>
      </c>
      <c r="AI202" s="76">
        <f t="shared" si="337"/>
        <v>0</v>
      </c>
      <c r="AK202" s="2">
        <f t="shared" si="420"/>
        <v>1728000</v>
      </c>
      <c r="AL202" s="2">
        <f t="shared" si="398"/>
        <v>1728000</v>
      </c>
      <c r="AM202" s="2">
        <f t="shared" si="398"/>
        <v>0</v>
      </c>
      <c r="AN202" s="2">
        <f t="shared" si="398"/>
        <v>0</v>
      </c>
      <c r="AO202" s="2">
        <f t="shared" si="398"/>
        <v>0</v>
      </c>
      <c r="AP202" s="2"/>
      <c r="AQ202" s="61" t="str">
        <f t="shared" si="421"/>
        <v>E202*      "</v>
      </c>
      <c r="AS202" s="2">
        <f t="shared" si="422"/>
        <v>1728000.0000000005</v>
      </c>
      <c r="AT202" s="2">
        <f t="shared" si="399"/>
        <v>1233691.8523233186</v>
      </c>
      <c r="AU202" s="2">
        <f t="shared" si="399"/>
        <v>460081.1537997314</v>
      </c>
      <c r="AV202" s="2">
        <f t="shared" si="399"/>
        <v>0</v>
      </c>
      <c r="AW202" s="2">
        <f t="shared" si="399"/>
        <v>12527.99980558025</v>
      </c>
      <c r="AX202" s="2">
        <f t="shared" si="399"/>
        <v>21698.994071369962</v>
      </c>
      <c r="AY202" s="2">
        <f t="shared" si="399"/>
        <v>0</v>
      </c>
      <c r="BA202" s="2">
        <f t="shared" si="423"/>
        <v>0</v>
      </c>
      <c r="BB202" s="2">
        <f t="shared" si="400"/>
        <v>0</v>
      </c>
      <c r="BC202" s="2">
        <f t="shared" si="400"/>
        <v>0</v>
      </c>
      <c r="BD202" s="2">
        <f t="shared" si="400"/>
        <v>0</v>
      </c>
      <c r="BE202" s="2">
        <f t="shared" si="400"/>
        <v>0</v>
      </c>
      <c r="BF202" s="2">
        <f t="shared" si="400"/>
        <v>0</v>
      </c>
      <c r="BG202" s="2">
        <f t="shared" si="400"/>
        <v>0</v>
      </c>
      <c r="BI202" s="2">
        <f t="shared" si="401"/>
        <v>0</v>
      </c>
      <c r="BJ202" s="2">
        <f t="shared" si="402"/>
        <v>0</v>
      </c>
      <c r="BK202" s="2">
        <f t="shared" si="402"/>
        <v>0</v>
      </c>
      <c r="BL202" s="2">
        <f t="shared" si="402"/>
        <v>0</v>
      </c>
      <c r="BM202" s="2">
        <f t="shared" si="402"/>
        <v>0</v>
      </c>
      <c r="BN202" s="2">
        <f t="shared" si="402"/>
        <v>0</v>
      </c>
      <c r="BO202" s="2">
        <f t="shared" si="402"/>
        <v>0</v>
      </c>
      <c r="BQ202" s="28" t="s">
        <v>242</v>
      </c>
      <c r="BR202" s="23">
        <v>0</v>
      </c>
      <c r="BS202" s="14">
        <f t="shared" si="403"/>
        <v>0</v>
      </c>
      <c r="BT202" s="14">
        <f t="shared" si="403"/>
        <v>0</v>
      </c>
      <c r="BU202" s="14">
        <f t="shared" si="403"/>
        <v>0.13</v>
      </c>
      <c r="BV202" s="14">
        <f t="shared" si="404"/>
        <v>0.87</v>
      </c>
      <c r="BW202" s="14">
        <f t="shared" si="405"/>
        <v>0</v>
      </c>
      <c r="BX202" s="14">
        <f t="shared" si="406"/>
        <v>0</v>
      </c>
      <c r="BY202" s="14">
        <f t="shared" si="407"/>
        <v>0</v>
      </c>
      <c r="BZ202" s="14">
        <f t="shared" si="408"/>
        <v>0</v>
      </c>
      <c r="CA202" s="14">
        <f t="shared" si="409"/>
        <v>0</v>
      </c>
      <c r="CB202" s="14">
        <f t="shared" si="410"/>
        <v>0</v>
      </c>
      <c r="CC202" s="14">
        <f t="shared" si="411"/>
        <v>0</v>
      </c>
      <c r="CD202" s="14">
        <f t="shared" si="412"/>
        <v>0</v>
      </c>
      <c r="CE202" s="14">
        <f t="shared" si="413"/>
        <v>0</v>
      </c>
      <c r="CF202" s="14">
        <f t="shared" si="414"/>
        <v>0</v>
      </c>
      <c r="CG202" s="14">
        <f t="shared" si="415"/>
        <v>0</v>
      </c>
      <c r="CH202" s="14">
        <f t="shared" si="416"/>
        <v>0</v>
      </c>
      <c r="CI202" s="14">
        <f t="shared" si="417"/>
        <v>0</v>
      </c>
      <c r="CJ202" s="14"/>
      <c r="CK202" s="112" t="str">
        <f t="shared" si="418"/>
        <v>as UG Storage Plant (24)</v>
      </c>
      <c r="CL202" s="76">
        <f t="shared" si="346"/>
        <v>0</v>
      </c>
      <c r="CM202" s="2">
        <f t="shared" si="419"/>
        <v>0</v>
      </c>
      <c r="CN202" s="2">
        <f t="shared" si="419"/>
        <v>0</v>
      </c>
      <c r="CO202" s="2">
        <f t="shared" si="419"/>
        <v>0</v>
      </c>
      <c r="CP202" s="2">
        <f t="shared" si="419"/>
        <v>0</v>
      </c>
      <c r="CQ202" s="2">
        <f t="shared" si="419"/>
        <v>0</v>
      </c>
      <c r="CR202" s="2">
        <f t="shared" si="419"/>
        <v>0</v>
      </c>
    </row>
    <row r="203" spans="1:96">
      <c r="A203" s="50">
        <f t="shared" si="294"/>
        <v>203</v>
      </c>
      <c r="D203" s="52" t="s">
        <v>318</v>
      </c>
      <c r="E203" s="3">
        <f>SUM(E195:E202)</f>
        <v>1728000</v>
      </c>
      <c r="F203" s="62"/>
      <c r="G203" s="62"/>
      <c r="H203" s="3">
        <f>IF(ROUND(SUM(H195:H202),3)&lt;&gt;ROUND(SUM(I203:N203),3),#VALUE!,SUM(H195:H202))</f>
        <v>1728000.0000000005</v>
      </c>
      <c r="I203" s="3">
        <f t="shared" ref="I203:N203" si="427">SUM(I195:I202)</f>
        <v>1233691.8523233186</v>
      </c>
      <c r="J203" s="3">
        <f t="shared" si="427"/>
        <v>460081.1537997314</v>
      </c>
      <c r="K203" s="3">
        <f t="shared" si="427"/>
        <v>0</v>
      </c>
      <c r="L203" s="3">
        <f t="shared" si="427"/>
        <v>12527.99980558025</v>
      </c>
      <c r="M203" s="3">
        <f t="shared" si="427"/>
        <v>21698.994071369962</v>
      </c>
      <c r="N203" s="3">
        <f t="shared" si="427"/>
        <v>0</v>
      </c>
      <c r="O203" s="5"/>
      <c r="P203" s="61" t="str">
        <f>$A195&amp;":"&amp;$A202</f>
        <v>195:202</v>
      </c>
      <c r="Q203" s="61"/>
      <c r="R203" s="22">
        <f t="shared" ref="R203:AH203" si="428">SUMPRODUCT($E$195:$E$202,R$195:R$202)/$E203</f>
        <v>0</v>
      </c>
      <c r="S203" s="22">
        <f t="shared" si="428"/>
        <v>0</v>
      </c>
      <c r="T203" s="22">
        <f t="shared" si="428"/>
        <v>0.13</v>
      </c>
      <c r="U203" s="22">
        <f t="shared" si="428"/>
        <v>0.87</v>
      </c>
      <c r="V203" s="22">
        <f t="shared" si="428"/>
        <v>0</v>
      </c>
      <c r="W203" s="22">
        <f t="shared" si="428"/>
        <v>0</v>
      </c>
      <c r="X203" s="22">
        <f t="shared" si="428"/>
        <v>0</v>
      </c>
      <c r="Y203" s="22">
        <f t="shared" si="428"/>
        <v>0</v>
      </c>
      <c r="Z203" s="22">
        <f t="shared" si="428"/>
        <v>0</v>
      </c>
      <c r="AA203" s="22">
        <f t="shared" si="428"/>
        <v>0</v>
      </c>
      <c r="AB203" s="22">
        <f t="shared" si="428"/>
        <v>0</v>
      </c>
      <c r="AC203" s="22">
        <f t="shared" si="428"/>
        <v>0</v>
      </c>
      <c r="AD203" s="22">
        <f t="shared" si="428"/>
        <v>0</v>
      </c>
      <c r="AE203" s="22">
        <f t="shared" si="428"/>
        <v>0</v>
      </c>
      <c r="AF203" s="22">
        <f t="shared" si="428"/>
        <v>0</v>
      </c>
      <c r="AG203" s="22">
        <f t="shared" si="428"/>
        <v>0</v>
      </c>
      <c r="AH203" s="22">
        <f t="shared" si="428"/>
        <v>0</v>
      </c>
      <c r="AI203" s="76">
        <f t="shared" si="337"/>
        <v>0</v>
      </c>
      <c r="AK203" s="3">
        <f>IF(ROUND(SUM(AK195:AK202),3)&lt;&gt;ROUND(SUM(AL203:AO203),3),#VALUE!,SUM(AK195:AK202))</f>
        <v>1728000</v>
      </c>
      <c r="AL203" s="3">
        <f>SUM(AL195:AL202)</f>
        <v>1728000</v>
      </c>
      <c r="AM203" s="3">
        <f>SUM(AM195:AM202)</f>
        <v>0</v>
      </c>
      <c r="AN203" s="3">
        <f>SUM(AN195:AN202)</f>
        <v>0</v>
      </c>
      <c r="AO203" s="3">
        <f>SUM(AO195:AO202)</f>
        <v>0</v>
      </c>
      <c r="AP203" s="5"/>
      <c r="AQ203" s="61" t="str">
        <f>$A195&amp;":"&amp;$A202</f>
        <v>195:202</v>
      </c>
      <c r="AS203" s="3">
        <f>IF(ROUND(SUM(AS195:AS202),3)&lt;&gt;ROUND(SUM(AT203:AY203),3),#VALUE!,SUM(AS195:AS202))</f>
        <v>1728000.0000000005</v>
      </c>
      <c r="AT203" s="3">
        <f t="shared" ref="AT203:AY203" si="429">SUM(AT195:AT202)</f>
        <v>1233691.8523233186</v>
      </c>
      <c r="AU203" s="3">
        <f t="shared" si="429"/>
        <v>460081.1537997314</v>
      </c>
      <c r="AV203" s="3">
        <f t="shared" si="429"/>
        <v>0</v>
      </c>
      <c r="AW203" s="3">
        <f t="shared" si="429"/>
        <v>12527.99980558025</v>
      </c>
      <c r="AX203" s="3">
        <f t="shared" si="429"/>
        <v>21698.994071369962</v>
      </c>
      <c r="AY203" s="3">
        <f t="shared" si="429"/>
        <v>0</v>
      </c>
      <c r="BA203" s="3">
        <f>IF(ROUND(SUM(BA195:BA202),3)&lt;&gt;ROUND(SUM(BB203:BG203),3),#VALUE!,SUM(BA195:BA202))</f>
        <v>0</v>
      </c>
      <c r="BB203" s="3">
        <f t="shared" ref="BB203:BG203" si="430">SUM(BB195:BB202)</f>
        <v>0</v>
      </c>
      <c r="BC203" s="3">
        <f t="shared" si="430"/>
        <v>0</v>
      </c>
      <c r="BD203" s="3">
        <f t="shared" si="430"/>
        <v>0</v>
      </c>
      <c r="BE203" s="3">
        <f t="shared" si="430"/>
        <v>0</v>
      </c>
      <c r="BF203" s="3">
        <f t="shared" si="430"/>
        <v>0</v>
      </c>
      <c r="BG203" s="3">
        <f t="shared" si="430"/>
        <v>0</v>
      </c>
      <c r="BI203" s="3">
        <f>IF(ROUND(SUM(BI195:BI202),3)&lt;&gt;ROUND(SUM(BJ203:BO203),3),#VALUE!,SUM(BI195:BI202))</f>
        <v>0</v>
      </c>
      <c r="BJ203" s="3">
        <f t="shared" ref="BJ203:BO203" si="431">SUM(BJ195:BJ202)</f>
        <v>0</v>
      </c>
      <c r="BK203" s="3">
        <f t="shared" si="431"/>
        <v>0</v>
      </c>
      <c r="BL203" s="3">
        <f t="shared" si="431"/>
        <v>0</v>
      </c>
      <c r="BM203" s="3">
        <f t="shared" si="431"/>
        <v>0</v>
      </c>
      <c r="BN203" s="3">
        <f t="shared" si="431"/>
        <v>0</v>
      </c>
      <c r="BO203" s="3">
        <f t="shared" si="431"/>
        <v>0</v>
      </c>
      <c r="BQ203" s="52" t="s">
        <v>318</v>
      </c>
      <c r="BR203" s="686">
        <f>IF(ROUND(SUM(BR195:BR202),3)&lt;&gt;ROUND(SUM(CM203:CR203),3),#VALUE!,SUM(BR195:BR202))</f>
        <v>0</v>
      </c>
      <c r="BS203" s="22">
        <f>IF(SUM($BR$195:$BR$202)=0,0,SUMPRODUCT($BR$195:$BR$202,BS$195:BS$202)/$BR$203)</f>
        <v>0</v>
      </c>
      <c r="BT203" s="22">
        <f t="shared" ref="BT203:CI203" si="432">IF(SUM($BR$195:$BR$202)=0,0,SUMPRODUCT($BR$195:$BR$202,BT$195:BT$202)/$BR$203)</f>
        <v>0</v>
      </c>
      <c r="BU203" s="22">
        <f t="shared" si="432"/>
        <v>0</v>
      </c>
      <c r="BV203" s="22">
        <f t="shared" si="432"/>
        <v>0</v>
      </c>
      <c r="BW203" s="22">
        <f t="shared" si="432"/>
        <v>0</v>
      </c>
      <c r="BX203" s="22">
        <f t="shared" si="432"/>
        <v>0</v>
      </c>
      <c r="BY203" s="22">
        <f t="shared" si="432"/>
        <v>0</v>
      </c>
      <c r="BZ203" s="22">
        <f t="shared" si="432"/>
        <v>0</v>
      </c>
      <c r="CA203" s="22">
        <f t="shared" si="432"/>
        <v>0</v>
      </c>
      <c r="CB203" s="22">
        <f t="shared" si="432"/>
        <v>0</v>
      </c>
      <c r="CC203" s="22">
        <f t="shared" si="432"/>
        <v>0</v>
      </c>
      <c r="CD203" s="22">
        <f t="shared" si="432"/>
        <v>0</v>
      </c>
      <c r="CE203" s="22">
        <f t="shared" si="432"/>
        <v>0</v>
      </c>
      <c r="CF203" s="22">
        <f t="shared" si="432"/>
        <v>0</v>
      </c>
      <c r="CG203" s="22">
        <f t="shared" si="432"/>
        <v>0</v>
      </c>
      <c r="CH203" s="22">
        <f t="shared" si="432"/>
        <v>0</v>
      </c>
      <c r="CI203" s="22">
        <f t="shared" si="432"/>
        <v>0</v>
      </c>
      <c r="CJ203" s="42"/>
      <c r="CK203" s="42"/>
      <c r="CL203" s="76">
        <f t="shared" si="346"/>
        <v>0</v>
      </c>
      <c r="CM203" s="3">
        <f t="shared" ref="CM203:CR203" si="433">SUM(CM195:CM202)</f>
        <v>0</v>
      </c>
      <c r="CN203" s="3">
        <f t="shared" si="433"/>
        <v>0</v>
      </c>
      <c r="CO203" s="3">
        <f t="shared" si="433"/>
        <v>0</v>
      </c>
      <c r="CP203" s="3">
        <f t="shared" si="433"/>
        <v>0</v>
      </c>
      <c r="CQ203" s="3">
        <f t="shared" si="433"/>
        <v>0</v>
      </c>
      <c r="CR203" s="3">
        <f t="shared" si="433"/>
        <v>0</v>
      </c>
    </row>
    <row r="204" spans="1:96">
      <c r="A204" s="50">
        <f t="shared" ref="A204:A268" si="434">RowHdr</f>
        <v>204</v>
      </c>
      <c r="D204" s="53" t="s">
        <v>319</v>
      </c>
      <c r="E204" s="2">
        <f>E194+E203</f>
        <v>2299000</v>
      </c>
      <c r="F204" s="60"/>
      <c r="G204" s="60"/>
      <c r="H204" s="2">
        <f t="shared" ref="H204:N204" si="435">H194+H203</f>
        <v>2299000.0000000005</v>
      </c>
      <c r="I204" s="2">
        <f t="shared" si="435"/>
        <v>1641352.7595435819</v>
      </c>
      <c r="J204" s="2">
        <f t="shared" si="435"/>
        <v>612110.28506110096</v>
      </c>
      <c r="K204" s="2">
        <f t="shared" si="435"/>
        <v>0</v>
      </c>
      <c r="L204" s="2">
        <f t="shared" si="435"/>
        <v>16667.749741336222</v>
      </c>
      <c r="M204" s="2">
        <f t="shared" si="435"/>
        <v>28869.205653981218</v>
      </c>
      <c r="N204" s="2">
        <f t="shared" si="435"/>
        <v>0</v>
      </c>
      <c r="O204" s="2"/>
      <c r="P204" s="61" t="str">
        <f>$A194&amp;"+"&amp;$A203</f>
        <v>194+203</v>
      </c>
      <c r="Q204" s="61"/>
      <c r="R204" s="14">
        <f t="shared" ref="R204:AH204" si="436">($E$194*R$194+$E$203*R$203)/SUM($E194,$E203)</f>
        <v>0</v>
      </c>
      <c r="S204" s="14">
        <f t="shared" si="436"/>
        <v>0</v>
      </c>
      <c r="T204" s="14">
        <f t="shared" si="436"/>
        <v>0.13</v>
      </c>
      <c r="U204" s="14">
        <f>($E$194*U$194+$E$203*U$203)/SUM($E194,$E203)</f>
        <v>0.87</v>
      </c>
      <c r="V204" s="14">
        <f>($E$194*V$194+$E$203*V$203)/SUM($E194,$E203)</f>
        <v>0</v>
      </c>
      <c r="W204" s="14">
        <f t="shared" si="436"/>
        <v>0</v>
      </c>
      <c r="X204" s="14">
        <f t="shared" si="436"/>
        <v>0</v>
      </c>
      <c r="Y204" s="14">
        <f>($E$194*Y$194+$E$203*Y$203)/SUM($E194,$E203)</f>
        <v>0</v>
      </c>
      <c r="Z204" s="14">
        <f t="shared" si="436"/>
        <v>0</v>
      </c>
      <c r="AA204" s="14">
        <f t="shared" si="436"/>
        <v>0</v>
      </c>
      <c r="AB204" s="14">
        <f t="shared" si="436"/>
        <v>0</v>
      </c>
      <c r="AC204" s="14">
        <f t="shared" si="436"/>
        <v>0</v>
      </c>
      <c r="AD204" s="14">
        <f t="shared" si="436"/>
        <v>0</v>
      </c>
      <c r="AE204" s="14">
        <f t="shared" si="436"/>
        <v>0</v>
      </c>
      <c r="AF204" s="14">
        <f t="shared" si="436"/>
        <v>0</v>
      </c>
      <c r="AG204" s="14">
        <f>($E$194*AG$194+$E$203*AG$203)/SUM($E194,$E203)</f>
        <v>0</v>
      </c>
      <c r="AH204" s="14">
        <f t="shared" si="436"/>
        <v>0</v>
      </c>
      <c r="AI204" s="76">
        <f t="shared" si="337"/>
        <v>0</v>
      </c>
      <c r="AK204" s="2">
        <f>AK194+AK203</f>
        <v>2299000</v>
      </c>
      <c r="AL204" s="2">
        <f>AL194+AL203</f>
        <v>2299000</v>
      </c>
      <c r="AM204" s="2">
        <f>AM194+AM203</f>
        <v>0</v>
      </c>
      <c r="AN204" s="2">
        <f>AN194+AN203</f>
        <v>0</v>
      </c>
      <c r="AO204" s="2">
        <f>AO194+AO203</f>
        <v>0</v>
      </c>
      <c r="AP204" s="2"/>
      <c r="AQ204" s="61" t="str">
        <f>$A194&amp;"+"&amp;$A203</f>
        <v>194+203</v>
      </c>
      <c r="AS204" s="2">
        <f t="shared" ref="AS204:AY204" si="437">AS194+AS203</f>
        <v>2299000.0000000005</v>
      </c>
      <c r="AT204" s="2">
        <f t="shared" si="437"/>
        <v>1641352.7595435819</v>
      </c>
      <c r="AU204" s="2">
        <f t="shared" si="437"/>
        <v>612110.28506110096</v>
      </c>
      <c r="AV204" s="2">
        <f t="shared" si="437"/>
        <v>0</v>
      </c>
      <c r="AW204" s="2">
        <f t="shared" si="437"/>
        <v>16667.749741336222</v>
      </c>
      <c r="AX204" s="2">
        <f t="shared" si="437"/>
        <v>28869.205653981218</v>
      </c>
      <c r="AY204" s="2">
        <f t="shared" si="437"/>
        <v>0</v>
      </c>
      <c r="BA204" s="2">
        <f t="shared" ref="BA204:BG204" si="438">BA194+BA203</f>
        <v>0</v>
      </c>
      <c r="BB204" s="2">
        <f t="shared" si="438"/>
        <v>0</v>
      </c>
      <c r="BC204" s="2">
        <f t="shared" si="438"/>
        <v>0</v>
      </c>
      <c r="BD204" s="2">
        <f t="shared" si="438"/>
        <v>0</v>
      </c>
      <c r="BE204" s="2">
        <f t="shared" si="438"/>
        <v>0</v>
      </c>
      <c r="BF204" s="2">
        <f t="shared" si="438"/>
        <v>0</v>
      </c>
      <c r="BG204" s="2">
        <f t="shared" si="438"/>
        <v>0</v>
      </c>
      <c r="BI204" s="2">
        <f t="shared" ref="BI204:BO204" si="439">BI194+BI203</f>
        <v>0</v>
      </c>
      <c r="BJ204" s="2">
        <f t="shared" si="439"/>
        <v>0</v>
      </c>
      <c r="BK204" s="2">
        <f t="shared" si="439"/>
        <v>0</v>
      </c>
      <c r="BL204" s="2">
        <f t="shared" si="439"/>
        <v>0</v>
      </c>
      <c r="BM204" s="2">
        <f t="shared" si="439"/>
        <v>0</v>
      </c>
      <c r="BN204" s="2">
        <f t="shared" si="439"/>
        <v>0</v>
      </c>
      <c r="BO204" s="2">
        <f t="shared" si="439"/>
        <v>0</v>
      </c>
      <c r="BQ204" s="53" t="s">
        <v>319</v>
      </c>
      <c r="BR204" s="21">
        <f>BR194+BR203</f>
        <v>0.01</v>
      </c>
      <c r="BS204" s="14">
        <f>($BR$194*BS$194+$BR$203*BS$203)/($BR$194+$BR$203)</f>
        <v>0</v>
      </c>
      <c r="BT204" s="14">
        <f t="shared" ref="BT204:CI204" si="440">($BR$194*BT$194+$BR$203*BT$203)/($BR$194+$BR$203)</f>
        <v>0</v>
      </c>
      <c r="BU204" s="14">
        <f t="shared" si="440"/>
        <v>0.13</v>
      </c>
      <c r="BV204" s="14">
        <f t="shared" si="440"/>
        <v>0.86999999999999988</v>
      </c>
      <c r="BW204" s="14">
        <f t="shared" si="440"/>
        <v>0</v>
      </c>
      <c r="BX204" s="14">
        <f t="shared" si="440"/>
        <v>0</v>
      </c>
      <c r="BY204" s="14">
        <f t="shared" si="440"/>
        <v>0</v>
      </c>
      <c r="BZ204" s="14">
        <f t="shared" si="440"/>
        <v>0</v>
      </c>
      <c r="CA204" s="14">
        <f t="shared" si="440"/>
        <v>0</v>
      </c>
      <c r="CB204" s="14">
        <f t="shared" si="440"/>
        <v>0</v>
      </c>
      <c r="CC204" s="14">
        <f t="shared" si="440"/>
        <v>0</v>
      </c>
      <c r="CD204" s="14">
        <f t="shared" si="440"/>
        <v>0</v>
      </c>
      <c r="CE204" s="14">
        <f t="shared" si="440"/>
        <v>0</v>
      </c>
      <c r="CF204" s="14">
        <f t="shared" si="440"/>
        <v>0</v>
      </c>
      <c r="CG204" s="14">
        <f t="shared" si="440"/>
        <v>0</v>
      </c>
      <c r="CH204" s="14">
        <f t="shared" si="440"/>
        <v>0</v>
      </c>
      <c r="CI204" s="14">
        <f t="shared" si="440"/>
        <v>0</v>
      </c>
      <c r="CJ204" s="14"/>
      <c r="CK204" s="14"/>
      <c r="CL204" s="76">
        <f t="shared" si="346"/>
        <v>0</v>
      </c>
      <c r="CM204" s="2">
        <f t="shared" ref="CM204:CR204" si="441">CM194+CM203</f>
        <v>7.1394204416858707E-3</v>
      </c>
      <c r="CN204" s="2">
        <f t="shared" si="441"/>
        <v>2.6625066770817789E-3</v>
      </c>
      <c r="CO204" s="2">
        <f t="shared" si="441"/>
        <v>0</v>
      </c>
      <c r="CP204" s="2">
        <f t="shared" si="441"/>
        <v>7.2499998874885703E-5</v>
      </c>
      <c r="CQ204" s="2">
        <f t="shared" si="441"/>
        <v>1.2557288235746504E-4</v>
      </c>
      <c r="CR204" s="2">
        <f t="shared" si="441"/>
        <v>0</v>
      </c>
    </row>
    <row r="205" spans="1:96">
      <c r="A205" s="50">
        <f t="shared" si="434"/>
        <v>205</v>
      </c>
      <c r="D205" s="10"/>
      <c r="E205" s="2"/>
      <c r="F205" s="60"/>
      <c r="G205" s="60"/>
      <c r="P205" s="61"/>
      <c r="Q205" s="61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76">
        <f t="shared" si="337"/>
        <v>0</v>
      </c>
      <c r="AQ205" s="61"/>
      <c r="BQ205" s="10"/>
      <c r="CL205" s="76">
        <f t="shared" si="346"/>
        <v>0</v>
      </c>
    </row>
    <row r="206" spans="1:96">
      <c r="A206" s="50">
        <f t="shared" si="434"/>
        <v>206</v>
      </c>
      <c r="D206" t="s">
        <v>6</v>
      </c>
      <c r="E206" s="2"/>
      <c r="F206" s="60"/>
      <c r="G206" s="60"/>
      <c r="P206" s="61"/>
      <c r="Q206" s="61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76">
        <f t="shared" si="337"/>
        <v>0</v>
      </c>
      <c r="AQ206" s="61"/>
      <c r="BQ206" t="s">
        <v>6</v>
      </c>
      <c r="CL206" s="76">
        <f t="shared" si="346"/>
        <v>0</v>
      </c>
    </row>
    <row r="207" spans="1:96">
      <c r="A207" s="50">
        <f t="shared" si="434"/>
        <v>207</v>
      </c>
      <c r="B207" t="s">
        <v>320</v>
      </c>
      <c r="C207" s="36" t="s">
        <v>154</v>
      </c>
      <c r="D207" s="28" t="s">
        <v>1</v>
      </c>
      <c r="E207" s="373">
        <f>PROFORMA!AY70</f>
        <v>1762000</v>
      </c>
      <c r="F207" s="60" t="str">
        <f>"as Distrib Plant ("&amp;A$41&amp;")"</f>
        <v>as Distrib Plant (41)</v>
      </c>
      <c r="G207" s="60" t="s">
        <v>435</v>
      </c>
      <c r="H207" s="2">
        <f t="shared" ref="H207:H216" si="442">SUM(I207:N207)</f>
        <v>1762000.0000000002</v>
      </c>
      <c r="I207" s="2">
        <f t="shared" ref="I207:N216" si="443">$E207*SUMPRODUCT($R207:$AH207,INDEX(AllocFactors,I$4,0))</f>
        <v>1322610.3823955378</v>
      </c>
      <c r="J207" s="2">
        <f t="shared" si="443"/>
        <v>338287.15810096491</v>
      </c>
      <c r="K207" s="2">
        <f t="shared" si="443"/>
        <v>0</v>
      </c>
      <c r="L207" s="2">
        <f t="shared" si="443"/>
        <v>8350.2517682296966</v>
      </c>
      <c r="M207" s="2">
        <f t="shared" si="443"/>
        <v>92752.207735267802</v>
      </c>
      <c r="N207" s="2">
        <f t="shared" si="443"/>
        <v>0</v>
      </c>
      <c r="O207" s="2"/>
      <c r="P207" s="61" t="str">
        <f>E$1&amp;$A207&amp;"* Sum["&amp;$R$1&amp;$A207&amp;":"&amp;$AH$1&amp;$A207&amp;"* "&amp;Factors!D$1&amp;Factors!$A$58&amp;":"&amp;Factors!S$1&amp;Factors!$A$64&amp;"]"</f>
        <v>E207* Sum[R207:AH207* D1042:S1048]</v>
      </c>
      <c r="Q207" s="61"/>
      <c r="R207" s="14">
        <f>R$41</f>
        <v>0.1933876764871075</v>
      </c>
      <c r="S207" s="14">
        <f>S$41</f>
        <v>0</v>
      </c>
      <c r="T207" s="14">
        <f t="shared" ref="T207:AH207" si="444">T$41</f>
        <v>0</v>
      </c>
      <c r="U207" s="14">
        <f t="shared" si="444"/>
        <v>0</v>
      </c>
      <c r="V207" s="14">
        <f t="shared" si="444"/>
        <v>0</v>
      </c>
      <c r="W207" s="14">
        <f t="shared" si="444"/>
        <v>0.31084546333511004</v>
      </c>
      <c r="X207" s="14">
        <f t="shared" si="444"/>
        <v>0</v>
      </c>
      <c r="Y207" s="14">
        <f t="shared" si="444"/>
        <v>0</v>
      </c>
      <c r="Z207" s="14">
        <f>Z$41</f>
        <v>0</v>
      </c>
      <c r="AA207" s="14">
        <f t="shared" si="444"/>
        <v>0</v>
      </c>
      <c r="AB207" s="14">
        <f>AB$41</f>
        <v>0</v>
      </c>
      <c r="AC207" s="14">
        <f t="shared" si="444"/>
        <v>0.35888972828992466</v>
      </c>
      <c r="AD207" s="14">
        <f t="shared" si="444"/>
        <v>0.13220566312906262</v>
      </c>
      <c r="AE207" s="14">
        <f>AE$41</f>
        <v>0</v>
      </c>
      <c r="AF207" s="14">
        <f t="shared" si="444"/>
        <v>4.6714687587951949E-3</v>
      </c>
      <c r="AG207" s="14">
        <f t="shared" si="444"/>
        <v>0</v>
      </c>
      <c r="AH207" s="14">
        <f t="shared" si="444"/>
        <v>0</v>
      </c>
      <c r="AI207" s="76">
        <f t="shared" si="337"/>
        <v>0</v>
      </c>
      <c r="AK207" s="2">
        <f t="shared" ref="AK207:AK216" si="445">SUM(AL207:AO207)</f>
        <v>1762000</v>
      </c>
      <c r="AL207" s="2">
        <f t="shared" ref="AL207:AO216" si="446">SUMIF($R$4:$AH$4,AL$5,$R207:$AH207)*$E207</f>
        <v>340749.08597028343</v>
      </c>
      <c r="AM207" s="2">
        <f t="shared" si="446"/>
        <v>547709.70639646391</v>
      </c>
      <c r="AN207" s="2">
        <f t="shared" si="446"/>
        <v>873541.20763325272</v>
      </c>
      <c r="AO207" s="2">
        <f t="shared" si="446"/>
        <v>0</v>
      </c>
      <c r="AP207" s="2"/>
      <c r="AQ207" s="61" t="str">
        <f>E$1&amp;$A207&amp;"*["&amp;R$1&amp;$A207&amp;":"&amp;$AH$1&amp;$A207&amp;" when "&amp;R$1&amp;$A$4&amp;":"&amp;$AH$1&amp;$A$4&amp;" = E,D,C,or R]"</f>
        <v>E207*[R207:AH207 when R4:AH4 = E,D,C,or R]</v>
      </c>
      <c r="AS207" s="2">
        <f t="shared" ref="AS207:AS216" si="447">SUM(AT207:AY207)</f>
        <v>340749.08597028349</v>
      </c>
      <c r="AT207" s="2">
        <f t="shared" ref="AT207:AY216" si="448">$E207*SUMPRODUCT($R207:$V207,INDEX(AllocFactors_E,AT$4,0))</f>
        <v>195739.40537008469</v>
      </c>
      <c r="AU207" s="2">
        <f t="shared" si="448"/>
        <v>94838.704353065492</v>
      </c>
      <c r="AV207" s="2">
        <f t="shared" si="448"/>
        <v>0</v>
      </c>
      <c r="AW207" s="2">
        <f t="shared" si="448"/>
        <v>3872.6966172857597</v>
      </c>
      <c r="AX207" s="2">
        <f t="shared" si="448"/>
        <v>46298.27962984753</v>
      </c>
      <c r="AY207" s="2">
        <f t="shared" si="448"/>
        <v>0</v>
      </c>
      <c r="BA207" s="2">
        <f t="shared" ref="BA207:BA216" si="449">SUM(BB207:BG207)</f>
        <v>547709.70639646379</v>
      </c>
      <c r="BB207" s="2">
        <f t="shared" ref="BB207:BG216" si="450">$E207*SUMPRODUCT($W207:$AA207,INDEX(AllocFactors_D,BB$4,0))</f>
        <v>309648.48825828813</v>
      </c>
      <c r="BC207" s="2">
        <f t="shared" si="450"/>
        <v>191100.1141125423</v>
      </c>
      <c r="BD207" s="2">
        <f t="shared" si="450"/>
        <v>0</v>
      </c>
      <c r="BE207" s="2">
        <f t="shared" si="450"/>
        <v>4117.5720163598507</v>
      </c>
      <c r="BF207" s="2">
        <f t="shared" si="450"/>
        <v>42843.53200927352</v>
      </c>
      <c r="BG207" s="2">
        <f t="shared" si="450"/>
        <v>0</v>
      </c>
      <c r="BI207" s="2">
        <f t="shared" ref="BI207:BI216" si="451">SUM(BJ207:BO207)</f>
        <v>873541.2076332526</v>
      </c>
      <c r="BJ207" s="2">
        <f t="shared" ref="BJ207:BO216" si="452">$E207*SUMPRODUCT($AB207:$AG207,INDEX(AllocFactors_C,BJ$4,0))</f>
        <v>817222.48876716476</v>
      </c>
      <c r="BK207" s="2">
        <f t="shared" si="452"/>
        <v>52348.339635357086</v>
      </c>
      <c r="BL207" s="2">
        <f t="shared" si="452"/>
        <v>0</v>
      </c>
      <c r="BM207" s="2">
        <f t="shared" si="452"/>
        <v>359.98313458408586</v>
      </c>
      <c r="BN207" s="2">
        <f t="shared" si="452"/>
        <v>3610.3960961467751</v>
      </c>
      <c r="BO207" s="2">
        <f t="shared" si="452"/>
        <v>0</v>
      </c>
      <c r="BQ207" s="28" t="s">
        <v>1</v>
      </c>
      <c r="BR207" s="23">
        <v>1383289</v>
      </c>
      <c r="BS207" s="14">
        <f t="shared" ref="BS207:BU214" si="453">R207</f>
        <v>0.1933876764871075</v>
      </c>
      <c r="BT207" s="14">
        <f t="shared" si="453"/>
        <v>0</v>
      </c>
      <c r="BU207" s="14">
        <f t="shared" si="453"/>
        <v>0</v>
      </c>
      <c r="BV207" s="14">
        <f t="shared" ref="BV207:BV214" si="454">U207</f>
        <v>0</v>
      </c>
      <c r="BW207" s="14">
        <f t="shared" ref="BW207:BW214" si="455">V207</f>
        <v>0</v>
      </c>
      <c r="BX207" s="14">
        <f t="shared" ref="BX207:BX214" si="456">W207</f>
        <v>0.31084546333511004</v>
      </c>
      <c r="BY207" s="14">
        <f t="shared" ref="BY207:BY214" si="457">X207</f>
        <v>0</v>
      </c>
      <c r="BZ207" s="14">
        <f t="shared" ref="BZ207:BZ214" si="458">Y207</f>
        <v>0</v>
      </c>
      <c r="CA207" s="14">
        <f t="shared" ref="CA207:CA214" si="459">Z207</f>
        <v>0</v>
      </c>
      <c r="CB207" s="14">
        <f t="shared" ref="CB207:CB214" si="460">AA207</f>
        <v>0</v>
      </c>
      <c r="CC207" s="14">
        <f t="shared" ref="CC207:CC214" si="461">AB207</f>
        <v>0</v>
      </c>
      <c r="CD207" s="14">
        <f t="shared" ref="CD207:CD214" si="462">AC207</f>
        <v>0.35888972828992466</v>
      </c>
      <c r="CE207" s="14">
        <f t="shared" ref="CE207:CE214" si="463">AD207</f>
        <v>0.13220566312906262</v>
      </c>
      <c r="CF207" s="14">
        <f t="shared" ref="CF207:CF214" si="464">AE207</f>
        <v>0</v>
      </c>
      <c r="CG207" s="14">
        <f t="shared" ref="CG207:CG214" si="465">AF207</f>
        <v>4.6714687587951949E-3</v>
      </c>
      <c r="CH207" s="14">
        <f t="shared" ref="CH207:CH214" si="466">AG207</f>
        <v>0</v>
      </c>
      <c r="CI207" s="14">
        <f t="shared" ref="CI207:CI214" si="467">AH207</f>
        <v>0</v>
      </c>
      <c r="CJ207" s="14"/>
      <c r="CK207" s="112" t="str">
        <f t="shared" ref="CK207:CK214" si="468">F207</f>
        <v>as Distrib Plant (41)</v>
      </c>
      <c r="CL207" s="76">
        <f t="shared" si="346"/>
        <v>0</v>
      </c>
      <c r="CM207" s="2">
        <f t="shared" ref="CM207:CR216" si="469">$BR207*SUMPRODUCT($BS207:$CI207,INDEX(AllocFactors,CM$172,0))</f>
        <v>1038338.4751722708</v>
      </c>
      <c r="CN207" s="2">
        <f t="shared" si="469"/>
        <v>265578.265971808</v>
      </c>
      <c r="CO207" s="2">
        <f t="shared" si="469"/>
        <v>0</v>
      </c>
      <c r="CP207" s="2">
        <f t="shared" si="469"/>
        <v>6555.5115880946014</v>
      </c>
      <c r="CQ207" s="2">
        <f t="shared" si="469"/>
        <v>72816.747267826824</v>
      </c>
      <c r="CR207" s="2">
        <f t="shared" si="469"/>
        <v>0</v>
      </c>
    </row>
    <row r="208" spans="1:96">
      <c r="A208" s="50">
        <f t="shared" si="434"/>
        <v>208</v>
      </c>
      <c r="B208" t="s">
        <v>321</v>
      </c>
      <c r="C208" s="36" t="s">
        <v>154</v>
      </c>
      <c r="D208" s="28" t="s">
        <v>330</v>
      </c>
      <c r="E208" s="373">
        <f>PROFORMA!AY71</f>
        <v>0</v>
      </c>
      <c r="F208" s="60" t="s">
        <v>444</v>
      </c>
      <c r="G208" s="60" t="s">
        <v>436</v>
      </c>
      <c r="H208" s="2">
        <f t="shared" si="442"/>
        <v>0</v>
      </c>
      <c r="I208" s="2">
        <f t="shared" si="443"/>
        <v>0</v>
      </c>
      <c r="J208" s="2">
        <f t="shared" si="443"/>
        <v>0</v>
      </c>
      <c r="K208" s="2">
        <f t="shared" si="443"/>
        <v>0</v>
      </c>
      <c r="L208" s="2">
        <f t="shared" si="443"/>
        <v>0</v>
      </c>
      <c r="M208" s="2">
        <f t="shared" si="443"/>
        <v>0</v>
      </c>
      <c r="N208" s="2">
        <f t="shared" si="443"/>
        <v>0</v>
      </c>
      <c r="O208" s="2"/>
      <c r="P208" s="61" t="str">
        <f t="shared" ref="P208:P216" si="470">E$1&amp;$A208&amp;"*     """</f>
        <v>E208*     "</v>
      </c>
      <c r="Q208" s="61"/>
      <c r="R208" s="79">
        <v>1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76">
        <f t="shared" ref="AI208:AI239" si="471">IF(SUM(R208:AH208)&lt;&gt;0,(ROUND(SUM(R208:AH208),8)&lt;&gt;1)+0,0)</f>
        <v>0</v>
      </c>
      <c r="AK208" s="2">
        <f t="shared" si="445"/>
        <v>0</v>
      </c>
      <c r="AL208" s="2">
        <f t="shared" si="446"/>
        <v>0</v>
      </c>
      <c r="AM208" s="2">
        <f t="shared" si="446"/>
        <v>0</v>
      </c>
      <c r="AN208" s="2">
        <f t="shared" si="446"/>
        <v>0</v>
      </c>
      <c r="AO208" s="2">
        <f t="shared" si="446"/>
        <v>0</v>
      </c>
      <c r="AP208" s="2"/>
      <c r="AQ208" s="61" t="str">
        <f t="shared" ref="AQ208:AQ216" si="472">E$1&amp;$A208&amp;"*      """</f>
        <v>E208*      "</v>
      </c>
      <c r="AS208" s="2">
        <f t="shared" si="447"/>
        <v>0</v>
      </c>
      <c r="AT208" s="2">
        <f t="shared" si="448"/>
        <v>0</v>
      </c>
      <c r="AU208" s="2">
        <f t="shared" si="448"/>
        <v>0</v>
      </c>
      <c r="AV208" s="2">
        <f t="shared" si="448"/>
        <v>0</v>
      </c>
      <c r="AW208" s="2">
        <f t="shared" si="448"/>
        <v>0</v>
      </c>
      <c r="AX208" s="2">
        <f t="shared" si="448"/>
        <v>0</v>
      </c>
      <c r="AY208" s="2">
        <f t="shared" si="448"/>
        <v>0</v>
      </c>
      <c r="BA208" s="2">
        <f t="shared" si="449"/>
        <v>0</v>
      </c>
      <c r="BB208" s="2">
        <f t="shared" si="450"/>
        <v>0</v>
      </c>
      <c r="BC208" s="2">
        <f t="shared" si="450"/>
        <v>0</v>
      </c>
      <c r="BD208" s="2">
        <f t="shared" si="450"/>
        <v>0</v>
      </c>
      <c r="BE208" s="2">
        <f t="shared" si="450"/>
        <v>0</v>
      </c>
      <c r="BF208" s="2">
        <f t="shared" si="450"/>
        <v>0</v>
      </c>
      <c r="BG208" s="2">
        <f t="shared" si="450"/>
        <v>0</v>
      </c>
      <c r="BI208" s="2">
        <f t="shared" si="451"/>
        <v>0</v>
      </c>
      <c r="BJ208" s="2">
        <f t="shared" si="452"/>
        <v>0</v>
      </c>
      <c r="BK208" s="2">
        <f t="shared" si="452"/>
        <v>0</v>
      </c>
      <c r="BL208" s="2">
        <f t="shared" si="452"/>
        <v>0</v>
      </c>
      <c r="BM208" s="2">
        <f t="shared" si="452"/>
        <v>0</v>
      </c>
      <c r="BN208" s="2">
        <f t="shared" si="452"/>
        <v>0</v>
      </c>
      <c r="BO208" s="2">
        <f t="shared" si="452"/>
        <v>0</v>
      </c>
      <c r="BQ208" s="28" t="s">
        <v>330</v>
      </c>
      <c r="BR208" s="23">
        <v>0</v>
      </c>
      <c r="BS208" s="14">
        <f t="shared" si="453"/>
        <v>1</v>
      </c>
      <c r="BT208" s="14">
        <f t="shared" si="453"/>
        <v>0</v>
      </c>
      <c r="BU208" s="14">
        <f t="shared" si="453"/>
        <v>0</v>
      </c>
      <c r="BV208" s="14">
        <f t="shared" si="454"/>
        <v>0</v>
      </c>
      <c r="BW208" s="14">
        <f t="shared" si="455"/>
        <v>0</v>
      </c>
      <c r="BX208" s="14">
        <f t="shared" si="456"/>
        <v>0</v>
      </c>
      <c r="BY208" s="14">
        <f t="shared" si="457"/>
        <v>0</v>
      </c>
      <c r="BZ208" s="14">
        <f t="shared" si="458"/>
        <v>0</v>
      </c>
      <c r="CA208" s="14">
        <f t="shared" si="459"/>
        <v>0</v>
      </c>
      <c r="CB208" s="14">
        <f t="shared" si="460"/>
        <v>0</v>
      </c>
      <c r="CC208" s="14">
        <f t="shared" si="461"/>
        <v>0</v>
      </c>
      <c r="CD208" s="14">
        <f t="shared" si="462"/>
        <v>0</v>
      </c>
      <c r="CE208" s="14">
        <f t="shared" si="463"/>
        <v>0</v>
      </c>
      <c r="CF208" s="14">
        <f t="shared" si="464"/>
        <v>0</v>
      </c>
      <c r="CG208" s="14">
        <f t="shared" si="465"/>
        <v>0</v>
      </c>
      <c r="CH208" s="14">
        <f t="shared" si="466"/>
        <v>0</v>
      </c>
      <c r="CI208" s="14">
        <f t="shared" si="467"/>
        <v>0</v>
      </c>
      <c r="CJ208" s="14"/>
      <c r="CK208" s="112" t="str">
        <f t="shared" si="468"/>
        <v>Input - 100% Throughput</v>
      </c>
      <c r="CL208" s="76">
        <f t="shared" si="346"/>
        <v>0</v>
      </c>
      <c r="CM208" s="2">
        <f t="shared" si="469"/>
        <v>0</v>
      </c>
      <c r="CN208" s="2">
        <f t="shared" si="469"/>
        <v>0</v>
      </c>
      <c r="CO208" s="2">
        <f t="shared" si="469"/>
        <v>0</v>
      </c>
      <c r="CP208" s="2">
        <f t="shared" si="469"/>
        <v>0</v>
      </c>
      <c r="CQ208" s="2">
        <f t="shared" si="469"/>
        <v>0</v>
      </c>
      <c r="CR208" s="2">
        <f t="shared" si="469"/>
        <v>0</v>
      </c>
    </row>
    <row r="209" spans="1:96">
      <c r="A209" s="50">
        <f t="shared" si="434"/>
        <v>209</v>
      </c>
      <c r="B209" t="s">
        <v>322</v>
      </c>
      <c r="C209" s="36" t="s">
        <v>154</v>
      </c>
      <c r="D209" s="28" t="s">
        <v>331</v>
      </c>
      <c r="E209" s="373">
        <f>PROFORMA!AY73</f>
        <v>3535000</v>
      </c>
      <c r="F209" s="60" t="str">
        <f>"as 376/380 Mn/Sv Plt ("&amp;A$29&amp;","&amp;A$31&amp;","&amp;A$34&amp;")"</f>
        <v>as 376/380 Mn/Sv Plt (29,31,34)</v>
      </c>
      <c r="G209" s="60" t="s">
        <v>436</v>
      </c>
      <c r="H209" s="2">
        <f>SUM(I209:N209)</f>
        <v>3535000</v>
      </c>
      <c r="I209" s="2">
        <f t="shared" si="443"/>
        <v>2618849.1517389384</v>
      </c>
      <c r="J209" s="2">
        <f t="shared" si="443"/>
        <v>687996.59062834887</v>
      </c>
      <c r="K209" s="2">
        <f t="shared" si="443"/>
        <v>0</v>
      </c>
      <c r="L209" s="2">
        <f t="shared" si="443"/>
        <v>18523.81795336054</v>
      </c>
      <c r="M209" s="2">
        <f t="shared" si="443"/>
        <v>209630.43967935196</v>
      </c>
      <c r="N209" s="2">
        <f t="shared" si="443"/>
        <v>0</v>
      </c>
      <c r="O209" s="2"/>
      <c r="P209" s="61" t="str">
        <f t="shared" si="470"/>
        <v>E209*     "</v>
      </c>
      <c r="Q209" s="61"/>
      <c r="R209" s="14">
        <f>($E29*R$29+$E30*R$30+$E34*R$34)/SUM($E$29,$E$30,$E$34)</f>
        <v>0.22211795679808352</v>
      </c>
      <c r="S209" s="14">
        <f>($E29*S$29+$E30*S$30+$E34*S$34)/SUM($E$29,$E$30,$E$34)</f>
        <v>0</v>
      </c>
      <c r="T209" s="14">
        <f>($E29*T$29+$E30*T$30+$E34*T$34)/SUM($E$29,$E$30,$E$34)</f>
        <v>0</v>
      </c>
      <c r="U209" s="14">
        <f t="shared" ref="U209:AH209" si="473">($E29*U$29+$E30*U$30+$E34*U$34)/SUM($E$29,$E$30,$E$34)</f>
        <v>0</v>
      </c>
      <c r="V209" s="14">
        <f t="shared" si="473"/>
        <v>0</v>
      </c>
      <c r="W209" s="14">
        <f t="shared" si="473"/>
        <v>0.35702564118945385</v>
      </c>
      <c r="X209" s="14">
        <f t="shared" si="473"/>
        <v>0</v>
      </c>
      <c r="Y209" s="14">
        <f t="shared" si="473"/>
        <v>0</v>
      </c>
      <c r="Z209" s="14">
        <f t="shared" si="473"/>
        <v>0</v>
      </c>
      <c r="AA209" s="14">
        <f t="shared" si="473"/>
        <v>0</v>
      </c>
      <c r="AB209" s="14">
        <f t="shared" si="473"/>
        <v>0</v>
      </c>
      <c r="AC209" s="14">
        <f t="shared" si="473"/>
        <v>0.4208564020124626</v>
      </c>
      <c r="AD209" s="14">
        <f t="shared" si="473"/>
        <v>0</v>
      </c>
      <c r="AE209" s="14">
        <f t="shared" si="473"/>
        <v>0</v>
      </c>
      <c r="AF209" s="14">
        <f t="shared" si="473"/>
        <v>0</v>
      </c>
      <c r="AG209" s="14">
        <f t="shared" si="473"/>
        <v>0</v>
      </c>
      <c r="AH209" s="14">
        <f t="shared" si="473"/>
        <v>0</v>
      </c>
      <c r="AI209" s="76">
        <f t="shared" si="471"/>
        <v>0</v>
      </c>
      <c r="AK209" s="2">
        <f>SUM(AL209:AO209)</f>
        <v>3535000</v>
      </c>
      <c r="AL209" s="2">
        <f t="shared" si="446"/>
        <v>785186.97728122526</v>
      </c>
      <c r="AM209" s="2">
        <f t="shared" si="446"/>
        <v>1262085.6416047195</v>
      </c>
      <c r="AN209" s="2">
        <f t="shared" si="446"/>
        <v>1487727.3811140554</v>
      </c>
      <c r="AO209" s="2">
        <f t="shared" si="446"/>
        <v>0</v>
      </c>
      <c r="AP209" s="2"/>
      <c r="AQ209" s="61" t="str">
        <f t="shared" si="472"/>
        <v>E209*      "</v>
      </c>
      <c r="AS209" s="2">
        <f>SUM(AT209:AY209)</f>
        <v>785186.97728122526</v>
      </c>
      <c r="AT209" s="2">
        <f t="shared" si="448"/>
        <v>451041.65606115409</v>
      </c>
      <c r="AU209" s="2">
        <f t="shared" si="448"/>
        <v>218536.50872814204</v>
      </c>
      <c r="AV209" s="2">
        <f t="shared" si="448"/>
        <v>0</v>
      </c>
      <c r="AW209" s="2">
        <f t="shared" si="448"/>
        <v>8923.8418415567448</v>
      </c>
      <c r="AX209" s="2">
        <f t="shared" si="448"/>
        <v>106684.9706503724</v>
      </c>
      <c r="AY209" s="2">
        <f t="shared" si="448"/>
        <v>0</v>
      </c>
      <c r="BA209" s="2">
        <f>SUM(BB209:BG209)</f>
        <v>1262085.6416047192</v>
      </c>
      <c r="BB209" s="2">
        <f t="shared" si="450"/>
        <v>713521.97416144982</v>
      </c>
      <c r="BC209" s="2">
        <f t="shared" si="450"/>
        <v>440351.35275817011</v>
      </c>
      <c r="BD209" s="2">
        <f t="shared" si="450"/>
        <v>0</v>
      </c>
      <c r="BE209" s="2">
        <f t="shared" si="450"/>
        <v>9488.1074033029254</v>
      </c>
      <c r="BF209" s="2">
        <f t="shared" si="450"/>
        <v>98724.20728179632</v>
      </c>
      <c r="BG209" s="2">
        <f t="shared" si="450"/>
        <v>0</v>
      </c>
      <c r="BI209" s="2">
        <f t="shared" si="451"/>
        <v>1487727.3811140556</v>
      </c>
      <c r="BJ209" s="2">
        <f t="shared" si="452"/>
        <v>1454285.5215163347</v>
      </c>
      <c r="BK209" s="2">
        <f t="shared" si="452"/>
        <v>29108.729142036696</v>
      </c>
      <c r="BL209" s="2">
        <f t="shared" si="452"/>
        <v>0</v>
      </c>
      <c r="BM209" s="2">
        <f t="shared" si="452"/>
        <v>111.86870850086925</v>
      </c>
      <c r="BN209" s="2">
        <f t="shared" si="452"/>
        <v>4221.2617471832682</v>
      </c>
      <c r="BO209" s="2">
        <f t="shared" si="452"/>
        <v>0</v>
      </c>
      <c r="BQ209" s="28" t="s">
        <v>331</v>
      </c>
      <c r="BR209" s="23">
        <v>1536915.31257474</v>
      </c>
      <c r="BS209" s="14">
        <f t="shared" si="453"/>
        <v>0.22211795679808352</v>
      </c>
      <c r="BT209" s="14">
        <f t="shared" si="453"/>
        <v>0</v>
      </c>
      <c r="BU209" s="14">
        <f t="shared" si="453"/>
        <v>0</v>
      </c>
      <c r="BV209" s="14">
        <f t="shared" si="454"/>
        <v>0</v>
      </c>
      <c r="BW209" s="14">
        <f t="shared" si="455"/>
        <v>0</v>
      </c>
      <c r="BX209" s="14">
        <f t="shared" si="456"/>
        <v>0.35702564118945385</v>
      </c>
      <c r="BY209" s="14">
        <f t="shared" si="457"/>
        <v>0</v>
      </c>
      <c r="BZ209" s="14">
        <f t="shared" si="458"/>
        <v>0</v>
      </c>
      <c r="CA209" s="14">
        <f t="shared" si="459"/>
        <v>0</v>
      </c>
      <c r="CB209" s="14">
        <f t="shared" si="460"/>
        <v>0</v>
      </c>
      <c r="CC209" s="14">
        <f t="shared" si="461"/>
        <v>0</v>
      </c>
      <c r="CD209" s="14">
        <f t="shared" si="462"/>
        <v>0.4208564020124626</v>
      </c>
      <c r="CE209" s="14">
        <f t="shared" si="463"/>
        <v>0</v>
      </c>
      <c r="CF209" s="14">
        <f t="shared" si="464"/>
        <v>0</v>
      </c>
      <c r="CG209" s="14">
        <f t="shared" si="465"/>
        <v>0</v>
      </c>
      <c r="CH209" s="14">
        <f t="shared" si="466"/>
        <v>0</v>
      </c>
      <c r="CI209" s="14">
        <f t="shared" si="467"/>
        <v>0</v>
      </c>
      <c r="CJ209" s="14"/>
      <c r="CK209" s="112" t="str">
        <f t="shared" si="468"/>
        <v>as 376/380 Mn/Sv Plt (29,31,34)</v>
      </c>
      <c r="CL209" s="76">
        <f t="shared" ref="CL209:CL240" si="474">IF(SUM(BS209:CI209)&lt;&gt;0,(ROUND(SUM(BS209:CI209),4)&lt;&gt;1)+0,0)</f>
        <v>0</v>
      </c>
      <c r="CM209" s="2">
        <f t="shared" si="469"/>
        <v>1138599.5368121481</v>
      </c>
      <c r="CN209" s="2">
        <f t="shared" si="469"/>
        <v>299120.93214594742</v>
      </c>
      <c r="CO209" s="2">
        <f t="shared" si="469"/>
        <v>0</v>
      </c>
      <c r="CP209" s="2">
        <f t="shared" si="469"/>
        <v>8053.6179518717672</v>
      </c>
      <c r="CQ209" s="2">
        <f t="shared" si="469"/>
        <v>91141.225664772675</v>
      </c>
      <c r="CR209" s="2">
        <f t="shared" si="469"/>
        <v>0</v>
      </c>
    </row>
    <row r="210" spans="1:96">
      <c r="A210" s="50">
        <f t="shared" si="434"/>
        <v>210</v>
      </c>
      <c r="B210" t="s">
        <v>323</v>
      </c>
      <c r="C210" s="36" t="s">
        <v>154</v>
      </c>
      <c r="D210" s="28" t="s">
        <v>332</v>
      </c>
      <c r="E210" s="373">
        <f>PROFORMA!AY74</f>
        <v>98000</v>
      </c>
      <c r="F210" s="60" t="str">
        <f>"as 378 Meas &amp; Reg St Genl ("&amp;A$32&amp;")"</f>
        <v>as 378 Meas &amp; Reg St Genl (32)</v>
      </c>
      <c r="G210" s="60" t="s">
        <v>436</v>
      </c>
      <c r="H210" s="2">
        <f>SUM(I210:N210)</f>
        <v>97999.999999999985</v>
      </c>
      <c r="I210" s="2">
        <f t="shared" si="443"/>
        <v>55745.988447752163</v>
      </c>
      <c r="J210" s="2">
        <f t="shared" si="443"/>
        <v>31540.015643249269</v>
      </c>
      <c r="K210" s="2">
        <f t="shared" si="443"/>
        <v>0</v>
      </c>
      <c r="L210" s="2">
        <f t="shared" si="443"/>
        <v>881.3535673515355</v>
      </c>
      <c r="M210" s="2">
        <f t="shared" si="443"/>
        <v>9832.6423416470261</v>
      </c>
      <c r="N210" s="2">
        <f t="shared" si="443"/>
        <v>0</v>
      </c>
      <c r="O210" s="2"/>
      <c r="P210" s="61" t="str">
        <f t="shared" si="470"/>
        <v>E210*     "</v>
      </c>
      <c r="Q210" s="61"/>
      <c r="R210" s="14">
        <f>R$32</f>
        <v>0.38352829517570403</v>
      </c>
      <c r="S210" s="14">
        <f t="shared" ref="S210:AH210" si="475">S$32</f>
        <v>0</v>
      </c>
      <c r="T210" s="14">
        <f t="shared" si="475"/>
        <v>0</v>
      </c>
      <c r="U210" s="14">
        <f t="shared" si="475"/>
        <v>0</v>
      </c>
      <c r="V210" s="14">
        <f t="shared" si="475"/>
        <v>0</v>
      </c>
      <c r="W210" s="14">
        <f t="shared" si="475"/>
        <v>0.61647170482429592</v>
      </c>
      <c r="X210" s="14">
        <f t="shared" si="475"/>
        <v>0</v>
      </c>
      <c r="Y210" s="14">
        <f t="shared" si="475"/>
        <v>0</v>
      </c>
      <c r="Z210" s="14">
        <f t="shared" si="475"/>
        <v>0</v>
      </c>
      <c r="AA210" s="14">
        <f t="shared" si="475"/>
        <v>0</v>
      </c>
      <c r="AB210" s="14">
        <f t="shared" si="475"/>
        <v>0</v>
      </c>
      <c r="AC210" s="14">
        <f t="shared" si="475"/>
        <v>0</v>
      </c>
      <c r="AD210" s="14">
        <f t="shared" si="475"/>
        <v>0</v>
      </c>
      <c r="AE210" s="14">
        <f t="shared" si="475"/>
        <v>0</v>
      </c>
      <c r="AF210" s="14">
        <f t="shared" si="475"/>
        <v>0</v>
      </c>
      <c r="AG210" s="14">
        <f t="shared" si="475"/>
        <v>0</v>
      </c>
      <c r="AH210" s="14">
        <f t="shared" si="475"/>
        <v>0</v>
      </c>
      <c r="AI210" s="76">
        <f t="shared" si="471"/>
        <v>0</v>
      </c>
      <c r="AK210" s="2">
        <f>SUM(AL210:AO210)</f>
        <v>98000</v>
      </c>
      <c r="AL210" s="2">
        <f t="shared" si="446"/>
        <v>37585.772927218997</v>
      </c>
      <c r="AM210" s="2">
        <f t="shared" si="446"/>
        <v>60414.227072781003</v>
      </c>
      <c r="AN210" s="2">
        <f t="shared" si="446"/>
        <v>0</v>
      </c>
      <c r="AO210" s="2">
        <f t="shared" si="446"/>
        <v>0</v>
      </c>
      <c r="AP210" s="2"/>
      <c r="AQ210" s="61" t="str">
        <f t="shared" si="472"/>
        <v>E210*      "</v>
      </c>
      <c r="AS210" s="2">
        <f>SUM(AT210:AY210)</f>
        <v>37585.772927218997</v>
      </c>
      <c r="AT210" s="2">
        <f t="shared" si="448"/>
        <v>21590.716295539747</v>
      </c>
      <c r="AU210" s="2">
        <f t="shared" si="448"/>
        <v>10461.028813550041</v>
      </c>
      <c r="AV210" s="2">
        <f t="shared" si="448"/>
        <v>0</v>
      </c>
      <c r="AW210" s="2">
        <f t="shared" si="448"/>
        <v>427.17149265077052</v>
      </c>
      <c r="AX210" s="2">
        <f t="shared" si="448"/>
        <v>5106.8563254784376</v>
      </c>
      <c r="AY210" s="2">
        <f t="shared" si="448"/>
        <v>0</v>
      </c>
      <c r="BA210" s="2">
        <f>SUM(BB210:BG210)</f>
        <v>60414.227072780996</v>
      </c>
      <c r="BB210" s="2">
        <f t="shared" si="450"/>
        <v>34155.272152212419</v>
      </c>
      <c r="BC210" s="2">
        <f t="shared" si="450"/>
        <v>21078.986829699224</v>
      </c>
      <c r="BD210" s="2">
        <f t="shared" si="450"/>
        <v>0</v>
      </c>
      <c r="BE210" s="2">
        <f t="shared" si="450"/>
        <v>454.18207470076487</v>
      </c>
      <c r="BF210" s="2">
        <f t="shared" si="450"/>
        <v>4725.7860161685867</v>
      </c>
      <c r="BG210" s="2">
        <f t="shared" si="450"/>
        <v>0</v>
      </c>
      <c r="BI210" s="2">
        <f t="shared" si="451"/>
        <v>0</v>
      </c>
      <c r="BJ210" s="2">
        <f t="shared" si="452"/>
        <v>0</v>
      </c>
      <c r="BK210" s="2">
        <f t="shared" si="452"/>
        <v>0</v>
      </c>
      <c r="BL210" s="2">
        <f t="shared" si="452"/>
        <v>0</v>
      </c>
      <c r="BM210" s="2">
        <f t="shared" si="452"/>
        <v>0</v>
      </c>
      <c r="BN210" s="2">
        <f t="shared" si="452"/>
        <v>0</v>
      </c>
      <c r="BO210" s="2">
        <f t="shared" si="452"/>
        <v>0</v>
      </c>
      <c r="BQ210" s="28" t="s">
        <v>332</v>
      </c>
      <c r="BR210" s="23">
        <v>75075.214921273742</v>
      </c>
      <c r="BS210" s="14">
        <f t="shared" si="453"/>
        <v>0.38352829517570403</v>
      </c>
      <c r="BT210" s="14">
        <f t="shared" si="453"/>
        <v>0</v>
      </c>
      <c r="BU210" s="14">
        <f t="shared" si="453"/>
        <v>0</v>
      </c>
      <c r="BV210" s="14">
        <f t="shared" si="454"/>
        <v>0</v>
      </c>
      <c r="BW210" s="14">
        <f t="shared" si="455"/>
        <v>0</v>
      </c>
      <c r="BX210" s="14">
        <f t="shared" si="456"/>
        <v>0.61647170482429592</v>
      </c>
      <c r="BY210" s="14">
        <f t="shared" si="457"/>
        <v>0</v>
      </c>
      <c r="BZ210" s="14">
        <f t="shared" si="458"/>
        <v>0</v>
      </c>
      <c r="CA210" s="14">
        <f t="shared" si="459"/>
        <v>0</v>
      </c>
      <c r="CB210" s="14">
        <f t="shared" si="460"/>
        <v>0</v>
      </c>
      <c r="CC210" s="14">
        <f t="shared" si="461"/>
        <v>0</v>
      </c>
      <c r="CD210" s="14">
        <f t="shared" si="462"/>
        <v>0</v>
      </c>
      <c r="CE210" s="14">
        <f t="shared" si="463"/>
        <v>0</v>
      </c>
      <c r="CF210" s="14">
        <f t="shared" si="464"/>
        <v>0</v>
      </c>
      <c r="CG210" s="14">
        <f t="shared" si="465"/>
        <v>0</v>
      </c>
      <c r="CH210" s="14">
        <f t="shared" si="466"/>
        <v>0</v>
      </c>
      <c r="CI210" s="14">
        <f t="shared" si="467"/>
        <v>0</v>
      </c>
      <c r="CJ210" s="14"/>
      <c r="CK210" s="112" t="str">
        <f t="shared" si="468"/>
        <v>as 378 Meas &amp; Reg St Genl (32)</v>
      </c>
      <c r="CL210" s="76">
        <f t="shared" si="474"/>
        <v>0</v>
      </c>
      <c r="CM210" s="2">
        <f t="shared" si="469"/>
        <v>42705.531262386088</v>
      </c>
      <c r="CN210" s="2">
        <f t="shared" si="469"/>
        <v>24161.974010584436</v>
      </c>
      <c r="CO210" s="2">
        <f t="shared" si="469"/>
        <v>0</v>
      </c>
      <c r="CP210" s="2">
        <f t="shared" si="469"/>
        <v>675.18171929130449</v>
      </c>
      <c r="CQ210" s="2">
        <f t="shared" si="469"/>
        <v>7532.5279290119061</v>
      </c>
      <c r="CR210" s="2">
        <f t="shared" si="469"/>
        <v>0</v>
      </c>
    </row>
    <row r="211" spans="1:96">
      <c r="A211" s="50">
        <f t="shared" si="434"/>
        <v>211</v>
      </c>
      <c r="B211" t="s">
        <v>324</v>
      </c>
      <c r="C211" s="36" t="s">
        <v>154</v>
      </c>
      <c r="D211" s="28" t="s">
        <v>333</v>
      </c>
      <c r="E211" s="373">
        <f>PROFORMA!AY75</f>
        <v>6000</v>
      </c>
      <c r="F211" s="60" t="str">
        <f>"as 385 Meas &amp; Reg St Ind ("&amp;A$39&amp;")"</f>
        <v>as 385 Meas &amp; Reg St Ind (39)</v>
      </c>
      <c r="G211" s="60" t="s">
        <v>436</v>
      </c>
      <c r="H211" s="2">
        <f t="shared" si="442"/>
        <v>5999.9999999999991</v>
      </c>
      <c r="I211" s="2">
        <f t="shared" si="443"/>
        <v>0</v>
      </c>
      <c r="J211" s="2">
        <f t="shared" si="443"/>
        <v>5636.2495181443846</v>
      </c>
      <c r="K211" s="2">
        <f t="shared" si="443"/>
        <v>0</v>
      </c>
      <c r="L211" s="2">
        <f t="shared" si="443"/>
        <v>53.609510663183208</v>
      </c>
      <c r="M211" s="2">
        <f t="shared" si="443"/>
        <v>310.14097119243183</v>
      </c>
      <c r="N211" s="2">
        <f t="shared" si="443"/>
        <v>0</v>
      </c>
      <c r="O211" s="2"/>
      <c r="P211" s="61" t="str">
        <f t="shared" si="470"/>
        <v>E211*     "</v>
      </c>
      <c r="Q211" s="61"/>
      <c r="R211" s="14">
        <f>R$39</f>
        <v>0</v>
      </c>
      <c r="S211" s="14">
        <f t="shared" ref="S211:AH211" si="476">S$39</f>
        <v>0</v>
      </c>
      <c r="T211" s="14">
        <f t="shared" si="476"/>
        <v>0</v>
      </c>
      <c r="U211" s="14">
        <f t="shared" si="476"/>
        <v>0</v>
      </c>
      <c r="V211" s="14">
        <f t="shared" si="476"/>
        <v>0</v>
      </c>
      <c r="W211" s="14">
        <f t="shared" si="476"/>
        <v>0</v>
      </c>
      <c r="X211" s="14">
        <f t="shared" si="476"/>
        <v>0</v>
      </c>
      <c r="Y211" s="14">
        <f t="shared" si="476"/>
        <v>0</v>
      </c>
      <c r="Z211" s="14">
        <f t="shared" si="476"/>
        <v>0</v>
      </c>
      <c r="AA211" s="14">
        <f t="shared" si="476"/>
        <v>0</v>
      </c>
      <c r="AB211" s="14">
        <f t="shared" si="476"/>
        <v>0</v>
      </c>
      <c r="AC211" s="14">
        <f t="shared" si="476"/>
        <v>0</v>
      </c>
      <c r="AD211" s="14">
        <f t="shared" si="476"/>
        <v>0</v>
      </c>
      <c r="AE211" s="14">
        <f t="shared" si="476"/>
        <v>0</v>
      </c>
      <c r="AF211" s="14">
        <f t="shared" si="476"/>
        <v>1</v>
      </c>
      <c r="AG211" s="14">
        <f t="shared" si="476"/>
        <v>0</v>
      </c>
      <c r="AH211" s="14">
        <f t="shared" si="476"/>
        <v>0</v>
      </c>
      <c r="AI211" s="76">
        <f t="shared" si="471"/>
        <v>0</v>
      </c>
      <c r="AK211" s="2">
        <f t="shared" si="445"/>
        <v>6000</v>
      </c>
      <c r="AL211" s="2">
        <f t="shared" si="446"/>
        <v>0</v>
      </c>
      <c r="AM211" s="2">
        <f t="shared" si="446"/>
        <v>0</v>
      </c>
      <c r="AN211" s="2">
        <f t="shared" si="446"/>
        <v>6000</v>
      </c>
      <c r="AO211" s="2">
        <f t="shared" si="446"/>
        <v>0</v>
      </c>
      <c r="AP211" s="2"/>
      <c r="AQ211" s="61" t="str">
        <f t="shared" si="472"/>
        <v>E211*      "</v>
      </c>
      <c r="AS211" s="2">
        <f t="shared" si="447"/>
        <v>0</v>
      </c>
      <c r="AT211" s="2">
        <f t="shared" si="448"/>
        <v>0</v>
      </c>
      <c r="AU211" s="2">
        <f t="shared" si="448"/>
        <v>0</v>
      </c>
      <c r="AV211" s="2">
        <f t="shared" si="448"/>
        <v>0</v>
      </c>
      <c r="AW211" s="2">
        <f t="shared" si="448"/>
        <v>0</v>
      </c>
      <c r="AX211" s="2">
        <f t="shared" si="448"/>
        <v>0</v>
      </c>
      <c r="AY211" s="2">
        <f t="shared" si="448"/>
        <v>0</v>
      </c>
      <c r="BA211" s="2">
        <f t="shared" si="449"/>
        <v>0</v>
      </c>
      <c r="BB211" s="2">
        <f t="shared" si="450"/>
        <v>0</v>
      </c>
      <c r="BC211" s="2">
        <f t="shared" si="450"/>
        <v>0</v>
      </c>
      <c r="BD211" s="2">
        <f t="shared" si="450"/>
        <v>0</v>
      </c>
      <c r="BE211" s="2">
        <f t="shared" si="450"/>
        <v>0</v>
      </c>
      <c r="BF211" s="2">
        <f t="shared" si="450"/>
        <v>0</v>
      </c>
      <c r="BG211" s="2">
        <f t="shared" si="450"/>
        <v>0</v>
      </c>
      <c r="BI211" s="2">
        <f t="shared" si="451"/>
        <v>5999.9999999999991</v>
      </c>
      <c r="BJ211" s="2">
        <f t="shared" si="452"/>
        <v>0</v>
      </c>
      <c r="BK211" s="2">
        <f t="shared" si="452"/>
        <v>5636.2495181443846</v>
      </c>
      <c r="BL211" s="2">
        <f t="shared" si="452"/>
        <v>0</v>
      </c>
      <c r="BM211" s="2">
        <f t="shared" si="452"/>
        <v>53.609510663183208</v>
      </c>
      <c r="BN211" s="2">
        <f t="shared" si="452"/>
        <v>310.14097119243183</v>
      </c>
      <c r="BO211" s="2">
        <f t="shared" si="452"/>
        <v>0</v>
      </c>
      <c r="BQ211" s="28" t="s">
        <v>333</v>
      </c>
      <c r="BR211" s="23">
        <v>5161.4548249389882</v>
      </c>
      <c r="BS211" s="14">
        <f t="shared" si="453"/>
        <v>0</v>
      </c>
      <c r="BT211" s="14">
        <f t="shared" si="453"/>
        <v>0</v>
      </c>
      <c r="BU211" s="14">
        <f t="shared" si="453"/>
        <v>0</v>
      </c>
      <c r="BV211" s="14">
        <f t="shared" si="454"/>
        <v>0</v>
      </c>
      <c r="BW211" s="14">
        <f t="shared" si="455"/>
        <v>0</v>
      </c>
      <c r="BX211" s="14">
        <f t="shared" si="456"/>
        <v>0</v>
      </c>
      <c r="BY211" s="14">
        <f t="shared" si="457"/>
        <v>0</v>
      </c>
      <c r="BZ211" s="14">
        <f t="shared" si="458"/>
        <v>0</v>
      </c>
      <c r="CA211" s="14">
        <f t="shared" si="459"/>
        <v>0</v>
      </c>
      <c r="CB211" s="14">
        <f t="shared" si="460"/>
        <v>0</v>
      </c>
      <c r="CC211" s="14">
        <f t="shared" si="461"/>
        <v>0</v>
      </c>
      <c r="CD211" s="14">
        <f t="shared" si="462"/>
        <v>0</v>
      </c>
      <c r="CE211" s="14">
        <f t="shared" si="463"/>
        <v>0</v>
      </c>
      <c r="CF211" s="14">
        <f t="shared" si="464"/>
        <v>0</v>
      </c>
      <c r="CG211" s="14">
        <f t="shared" si="465"/>
        <v>1</v>
      </c>
      <c r="CH211" s="14">
        <f t="shared" si="466"/>
        <v>0</v>
      </c>
      <c r="CI211" s="14">
        <f t="shared" si="467"/>
        <v>0</v>
      </c>
      <c r="CJ211" s="14"/>
      <c r="CK211" s="112" t="str">
        <f t="shared" si="468"/>
        <v>as 385 Meas &amp; Reg St Ind (39)</v>
      </c>
      <c r="CL211" s="76">
        <f t="shared" si="474"/>
        <v>0</v>
      </c>
      <c r="CM211" s="2">
        <f t="shared" si="469"/>
        <v>0</v>
      </c>
      <c r="CN211" s="2">
        <f t="shared" si="469"/>
        <v>4848.5412116643975</v>
      </c>
      <c r="CO211" s="2">
        <f t="shared" si="469"/>
        <v>0</v>
      </c>
      <c r="CP211" s="2">
        <f t="shared" si="469"/>
        <v>46.117177912517512</v>
      </c>
      <c r="CQ211" s="2">
        <f t="shared" si="469"/>
        <v>266.79643536207351</v>
      </c>
      <c r="CR211" s="2">
        <f t="shared" si="469"/>
        <v>0</v>
      </c>
    </row>
    <row r="212" spans="1:96">
      <c r="A212" s="50">
        <f t="shared" si="434"/>
        <v>212</v>
      </c>
      <c r="B212" t="s">
        <v>325</v>
      </c>
      <c r="C212" s="36" t="s">
        <v>154</v>
      </c>
      <c r="D212" s="28" t="s">
        <v>334</v>
      </c>
      <c r="E212" s="373">
        <f>PROFORMA!AY76</f>
        <v>51000</v>
      </c>
      <c r="F212" s="60" t="str">
        <f>"as 379 Meas &amp; Reg St Cty G ("&amp;A$33&amp;")"</f>
        <v>as 379 Meas &amp; Reg St Cty G (33)</v>
      </c>
      <c r="G212" s="60" t="s">
        <v>436</v>
      </c>
      <c r="H212" s="2">
        <f t="shared" si="442"/>
        <v>50999.999999999993</v>
      </c>
      <c r="I212" s="2">
        <f t="shared" si="443"/>
        <v>29010.667457503678</v>
      </c>
      <c r="J212" s="2">
        <f t="shared" si="443"/>
        <v>16413.681610262374</v>
      </c>
      <c r="K212" s="2">
        <f t="shared" si="443"/>
        <v>0</v>
      </c>
      <c r="L212" s="2">
        <f t="shared" si="443"/>
        <v>458.66359117273782</v>
      </c>
      <c r="M212" s="2">
        <f t="shared" si="443"/>
        <v>5116.9873410612072</v>
      </c>
      <c r="N212" s="2">
        <f t="shared" si="443"/>
        <v>0</v>
      </c>
      <c r="O212" s="2"/>
      <c r="P212" s="61" t="str">
        <f t="shared" si="470"/>
        <v>E212*     "</v>
      </c>
      <c r="Q212" s="61"/>
      <c r="R212" s="14">
        <f>R$33</f>
        <v>0.38352829517570403</v>
      </c>
      <c r="S212" s="14">
        <f t="shared" ref="S212:AH212" si="477">S$33</f>
        <v>0</v>
      </c>
      <c r="T212" s="14">
        <f t="shared" si="477"/>
        <v>0</v>
      </c>
      <c r="U212" s="14">
        <f t="shared" si="477"/>
        <v>0</v>
      </c>
      <c r="V212" s="14">
        <f t="shared" si="477"/>
        <v>0</v>
      </c>
      <c r="W212" s="14">
        <f t="shared" si="477"/>
        <v>0.61647170482429592</v>
      </c>
      <c r="X212" s="14">
        <f t="shared" si="477"/>
        <v>0</v>
      </c>
      <c r="Y212" s="14">
        <f t="shared" si="477"/>
        <v>0</v>
      </c>
      <c r="Z212" s="14">
        <f t="shared" si="477"/>
        <v>0</v>
      </c>
      <c r="AA212" s="14">
        <f t="shared" si="477"/>
        <v>0</v>
      </c>
      <c r="AB212" s="14">
        <f t="shared" si="477"/>
        <v>0</v>
      </c>
      <c r="AC212" s="14">
        <f t="shared" si="477"/>
        <v>0</v>
      </c>
      <c r="AD212" s="14">
        <f t="shared" si="477"/>
        <v>0</v>
      </c>
      <c r="AE212" s="14">
        <f t="shared" si="477"/>
        <v>0</v>
      </c>
      <c r="AF212" s="14">
        <f t="shared" si="477"/>
        <v>0</v>
      </c>
      <c r="AG212" s="14">
        <f t="shared" si="477"/>
        <v>0</v>
      </c>
      <c r="AH212" s="14">
        <f t="shared" si="477"/>
        <v>0</v>
      </c>
      <c r="AI212" s="76">
        <f t="shared" si="471"/>
        <v>0</v>
      </c>
      <c r="AK212" s="2">
        <f t="shared" si="445"/>
        <v>51000</v>
      </c>
      <c r="AL212" s="2">
        <f t="shared" si="446"/>
        <v>19559.943053960906</v>
      </c>
      <c r="AM212" s="2">
        <f t="shared" si="446"/>
        <v>31440.056946039091</v>
      </c>
      <c r="AN212" s="2">
        <f t="shared" si="446"/>
        <v>0</v>
      </c>
      <c r="AO212" s="2">
        <f t="shared" si="446"/>
        <v>0</v>
      </c>
      <c r="AP212" s="2"/>
      <c r="AQ212" s="61" t="str">
        <f t="shared" si="472"/>
        <v>E212*      "</v>
      </c>
      <c r="AS212" s="2">
        <f t="shared" si="447"/>
        <v>19559.943053960906</v>
      </c>
      <c r="AT212" s="2">
        <f t="shared" si="448"/>
        <v>11235.985010944154</v>
      </c>
      <c r="AU212" s="2">
        <f t="shared" si="448"/>
        <v>5444.0047907250209</v>
      </c>
      <c r="AV212" s="2">
        <f t="shared" si="448"/>
        <v>0</v>
      </c>
      <c r="AW212" s="2">
        <f t="shared" si="448"/>
        <v>222.3035318896867</v>
      </c>
      <c r="AX212" s="2">
        <f t="shared" si="448"/>
        <v>2657.6497204020443</v>
      </c>
      <c r="AY212" s="2">
        <f t="shared" si="448"/>
        <v>0</v>
      </c>
      <c r="BA212" s="2">
        <f t="shared" si="449"/>
        <v>31440.056946039091</v>
      </c>
      <c r="BB212" s="2">
        <f t="shared" si="450"/>
        <v>17774.682446559524</v>
      </c>
      <c r="BC212" s="2">
        <f t="shared" si="450"/>
        <v>10969.676819537352</v>
      </c>
      <c r="BD212" s="2">
        <f t="shared" si="450"/>
        <v>0</v>
      </c>
      <c r="BE212" s="2">
        <f t="shared" si="450"/>
        <v>236.3600592830511</v>
      </c>
      <c r="BF212" s="2">
        <f t="shared" si="450"/>
        <v>2459.3376206591624</v>
      </c>
      <c r="BG212" s="2">
        <f t="shared" si="450"/>
        <v>0</v>
      </c>
      <c r="BI212" s="2">
        <f t="shared" si="451"/>
        <v>0</v>
      </c>
      <c r="BJ212" s="2">
        <f t="shared" si="452"/>
        <v>0</v>
      </c>
      <c r="BK212" s="2">
        <f t="shared" si="452"/>
        <v>0</v>
      </c>
      <c r="BL212" s="2">
        <f t="shared" si="452"/>
        <v>0</v>
      </c>
      <c r="BM212" s="2">
        <f t="shared" si="452"/>
        <v>0</v>
      </c>
      <c r="BN212" s="2">
        <f t="shared" si="452"/>
        <v>0</v>
      </c>
      <c r="BO212" s="2">
        <f t="shared" si="452"/>
        <v>0</v>
      </c>
      <c r="BQ212" s="28" t="s">
        <v>334</v>
      </c>
      <c r="BR212" s="23">
        <v>42767.856354860945</v>
      </c>
      <c r="BS212" s="14">
        <f t="shared" si="453"/>
        <v>0.38352829517570403</v>
      </c>
      <c r="BT212" s="14">
        <f t="shared" si="453"/>
        <v>0</v>
      </c>
      <c r="BU212" s="14">
        <f t="shared" si="453"/>
        <v>0</v>
      </c>
      <c r="BV212" s="14">
        <f t="shared" si="454"/>
        <v>0</v>
      </c>
      <c r="BW212" s="14">
        <f t="shared" si="455"/>
        <v>0</v>
      </c>
      <c r="BX212" s="14">
        <f t="shared" si="456"/>
        <v>0.61647170482429592</v>
      </c>
      <c r="BY212" s="14">
        <f t="shared" si="457"/>
        <v>0</v>
      </c>
      <c r="BZ212" s="14">
        <f t="shared" si="458"/>
        <v>0</v>
      </c>
      <c r="CA212" s="14">
        <f t="shared" si="459"/>
        <v>0</v>
      </c>
      <c r="CB212" s="14">
        <f t="shared" si="460"/>
        <v>0</v>
      </c>
      <c r="CC212" s="14">
        <f t="shared" si="461"/>
        <v>0</v>
      </c>
      <c r="CD212" s="14">
        <f t="shared" si="462"/>
        <v>0</v>
      </c>
      <c r="CE212" s="14">
        <f t="shared" si="463"/>
        <v>0</v>
      </c>
      <c r="CF212" s="14">
        <f t="shared" si="464"/>
        <v>0</v>
      </c>
      <c r="CG212" s="14">
        <f t="shared" si="465"/>
        <v>0</v>
      </c>
      <c r="CH212" s="14">
        <f t="shared" si="466"/>
        <v>0</v>
      </c>
      <c r="CI212" s="14">
        <f t="shared" si="467"/>
        <v>0</v>
      </c>
      <c r="CJ212" s="14"/>
      <c r="CK212" s="112" t="str">
        <f t="shared" si="468"/>
        <v>as 379 Meas &amp; Reg St Cty G (33)</v>
      </c>
      <c r="CL212" s="76">
        <f t="shared" si="474"/>
        <v>0</v>
      </c>
      <c r="CM212" s="2">
        <f t="shared" si="469"/>
        <v>24327.922717277575</v>
      </c>
      <c r="CN212" s="2">
        <f t="shared" si="469"/>
        <v>13764.274065923999</v>
      </c>
      <c r="CO212" s="2">
        <f t="shared" si="469"/>
        <v>0</v>
      </c>
      <c r="CP212" s="2">
        <f t="shared" si="469"/>
        <v>384.62859965647687</v>
      </c>
      <c r="CQ212" s="2">
        <f t="shared" si="469"/>
        <v>4291.0309720028936</v>
      </c>
      <c r="CR212" s="2">
        <f t="shared" si="469"/>
        <v>0</v>
      </c>
    </row>
    <row r="213" spans="1:96">
      <c r="A213" s="50">
        <f t="shared" si="434"/>
        <v>213</v>
      </c>
      <c r="B213" t="s">
        <v>326</v>
      </c>
      <c r="C213" s="36" t="s">
        <v>154</v>
      </c>
      <c r="D213" s="28" t="s">
        <v>335</v>
      </c>
      <c r="E213" s="373">
        <f>PROFORMA!AY77</f>
        <v>-300000</v>
      </c>
      <c r="F213" s="60" t="str">
        <f>"as 381-4 Mtr &amp; Reg ("&amp;A$35&amp;"-"&amp;A$38&amp;")"</f>
        <v>as 381-4 Mtr &amp; Reg (35-38)</v>
      </c>
      <c r="G213" s="60" t="s">
        <v>436</v>
      </c>
      <c r="H213" s="2">
        <f t="shared" si="442"/>
        <v>-300000</v>
      </c>
      <c r="I213" s="2">
        <f t="shared" si="443"/>
        <v>-256376.64041729932</v>
      </c>
      <c r="J213" s="2">
        <f t="shared" si="443"/>
        <v>-41524.738088043276</v>
      </c>
      <c r="K213" s="2">
        <f t="shared" si="443"/>
        <v>0</v>
      </c>
      <c r="L213" s="2">
        <f t="shared" si="443"/>
        <v>-307.65255334567308</v>
      </c>
      <c r="M213" s="2">
        <f t="shared" si="443"/>
        <v>-1790.968941311743</v>
      </c>
      <c r="N213" s="2">
        <f t="shared" si="443"/>
        <v>0</v>
      </c>
      <c r="O213" s="2"/>
      <c r="P213" s="61" t="str">
        <f t="shared" si="470"/>
        <v>E213*     "</v>
      </c>
      <c r="Q213" s="61"/>
      <c r="R213" s="14">
        <f>SUMPRODUCT($E$35:$E$38,R$35:R$38)/SUM($E$35:$E$38)</f>
        <v>0</v>
      </c>
      <c r="S213" s="14">
        <f t="shared" ref="S213:AH213" si="478">SUMPRODUCT($E$35:$E$38,S$35:S$38)/SUM($E$35:$E$38)</f>
        <v>0</v>
      </c>
      <c r="T213" s="14">
        <f t="shared" si="478"/>
        <v>0</v>
      </c>
      <c r="U213" s="14">
        <f t="shared" si="478"/>
        <v>0</v>
      </c>
      <c r="V213" s="14">
        <f t="shared" si="478"/>
        <v>0</v>
      </c>
      <c r="W213" s="14">
        <f t="shared" si="478"/>
        <v>0</v>
      </c>
      <c r="X213" s="14">
        <f t="shared" si="478"/>
        <v>0</v>
      </c>
      <c r="Y213" s="14">
        <f t="shared" si="478"/>
        <v>0</v>
      </c>
      <c r="Z213" s="14">
        <f t="shared" si="478"/>
        <v>0</v>
      </c>
      <c r="AA213" s="14">
        <f t="shared" si="478"/>
        <v>0</v>
      </c>
      <c r="AB213" s="14">
        <f t="shared" si="478"/>
        <v>0</v>
      </c>
      <c r="AC213" s="14">
        <f t="shared" si="478"/>
        <v>0</v>
      </c>
      <c r="AD213" s="14">
        <f t="shared" si="478"/>
        <v>1</v>
      </c>
      <c r="AE213" s="14">
        <f t="shared" si="478"/>
        <v>0</v>
      </c>
      <c r="AF213" s="14">
        <f t="shared" si="478"/>
        <v>0</v>
      </c>
      <c r="AG213" s="14">
        <f t="shared" si="478"/>
        <v>0</v>
      </c>
      <c r="AH213" s="14">
        <f t="shared" si="478"/>
        <v>0</v>
      </c>
      <c r="AI213" s="76">
        <f t="shared" si="471"/>
        <v>0</v>
      </c>
      <c r="AK213" s="2">
        <f t="shared" si="445"/>
        <v>-300000</v>
      </c>
      <c r="AL213" s="2">
        <f t="shared" si="446"/>
        <v>0</v>
      </c>
      <c r="AM213" s="2">
        <f t="shared" si="446"/>
        <v>0</v>
      </c>
      <c r="AN213" s="2">
        <f t="shared" si="446"/>
        <v>-300000</v>
      </c>
      <c r="AO213" s="2">
        <f t="shared" si="446"/>
        <v>0</v>
      </c>
      <c r="AP213" s="2"/>
      <c r="AQ213" s="61" t="str">
        <f t="shared" si="472"/>
        <v>E213*      "</v>
      </c>
      <c r="AS213" s="2">
        <f t="shared" si="447"/>
        <v>0</v>
      </c>
      <c r="AT213" s="2">
        <f t="shared" si="448"/>
        <v>0</v>
      </c>
      <c r="AU213" s="2">
        <f t="shared" si="448"/>
        <v>0</v>
      </c>
      <c r="AV213" s="2">
        <f t="shared" si="448"/>
        <v>0</v>
      </c>
      <c r="AW213" s="2">
        <f t="shared" si="448"/>
        <v>0</v>
      </c>
      <c r="AX213" s="2">
        <f t="shared" si="448"/>
        <v>0</v>
      </c>
      <c r="AY213" s="2">
        <f t="shared" si="448"/>
        <v>0</v>
      </c>
      <c r="BA213" s="2">
        <f t="shared" si="449"/>
        <v>0</v>
      </c>
      <c r="BB213" s="2">
        <f t="shared" si="450"/>
        <v>0</v>
      </c>
      <c r="BC213" s="2">
        <f t="shared" si="450"/>
        <v>0</v>
      </c>
      <c r="BD213" s="2">
        <f t="shared" si="450"/>
        <v>0</v>
      </c>
      <c r="BE213" s="2">
        <f t="shared" si="450"/>
        <v>0</v>
      </c>
      <c r="BF213" s="2">
        <f t="shared" si="450"/>
        <v>0</v>
      </c>
      <c r="BG213" s="2">
        <f t="shared" si="450"/>
        <v>0</v>
      </c>
      <c r="BI213" s="2">
        <f t="shared" si="451"/>
        <v>-300000</v>
      </c>
      <c r="BJ213" s="2">
        <f t="shared" si="452"/>
        <v>-256376.64041729932</v>
      </c>
      <c r="BK213" s="2">
        <f t="shared" si="452"/>
        <v>-41524.738088043276</v>
      </c>
      <c r="BL213" s="2">
        <f t="shared" si="452"/>
        <v>0</v>
      </c>
      <c r="BM213" s="2">
        <f t="shared" si="452"/>
        <v>-307.65255334567308</v>
      </c>
      <c r="BN213" s="2">
        <f t="shared" si="452"/>
        <v>-1790.968941311743</v>
      </c>
      <c r="BO213" s="2">
        <f t="shared" si="452"/>
        <v>0</v>
      </c>
      <c r="BQ213" s="28" t="s">
        <v>335</v>
      </c>
      <c r="BR213" s="23">
        <v>5077.0407486317026</v>
      </c>
      <c r="BS213" s="14">
        <f t="shared" si="453"/>
        <v>0</v>
      </c>
      <c r="BT213" s="14">
        <f t="shared" si="453"/>
        <v>0</v>
      </c>
      <c r="BU213" s="14">
        <f t="shared" si="453"/>
        <v>0</v>
      </c>
      <c r="BV213" s="14">
        <f t="shared" si="454"/>
        <v>0</v>
      </c>
      <c r="BW213" s="14">
        <f t="shared" si="455"/>
        <v>0</v>
      </c>
      <c r="BX213" s="14">
        <f t="shared" si="456"/>
        <v>0</v>
      </c>
      <c r="BY213" s="14">
        <f t="shared" si="457"/>
        <v>0</v>
      </c>
      <c r="BZ213" s="14">
        <f t="shared" si="458"/>
        <v>0</v>
      </c>
      <c r="CA213" s="14">
        <f t="shared" si="459"/>
        <v>0</v>
      </c>
      <c r="CB213" s="14">
        <f t="shared" si="460"/>
        <v>0</v>
      </c>
      <c r="CC213" s="14">
        <f t="shared" si="461"/>
        <v>0</v>
      </c>
      <c r="CD213" s="14">
        <f t="shared" si="462"/>
        <v>0</v>
      </c>
      <c r="CE213" s="14">
        <f t="shared" si="463"/>
        <v>1</v>
      </c>
      <c r="CF213" s="14">
        <f t="shared" si="464"/>
        <v>0</v>
      </c>
      <c r="CG213" s="14">
        <f t="shared" si="465"/>
        <v>0</v>
      </c>
      <c r="CH213" s="14">
        <f t="shared" si="466"/>
        <v>0</v>
      </c>
      <c r="CI213" s="14">
        <f t="shared" si="467"/>
        <v>0</v>
      </c>
      <c r="CJ213" s="14"/>
      <c r="CK213" s="112" t="str">
        <f t="shared" si="468"/>
        <v>as 381-4 Mtr &amp; Reg (35-38)</v>
      </c>
      <c r="CL213" s="76">
        <f t="shared" si="474"/>
        <v>0</v>
      </c>
      <c r="CM213" s="2">
        <f t="shared" si="469"/>
        <v>4338.7821679864201</v>
      </c>
      <c r="CN213" s="2">
        <f t="shared" si="469"/>
        <v>702.74262449751541</v>
      </c>
      <c r="CO213" s="2">
        <f t="shared" si="469"/>
        <v>0</v>
      </c>
      <c r="CP213" s="2">
        <f t="shared" si="469"/>
        <v>5.2065484991885702</v>
      </c>
      <c r="CQ213" s="2">
        <f t="shared" si="469"/>
        <v>30.309407648578333</v>
      </c>
      <c r="CR213" s="2">
        <f t="shared" si="469"/>
        <v>0</v>
      </c>
    </row>
    <row r="214" spans="1:96">
      <c r="A214" s="50">
        <f t="shared" si="434"/>
        <v>214</v>
      </c>
      <c r="B214" t="s">
        <v>327</v>
      </c>
      <c r="C214" s="36" t="s">
        <v>154</v>
      </c>
      <c r="D214" s="28" t="s">
        <v>336</v>
      </c>
      <c r="E214" s="373">
        <f>PROFORMA!AY78</f>
        <v>1545000</v>
      </c>
      <c r="F214" s="60" t="s">
        <v>445</v>
      </c>
      <c r="G214" s="60" t="s">
        <v>436</v>
      </c>
      <c r="H214" s="2">
        <f t="shared" si="442"/>
        <v>1545000</v>
      </c>
      <c r="I214" s="2">
        <f t="shared" si="443"/>
        <v>1514321.4651385541</v>
      </c>
      <c r="J214" s="2">
        <f t="shared" si="443"/>
        <v>30310.398274975349</v>
      </c>
      <c r="K214" s="2">
        <f t="shared" si="443"/>
        <v>0</v>
      </c>
      <c r="L214" s="2">
        <f t="shared" si="443"/>
        <v>28.430350242286696</v>
      </c>
      <c r="M214" s="2">
        <f t="shared" si="443"/>
        <v>339.7062362283487</v>
      </c>
      <c r="N214" s="2">
        <f t="shared" si="443"/>
        <v>0</v>
      </c>
      <c r="O214" s="2"/>
      <c r="P214" s="61" t="str">
        <f t="shared" si="470"/>
        <v>E214*     "</v>
      </c>
      <c r="Q214" s="61"/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76">
        <f t="shared" si="471"/>
        <v>0</v>
      </c>
      <c r="AK214" s="2">
        <f t="shared" si="445"/>
        <v>1545000</v>
      </c>
      <c r="AL214" s="2">
        <f t="shared" si="446"/>
        <v>0</v>
      </c>
      <c r="AM214" s="2">
        <f t="shared" si="446"/>
        <v>0</v>
      </c>
      <c r="AN214" s="2">
        <f t="shared" si="446"/>
        <v>1545000</v>
      </c>
      <c r="AO214" s="2">
        <f t="shared" si="446"/>
        <v>0</v>
      </c>
      <c r="AP214" s="2"/>
      <c r="AQ214" s="61" t="str">
        <f t="shared" si="472"/>
        <v>E214*      "</v>
      </c>
      <c r="AS214" s="2">
        <f t="shared" si="447"/>
        <v>0</v>
      </c>
      <c r="AT214" s="2">
        <f t="shared" si="448"/>
        <v>0</v>
      </c>
      <c r="AU214" s="2">
        <f t="shared" si="448"/>
        <v>0</v>
      </c>
      <c r="AV214" s="2">
        <f t="shared" si="448"/>
        <v>0</v>
      </c>
      <c r="AW214" s="2">
        <f t="shared" si="448"/>
        <v>0</v>
      </c>
      <c r="AX214" s="2">
        <f t="shared" si="448"/>
        <v>0</v>
      </c>
      <c r="AY214" s="2">
        <f t="shared" si="448"/>
        <v>0</v>
      </c>
      <c r="BA214" s="2">
        <f t="shared" si="449"/>
        <v>0</v>
      </c>
      <c r="BB214" s="2">
        <f t="shared" si="450"/>
        <v>0</v>
      </c>
      <c r="BC214" s="2">
        <f t="shared" si="450"/>
        <v>0</v>
      </c>
      <c r="BD214" s="2">
        <f t="shared" si="450"/>
        <v>0</v>
      </c>
      <c r="BE214" s="2">
        <f t="shared" si="450"/>
        <v>0</v>
      </c>
      <c r="BF214" s="2">
        <f t="shared" si="450"/>
        <v>0</v>
      </c>
      <c r="BG214" s="2">
        <f t="shared" si="450"/>
        <v>0</v>
      </c>
      <c r="BI214" s="2">
        <f t="shared" si="451"/>
        <v>1545000</v>
      </c>
      <c r="BJ214" s="2">
        <f t="shared" si="452"/>
        <v>1514321.4651385541</v>
      </c>
      <c r="BK214" s="2">
        <f t="shared" si="452"/>
        <v>30310.398274975349</v>
      </c>
      <c r="BL214" s="2">
        <f t="shared" si="452"/>
        <v>0</v>
      </c>
      <c r="BM214" s="2">
        <f t="shared" si="452"/>
        <v>28.430350242286696</v>
      </c>
      <c r="BN214" s="2">
        <f t="shared" si="452"/>
        <v>339.7062362283487</v>
      </c>
      <c r="BO214" s="2">
        <f t="shared" si="452"/>
        <v>0</v>
      </c>
      <c r="BQ214" s="28" t="s">
        <v>336</v>
      </c>
      <c r="BR214" s="23">
        <v>1227865.7199305354</v>
      </c>
      <c r="BS214" s="14">
        <f t="shared" si="453"/>
        <v>0</v>
      </c>
      <c r="BT214" s="14">
        <f t="shared" si="453"/>
        <v>0</v>
      </c>
      <c r="BU214" s="14">
        <f t="shared" si="453"/>
        <v>0</v>
      </c>
      <c r="BV214" s="14">
        <f t="shared" si="454"/>
        <v>0</v>
      </c>
      <c r="BW214" s="14">
        <f t="shared" si="455"/>
        <v>0</v>
      </c>
      <c r="BX214" s="14">
        <f t="shared" si="456"/>
        <v>0</v>
      </c>
      <c r="BY214" s="14">
        <f t="shared" si="457"/>
        <v>0</v>
      </c>
      <c r="BZ214" s="14">
        <f t="shared" si="458"/>
        <v>0</v>
      </c>
      <c r="CA214" s="14">
        <f t="shared" si="459"/>
        <v>0</v>
      </c>
      <c r="CB214" s="14">
        <f t="shared" si="460"/>
        <v>0</v>
      </c>
      <c r="CC214" s="14">
        <f t="shared" si="461"/>
        <v>1</v>
      </c>
      <c r="CD214" s="14">
        <f t="shared" si="462"/>
        <v>0</v>
      </c>
      <c r="CE214" s="14">
        <f t="shared" si="463"/>
        <v>0</v>
      </c>
      <c r="CF214" s="14">
        <f t="shared" si="464"/>
        <v>0</v>
      </c>
      <c r="CG214" s="14">
        <f t="shared" si="465"/>
        <v>0</v>
      </c>
      <c r="CH214" s="14">
        <f t="shared" si="466"/>
        <v>0</v>
      </c>
      <c r="CI214" s="14">
        <f t="shared" si="467"/>
        <v>0</v>
      </c>
      <c r="CJ214" s="14"/>
      <c r="CK214" s="112" t="str">
        <f t="shared" si="468"/>
        <v>Input - 100% Install cost</v>
      </c>
      <c r="CL214" s="76">
        <f t="shared" si="474"/>
        <v>0</v>
      </c>
      <c r="CM214" s="2">
        <f t="shared" si="469"/>
        <v>1203484.4116495883</v>
      </c>
      <c r="CN214" s="2">
        <f t="shared" si="469"/>
        <v>24088.73721636496</v>
      </c>
      <c r="CO214" s="2">
        <f t="shared" si="469"/>
        <v>0</v>
      </c>
      <c r="CP214" s="2">
        <f t="shared" si="469"/>
        <v>22.594597066746037</v>
      </c>
      <c r="CQ214" s="2">
        <f t="shared" si="469"/>
        <v>269.97646751547825</v>
      </c>
      <c r="CR214" s="2">
        <f t="shared" si="469"/>
        <v>0</v>
      </c>
    </row>
    <row r="215" spans="1:96">
      <c r="A215" s="50">
        <f t="shared" si="434"/>
        <v>215</v>
      </c>
      <c r="B215" t="s">
        <v>328</v>
      </c>
      <c r="C215" s="36" t="s">
        <v>154</v>
      </c>
      <c r="D215" s="28" t="s">
        <v>337</v>
      </c>
      <c r="E215" s="373">
        <f>PROFORMA!AY79</f>
        <v>2346000</v>
      </c>
      <c r="F215" s="60" t="s">
        <v>124</v>
      </c>
      <c r="G215" s="60"/>
      <c r="H215" s="2">
        <f t="shared" si="442"/>
        <v>2346000</v>
      </c>
      <c r="I215" s="2">
        <f t="shared" si="443"/>
        <v>1853165.3250854211</v>
      </c>
      <c r="J215" s="2">
        <f t="shared" si="443"/>
        <v>382664.30311252415</v>
      </c>
      <c r="K215" s="2">
        <f t="shared" si="443"/>
        <v>0</v>
      </c>
      <c r="L215" s="2">
        <f t="shared" si="443"/>
        <v>9121.0550000676521</v>
      </c>
      <c r="M215" s="2">
        <f t="shared" si="443"/>
        <v>101049.31680198701</v>
      </c>
      <c r="N215" s="2">
        <f t="shared" si="443"/>
        <v>0</v>
      </c>
      <c r="O215" s="2"/>
      <c r="P215" s="61" t="str">
        <f t="shared" si="470"/>
        <v>E215*     "</v>
      </c>
      <c r="Q215" s="61"/>
      <c r="R215" s="14">
        <f t="shared" ref="R215:AA216" si="479">(SUMPRODUCT($E$207:$E$214,R$207:R$214)+$E$227*R$227)/SUM($E$207:$E$214,$E$227)</f>
        <v>0.15748987821834601</v>
      </c>
      <c r="S215" s="14">
        <f t="shared" si="479"/>
        <v>0</v>
      </c>
      <c r="T215" s="14">
        <f t="shared" si="479"/>
        <v>0</v>
      </c>
      <c r="U215" s="14">
        <f t="shared" si="479"/>
        <v>0</v>
      </c>
      <c r="V215" s="14">
        <f t="shared" si="479"/>
        <v>0</v>
      </c>
      <c r="W215" s="14">
        <f t="shared" si="479"/>
        <v>0.2531444353365272</v>
      </c>
      <c r="X215" s="14">
        <f t="shared" si="479"/>
        <v>0</v>
      </c>
      <c r="Y215" s="14">
        <f t="shared" si="479"/>
        <v>0</v>
      </c>
      <c r="Z215" s="14">
        <f t="shared" si="479"/>
        <v>0</v>
      </c>
      <c r="AA215" s="14">
        <f t="shared" si="479"/>
        <v>0</v>
      </c>
      <c r="AB215" s="14">
        <f t="shared" ref="AB215:AH216" si="480">(SUMPRODUCT($E$207:$E$214,AB$207:AB$214)+$E$227*AB$227)/SUM($E$207:$E$214,$E$227)</f>
        <v>0.13916411457395064</v>
      </c>
      <c r="AC215" s="14">
        <f t="shared" si="480"/>
        <v>0.30134801404036221</v>
      </c>
      <c r="AD215" s="14">
        <f t="shared" si="480"/>
        <v>0.14669834464417569</v>
      </c>
      <c r="AE215" s="14">
        <f t="shared" si="480"/>
        <v>0</v>
      </c>
      <c r="AF215" s="14">
        <f t="shared" si="480"/>
        <v>2.1552131866382292E-3</v>
      </c>
      <c r="AG215" s="14">
        <f t="shared" si="480"/>
        <v>0</v>
      </c>
      <c r="AH215" s="14">
        <f t="shared" si="480"/>
        <v>0</v>
      </c>
      <c r="AI215" s="76">
        <f t="shared" si="471"/>
        <v>0</v>
      </c>
      <c r="AK215" s="2">
        <f t="shared" si="445"/>
        <v>2346000</v>
      </c>
      <c r="AL215" s="2">
        <f t="shared" si="446"/>
        <v>369471.25430023973</v>
      </c>
      <c r="AM215" s="2">
        <f t="shared" si="446"/>
        <v>593876.84529949282</v>
      </c>
      <c r="AN215" s="2">
        <f t="shared" si="446"/>
        <v>1382651.9004002677</v>
      </c>
      <c r="AO215" s="2">
        <f t="shared" si="446"/>
        <v>0</v>
      </c>
      <c r="AP215" s="2"/>
      <c r="AQ215" s="61" t="str">
        <f t="shared" si="472"/>
        <v>E215*      "</v>
      </c>
      <c r="AS215" s="2">
        <f t="shared" si="447"/>
        <v>369471.25430023979</v>
      </c>
      <c r="AT215" s="2">
        <f t="shared" si="448"/>
        <v>212238.52563576726</v>
      </c>
      <c r="AU215" s="2">
        <f t="shared" si="448"/>
        <v>102832.77783052527</v>
      </c>
      <c r="AV215" s="2">
        <f t="shared" si="448"/>
        <v>0</v>
      </c>
      <c r="AW215" s="2">
        <f t="shared" si="448"/>
        <v>4199.1310780438871</v>
      </c>
      <c r="AX215" s="2">
        <f t="shared" si="448"/>
        <v>50200.819755903336</v>
      </c>
      <c r="AY215" s="2">
        <f t="shared" si="448"/>
        <v>0</v>
      </c>
      <c r="BA215" s="2">
        <f t="shared" si="449"/>
        <v>593876.84529949282</v>
      </c>
      <c r="BB215" s="2">
        <f t="shared" si="450"/>
        <v>335749.14815454598</v>
      </c>
      <c r="BC215" s="2">
        <f t="shared" si="450"/>
        <v>207208.18269263819</v>
      </c>
      <c r="BD215" s="2">
        <f t="shared" si="450"/>
        <v>0</v>
      </c>
      <c r="BE215" s="2">
        <f t="shared" si="450"/>
        <v>4464.6473319923025</v>
      </c>
      <c r="BF215" s="2">
        <f t="shared" si="450"/>
        <v>46454.867120316325</v>
      </c>
      <c r="BG215" s="2">
        <f t="shared" si="450"/>
        <v>0</v>
      </c>
      <c r="BI215" s="2">
        <f t="shared" si="451"/>
        <v>1382651.9004002677</v>
      </c>
      <c r="BJ215" s="2">
        <f t="shared" si="452"/>
        <v>1305177.651295108</v>
      </c>
      <c r="BK215" s="2">
        <f t="shared" si="452"/>
        <v>72623.342589360691</v>
      </c>
      <c r="BL215" s="2">
        <f t="shared" si="452"/>
        <v>0</v>
      </c>
      <c r="BM215" s="2">
        <f t="shared" si="452"/>
        <v>457.27659003146283</v>
      </c>
      <c r="BN215" s="2">
        <f t="shared" si="452"/>
        <v>4393.6299257673436</v>
      </c>
      <c r="BO215" s="2">
        <f t="shared" si="452"/>
        <v>0</v>
      </c>
      <c r="BQ215" s="28" t="s">
        <v>337</v>
      </c>
      <c r="BR215" s="23">
        <v>1523671.4639992495</v>
      </c>
      <c r="BS215" s="14">
        <f>(SUMPRODUCT($BR$207:$BR$214,BS$207:BS$214)+$BR$227*BS$227)/SUM($BR$207:$BR$214,$BR$227)</f>
        <v>0.14241044364153357</v>
      </c>
      <c r="BT215" s="14">
        <f t="shared" ref="BT215:CI216" si="481">(SUMPRODUCT($BR$207:$BR$214,BT$207:BT$214)+$BR$227*BT$227)/SUM($BR$207:$BR$214,$BR$227)</f>
        <v>0</v>
      </c>
      <c r="BU215" s="14">
        <f t="shared" si="481"/>
        <v>0</v>
      </c>
      <c r="BV215" s="14">
        <f t="shared" si="481"/>
        <v>0</v>
      </c>
      <c r="BW215" s="14">
        <f t="shared" si="481"/>
        <v>0</v>
      </c>
      <c r="BX215" s="14">
        <f t="shared" si="481"/>
        <v>0.22890621130381208</v>
      </c>
      <c r="BY215" s="14">
        <f t="shared" si="481"/>
        <v>0</v>
      </c>
      <c r="BZ215" s="14">
        <f t="shared" si="481"/>
        <v>0</v>
      </c>
      <c r="CA215" s="14">
        <f t="shared" si="481"/>
        <v>0</v>
      </c>
      <c r="CB215" s="14">
        <f t="shared" si="481"/>
        <v>0</v>
      </c>
      <c r="CC215" s="14">
        <f t="shared" si="481"/>
        <v>0.18099838675578594</v>
      </c>
      <c r="CD215" s="14">
        <f t="shared" si="481"/>
        <v>0.26143121873265329</v>
      </c>
      <c r="CE215" s="14">
        <f t="shared" si="481"/>
        <v>0.18368435351768048</v>
      </c>
      <c r="CF215" s="14">
        <f t="shared" si="481"/>
        <v>0</v>
      </c>
      <c r="CG215" s="14">
        <f t="shared" si="481"/>
        <v>2.5693860485346931E-3</v>
      </c>
      <c r="CH215" s="14">
        <f t="shared" si="481"/>
        <v>0</v>
      </c>
      <c r="CI215" s="14">
        <f t="shared" si="481"/>
        <v>0</v>
      </c>
      <c r="CJ215" s="14"/>
      <c r="CK215" s="112" t="s">
        <v>572</v>
      </c>
      <c r="CL215" s="76">
        <f t="shared" si="474"/>
        <v>0</v>
      </c>
      <c r="CM215" s="2">
        <f t="shared" si="469"/>
        <v>1220692.601968972</v>
      </c>
      <c r="CN215" s="2">
        <f t="shared" si="469"/>
        <v>237704.73124955816</v>
      </c>
      <c r="CO215" s="2">
        <f t="shared" si="469"/>
        <v>0</v>
      </c>
      <c r="CP215" s="2">
        <f t="shared" si="469"/>
        <v>5445.1698789272768</v>
      </c>
      <c r="CQ215" s="2">
        <f t="shared" si="469"/>
        <v>59828.960901792147</v>
      </c>
      <c r="CR215" s="2">
        <f t="shared" si="469"/>
        <v>0</v>
      </c>
    </row>
    <row r="216" spans="1:96">
      <c r="A216" s="50">
        <f t="shared" si="434"/>
        <v>216</v>
      </c>
      <c r="B216" t="s">
        <v>329</v>
      </c>
      <c r="C216" s="36" t="s">
        <v>154</v>
      </c>
      <c r="D216" s="28" t="s">
        <v>2</v>
      </c>
      <c r="E216" s="373">
        <f>PROFORMA!AY80</f>
        <v>-5000</v>
      </c>
      <c r="F216" s="60" t="s">
        <v>124</v>
      </c>
      <c r="G216" s="60"/>
      <c r="H216" s="2">
        <f t="shared" si="442"/>
        <v>-4999.9999999999991</v>
      </c>
      <c r="I216" s="2">
        <f t="shared" si="443"/>
        <v>-3949.6277175733612</v>
      </c>
      <c r="J216" s="2">
        <f t="shared" si="443"/>
        <v>-815.56756844101483</v>
      </c>
      <c r="K216" s="2">
        <f t="shared" si="443"/>
        <v>0</v>
      </c>
      <c r="L216" s="2">
        <f t="shared" si="443"/>
        <v>-19.439588661695762</v>
      </c>
      <c r="M216" s="2">
        <f t="shared" si="443"/>
        <v>-215.36512532392797</v>
      </c>
      <c r="N216" s="2">
        <f t="shared" si="443"/>
        <v>0</v>
      </c>
      <c r="O216" s="2"/>
      <c r="P216" s="61" t="str">
        <f t="shared" si="470"/>
        <v>E216*     "</v>
      </c>
      <c r="Q216" s="61"/>
      <c r="R216" s="14">
        <f t="shared" si="479"/>
        <v>0.15748987821834601</v>
      </c>
      <c r="S216" s="14">
        <f t="shared" si="479"/>
        <v>0</v>
      </c>
      <c r="T216" s="14">
        <f t="shared" si="479"/>
        <v>0</v>
      </c>
      <c r="U216" s="14">
        <f t="shared" si="479"/>
        <v>0</v>
      </c>
      <c r="V216" s="14">
        <f t="shared" si="479"/>
        <v>0</v>
      </c>
      <c r="W216" s="14">
        <f t="shared" si="479"/>
        <v>0.2531444353365272</v>
      </c>
      <c r="X216" s="14">
        <f t="shared" si="479"/>
        <v>0</v>
      </c>
      <c r="Y216" s="14">
        <f t="shared" si="479"/>
        <v>0</v>
      </c>
      <c r="Z216" s="14">
        <f t="shared" si="479"/>
        <v>0</v>
      </c>
      <c r="AA216" s="14">
        <f t="shared" si="479"/>
        <v>0</v>
      </c>
      <c r="AB216" s="14">
        <f t="shared" si="480"/>
        <v>0.13916411457395064</v>
      </c>
      <c r="AC216" s="14">
        <f t="shared" si="480"/>
        <v>0.30134801404036221</v>
      </c>
      <c r="AD216" s="14">
        <f t="shared" si="480"/>
        <v>0.14669834464417569</v>
      </c>
      <c r="AE216" s="14">
        <f t="shared" si="480"/>
        <v>0</v>
      </c>
      <c r="AF216" s="14">
        <f t="shared" si="480"/>
        <v>2.1552131866382292E-3</v>
      </c>
      <c r="AG216" s="14">
        <f t="shared" si="480"/>
        <v>0</v>
      </c>
      <c r="AH216" s="14">
        <f t="shared" si="480"/>
        <v>0</v>
      </c>
      <c r="AI216" s="76">
        <f t="shared" si="471"/>
        <v>0</v>
      </c>
      <c r="AK216" s="2">
        <f t="shared" si="445"/>
        <v>-5000</v>
      </c>
      <c r="AL216" s="2">
        <f t="shared" si="446"/>
        <v>-787.44939109173004</v>
      </c>
      <c r="AM216" s="2">
        <f t="shared" si="446"/>
        <v>-1265.722176682636</v>
      </c>
      <c r="AN216" s="2">
        <f t="shared" si="446"/>
        <v>-2946.8284322256345</v>
      </c>
      <c r="AO216" s="2">
        <f t="shared" si="446"/>
        <v>0</v>
      </c>
      <c r="AP216" s="2"/>
      <c r="AQ216" s="61" t="str">
        <f t="shared" si="472"/>
        <v>E216*      "</v>
      </c>
      <c r="AS216" s="2">
        <f t="shared" si="447"/>
        <v>-787.44939109173004</v>
      </c>
      <c r="AT216" s="2">
        <f t="shared" si="448"/>
        <v>-452.3412737335193</v>
      </c>
      <c r="AU216" s="2">
        <f t="shared" si="448"/>
        <v>-219.16619315968728</v>
      </c>
      <c r="AV216" s="2">
        <f t="shared" si="448"/>
        <v>0</v>
      </c>
      <c r="AW216" s="2">
        <f t="shared" si="448"/>
        <v>-8.9495547272887617</v>
      </c>
      <c r="AX216" s="2">
        <f t="shared" si="448"/>
        <v>-106.99236947123472</v>
      </c>
      <c r="AY216" s="2">
        <f t="shared" si="448"/>
        <v>0</v>
      </c>
      <c r="BA216" s="2">
        <f t="shared" si="449"/>
        <v>-1265.722176682636</v>
      </c>
      <c r="BB216" s="2">
        <f t="shared" si="450"/>
        <v>-715.57789461753191</v>
      </c>
      <c r="BC216" s="2">
        <f t="shared" si="450"/>
        <v>-441.62016771662019</v>
      </c>
      <c r="BD216" s="2">
        <f t="shared" si="450"/>
        <v>0</v>
      </c>
      <c r="BE216" s="2">
        <f t="shared" si="450"/>
        <v>-9.5154461466161617</v>
      </c>
      <c r="BF216" s="2">
        <f t="shared" si="450"/>
        <v>-99.008668201867707</v>
      </c>
      <c r="BG216" s="2">
        <f t="shared" si="450"/>
        <v>0</v>
      </c>
      <c r="BI216" s="2">
        <f t="shared" si="451"/>
        <v>-2946.8284322256345</v>
      </c>
      <c r="BJ216" s="2">
        <f t="shared" si="452"/>
        <v>-2781.7085492223105</v>
      </c>
      <c r="BK216" s="2">
        <f t="shared" si="452"/>
        <v>-154.78120756470736</v>
      </c>
      <c r="BL216" s="2">
        <f t="shared" si="452"/>
        <v>0</v>
      </c>
      <c r="BM216" s="2">
        <f t="shared" si="452"/>
        <v>-0.97458778779084154</v>
      </c>
      <c r="BN216" s="2">
        <f t="shared" si="452"/>
        <v>-9.3640876508255388</v>
      </c>
      <c r="BO216" s="2">
        <f t="shared" si="452"/>
        <v>0</v>
      </c>
      <c r="BQ216" s="28" t="s">
        <v>2</v>
      </c>
      <c r="BR216" s="23">
        <v>0</v>
      </c>
      <c r="BS216" s="14">
        <f>(SUMPRODUCT($BR$207:$BR$214,BS$207:BS$214)+$BR$227*BS$227)/SUM($BR$207:$BR$214,$BR$227)</f>
        <v>0.14241044364153357</v>
      </c>
      <c r="BT216" s="14">
        <f t="shared" si="481"/>
        <v>0</v>
      </c>
      <c r="BU216" s="14">
        <f t="shared" si="481"/>
        <v>0</v>
      </c>
      <c r="BV216" s="14">
        <f t="shared" si="481"/>
        <v>0</v>
      </c>
      <c r="BW216" s="14">
        <f t="shared" si="481"/>
        <v>0</v>
      </c>
      <c r="BX216" s="14">
        <f t="shared" si="481"/>
        <v>0.22890621130381208</v>
      </c>
      <c r="BY216" s="14">
        <f t="shared" si="481"/>
        <v>0</v>
      </c>
      <c r="BZ216" s="14">
        <f t="shared" si="481"/>
        <v>0</v>
      </c>
      <c r="CA216" s="14">
        <f t="shared" si="481"/>
        <v>0</v>
      </c>
      <c r="CB216" s="14">
        <f t="shared" si="481"/>
        <v>0</v>
      </c>
      <c r="CC216" s="14">
        <f t="shared" si="481"/>
        <v>0.18099838675578594</v>
      </c>
      <c r="CD216" s="14">
        <f t="shared" si="481"/>
        <v>0.26143121873265329</v>
      </c>
      <c r="CE216" s="14">
        <f t="shared" si="481"/>
        <v>0.18368435351768048</v>
      </c>
      <c r="CF216" s="14">
        <f t="shared" si="481"/>
        <v>0</v>
      </c>
      <c r="CG216" s="14">
        <f t="shared" si="481"/>
        <v>2.5693860485346931E-3</v>
      </c>
      <c r="CH216" s="14">
        <f t="shared" si="481"/>
        <v>0</v>
      </c>
      <c r="CI216" s="14">
        <f t="shared" si="481"/>
        <v>0</v>
      </c>
      <c r="CJ216" s="14"/>
      <c r="CK216" s="112" t="s">
        <v>572</v>
      </c>
      <c r="CL216" s="76">
        <f t="shared" si="474"/>
        <v>0</v>
      </c>
      <c r="CM216" s="2">
        <f t="shared" si="469"/>
        <v>0</v>
      </c>
      <c r="CN216" s="2">
        <f t="shared" si="469"/>
        <v>0</v>
      </c>
      <c r="CO216" s="2">
        <f t="shared" si="469"/>
        <v>0</v>
      </c>
      <c r="CP216" s="2">
        <f t="shared" si="469"/>
        <v>0</v>
      </c>
      <c r="CQ216" s="2">
        <f t="shared" si="469"/>
        <v>0</v>
      </c>
      <c r="CR216" s="2">
        <f t="shared" si="469"/>
        <v>0</v>
      </c>
    </row>
    <row r="217" spans="1:96">
      <c r="A217" s="50">
        <f t="shared" si="434"/>
        <v>217</v>
      </c>
      <c r="D217" s="52" t="s">
        <v>7</v>
      </c>
      <c r="E217" s="3">
        <f>SUM(E206:E216)</f>
        <v>9038000</v>
      </c>
      <c r="F217" s="62"/>
      <c r="G217" s="62"/>
      <c r="H217" s="3">
        <f>IF(ROUND(SUM(H206:H216),3)&lt;&gt;ROUND(SUM(I217:N217),3),#VALUE!,SUM(H206:H216))</f>
        <v>9038000</v>
      </c>
      <c r="I217" s="3">
        <f t="shared" ref="I217:N217" si="482">SUM(I206:I216)</f>
        <v>7133376.7121288357</v>
      </c>
      <c r="J217" s="3">
        <f t="shared" si="482"/>
        <v>1450508.091231985</v>
      </c>
      <c r="K217" s="3">
        <f t="shared" si="482"/>
        <v>0</v>
      </c>
      <c r="L217" s="3">
        <f t="shared" si="482"/>
        <v>37090.089599080267</v>
      </c>
      <c r="M217" s="3">
        <f t="shared" si="482"/>
        <v>417025.10704010009</v>
      </c>
      <c r="N217" s="3">
        <f t="shared" si="482"/>
        <v>0</v>
      </c>
      <c r="O217" s="5"/>
      <c r="P217" s="61" t="str">
        <f>$A206&amp;":"&amp;A216</f>
        <v>206:216</v>
      </c>
      <c r="Q217" s="61"/>
      <c r="R217" s="22">
        <f t="shared" ref="R217:AH217" si="483">SUMPRODUCT($E$207:$E$216,R$207:R$216)/$E217</f>
        <v>0.17169347025247139</v>
      </c>
      <c r="S217" s="22">
        <f t="shared" si="483"/>
        <v>0</v>
      </c>
      <c r="T217" s="22">
        <f t="shared" si="483"/>
        <v>0</v>
      </c>
      <c r="U217" s="22">
        <f t="shared" si="483"/>
        <v>0</v>
      </c>
      <c r="V217" s="22">
        <f t="shared" si="483"/>
        <v>0</v>
      </c>
      <c r="W217" s="22">
        <f t="shared" si="483"/>
        <v>0.27597485673188915</v>
      </c>
      <c r="X217" s="22">
        <f t="shared" si="483"/>
        <v>0</v>
      </c>
      <c r="Y217" s="22">
        <f t="shared" si="483"/>
        <v>0</v>
      </c>
      <c r="Z217" s="22">
        <f t="shared" si="483"/>
        <v>0</v>
      </c>
      <c r="AA217" s="22">
        <f t="shared" si="483"/>
        <v>0</v>
      </c>
      <c r="AB217" s="22">
        <f t="shared" si="483"/>
        <v>0.2069908378200507</v>
      </c>
      <c r="AC217" s="22">
        <f t="shared" si="483"/>
        <v>0.31262965072243754</v>
      </c>
      <c r="AD217" s="22">
        <f t="shared" si="483"/>
        <v>3.057835840290149E-2</v>
      </c>
      <c r="AE217" s="22">
        <f t="shared" si="483"/>
        <v>0</v>
      </c>
      <c r="AF217" s="22">
        <f t="shared" si="483"/>
        <v>2.1328260702497483E-3</v>
      </c>
      <c r="AG217" s="22">
        <f t="shared" si="483"/>
        <v>0</v>
      </c>
      <c r="AH217" s="22">
        <f t="shared" si="483"/>
        <v>0</v>
      </c>
      <c r="AI217" s="76">
        <f t="shared" si="471"/>
        <v>0</v>
      </c>
      <c r="AK217" s="3">
        <f>IF(ROUND(SUM(AK206:AK216),3)&lt;&gt;ROUND(SUM(AL217:AO217),3),#VALUE!,SUM(AK206:AK216))</f>
        <v>9038000</v>
      </c>
      <c r="AL217" s="3">
        <f>SUM(AL206:AL216)</f>
        <v>1551765.5841418365</v>
      </c>
      <c r="AM217" s="3">
        <f>SUM(AM206:AM216)</f>
        <v>2494260.755142814</v>
      </c>
      <c r="AN217" s="3">
        <f>SUM(AN206:AN216)</f>
        <v>4991973.6607153499</v>
      </c>
      <c r="AO217" s="3">
        <f>SUM(AO206:AO216)</f>
        <v>0</v>
      </c>
      <c r="AP217" s="5"/>
      <c r="AQ217" s="61" t="str">
        <f>$A206&amp;":"&amp;A216</f>
        <v>206:216</v>
      </c>
      <c r="AS217" s="3">
        <f>IF(ROUND(SUM(AS206:AS216),3)&lt;&gt;ROUND(SUM(AT217:AY217),3),#VALUE!,SUM(AS206:AS216))</f>
        <v>1551765.5841418367</v>
      </c>
      <c r="AT217" s="3">
        <f t="shared" ref="AT217:AY217" si="484">SUM(AT206:AT216)</f>
        <v>891393.94709975645</v>
      </c>
      <c r="AU217" s="3">
        <f t="shared" si="484"/>
        <v>431893.85832284816</v>
      </c>
      <c r="AV217" s="3">
        <f t="shared" si="484"/>
        <v>0</v>
      </c>
      <c r="AW217" s="3">
        <f t="shared" si="484"/>
        <v>17636.19500669956</v>
      </c>
      <c r="AX217" s="3">
        <f t="shared" si="484"/>
        <v>210841.58371253253</v>
      </c>
      <c r="AY217" s="3">
        <f t="shared" si="484"/>
        <v>0</v>
      </c>
      <c r="BA217" s="3">
        <f>IF(ROUND(SUM(BA206:BA216),3)&lt;&gt;ROUND(SUM(BB217:BG217),3),#VALUE!,SUM(BA206:BA216))</f>
        <v>2494260.7551428131</v>
      </c>
      <c r="BB217" s="3">
        <f t="shared" ref="BB217:BG217" si="485">SUM(BB206:BB216)</f>
        <v>1410133.9872784382</v>
      </c>
      <c r="BC217" s="3">
        <f t="shared" si="485"/>
        <v>870266.69304487039</v>
      </c>
      <c r="BD217" s="3">
        <f t="shared" si="485"/>
        <v>0</v>
      </c>
      <c r="BE217" s="3">
        <f t="shared" si="485"/>
        <v>18751.353439492279</v>
      </c>
      <c r="BF217" s="3">
        <f t="shared" si="485"/>
        <v>195108.72138001205</v>
      </c>
      <c r="BG217" s="3">
        <f t="shared" si="485"/>
        <v>0</v>
      </c>
      <c r="BI217" s="3">
        <f>IF(ROUND(SUM(BI206:BI216),3)&lt;&gt;ROUND(SUM(BJ217:BO217),3),#VALUE!,SUM(BI206:BI216))</f>
        <v>4991973.6607153499</v>
      </c>
      <c r="BJ217" s="3">
        <f t="shared" ref="BJ217:BO217" si="486">SUM(BJ206:BJ216)</f>
        <v>4831848.7777506402</v>
      </c>
      <c r="BK217" s="3">
        <f t="shared" si="486"/>
        <v>148347.53986426623</v>
      </c>
      <c r="BL217" s="3">
        <f t="shared" si="486"/>
        <v>0</v>
      </c>
      <c r="BM217" s="3">
        <f t="shared" si="486"/>
        <v>702.54115288842399</v>
      </c>
      <c r="BN217" s="3">
        <f t="shared" si="486"/>
        <v>11074.801947555599</v>
      </c>
      <c r="BO217" s="3">
        <f t="shared" si="486"/>
        <v>0</v>
      </c>
      <c r="BQ217" s="52" t="s">
        <v>7</v>
      </c>
      <c r="BR217" s="686">
        <f>IF(ROUND(SUM(BR206:BR216),3)&lt;&gt;ROUND(SUM(CM217:CR217),3),#VALUE!,SUM(BR206:BR216))</f>
        <v>5799823.0633542296</v>
      </c>
      <c r="BS217" s="22">
        <f>IF(SUM($BR$207:$BR$216)=0,0,SUMPRODUCT($BR$207:$BR$216,BS$207:BS$216)/$BR$217)</f>
        <v>0.15018913619997187</v>
      </c>
      <c r="BT217" s="22">
        <f t="shared" ref="BT217:CI217" si="487">IF(SUM($BR$207:$BR$216)=0,0,SUMPRODUCT($BR$207:$BR$216,BT$207:BT$216)/$BR$217)</f>
        <v>0</v>
      </c>
      <c r="BU217" s="22">
        <f t="shared" si="487"/>
        <v>0</v>
      </c>
      <c r="BV217" s="22">
        <f t="shared" si="487"/>
        <v>0</v>
      </c>
      <c r="BW217" s="22">
        <f t="shared" si="487"/>
        <v>0</v>
      </c>
      <c r="BX217" s="22">
        <f t="shared" si="487"/>
        <v>0.24140944489341637</v>
      </c>
      <c r="BY217" s="22">
        <f t="shared" si="487"/>
        <v>0</v>
      </c>
      <c r="BZ217" s="22">
        <f t="shared" si="487"/>
        <v>0</v>
      </c>
      <c r="CA217" s="22">
        <f t="shared" si="487"/>
        <v>0</v>
      </c>
      <c r="CB217" s="22">
        <f t="shared" si="487"/>
        <v>0</v>
      </c>
      <c r="CC217" s="22">
        <f t="shared" si="487"/>
        <v>0.25925752914100397</v>
      </c>
      <c r="CD217" s="22">
        <f t="shared" si="487"/>
        <v>0.26580192756681015</v>
      </c>
      <c r="CE217" s="22">
        <f t="shared" si="487"/>
        <v>8.0662855232043543E-2</v>
      </c>
      <c r="CF217" s="22">
        <f t="shared" si="487"/>
        <v>0</v>
      </c>
      <c r="CG217" s="22">
        <f t="shared" si="487"/>
        <v>2.6791069667542232E-3</v>
      </c>
      <c r="CH217" s="22">
        <f t="shared" si="487"/>
        <v>0</v>
      </c>
      <c r="CI217" s="22">
        <f t="shared" si="487"/>
        <v>0</v>
      </c>
      <c r="CJ217" s="42"/>
      <c r="CK217" s="42"/>
      <c r="CL217" s="76">
        <f t="shared" si="474"/>
        <v>0</v>
      </c>
      <c r="CM217" s="3">
        <f t="shared" ref="CM217:CR217" si="488">SUM(CM206:CM216)</f>
        <v>4672487.2617506292</v>
      </c>
      <c r="CN217" s="3">
        <f t="shared" si="488"/>
        <v>869970.19849634881</v>
      </c>
      <c r="CO217" s="3">
        <f t="shared" si="488"/>
        <v>0</v>
      </c>
      <c r="CP217" s="3">
        <f t="shared" si="488"/>
        <v>21188.028061319877</v>
      </c>
      <c r="CQ217" s="3">
        <f t="shared" si="488"/>
        <v>236177.57504593255</v>
      </c>
      <c r="CR217" s="3">
        <f t="shared" si="488"/>
        <v>0</v>
      </c>
    </row>
    <row r="218" spans="1:96">
      <c r="A218" s="50">
        <f t="shared" si="434"/>
        <v>218</v>
      </c>
      <c r="B218" t="s">
        <v>339</v>
      </c>
      <c r="C218" s="36" t="s">
        <v>154</v>
      </c>
      <c r="D218" s="28" t="s">
        <v>1</v>
      </c>
      <c r="E218" s="373">
        <f>PROFORMA!AY83</f>
        <v>17000</v>
      </c>
      <c r="F218" s="60" t="str">
        <f>"as Distrib Plant ("&amp;A$41&amp;")"</f>
        <v>as Distrib Plant (41)</v>
      </c>
      <c r="G218" s="60" t="s">
        <v>435</v>
      </c>
      <c r="H218" s="2">
        <f t="shared" ref="H218:H226" si="489">SUM(I218:N218)</f>
        <v>17000</v>
      </c>
      <c r="I218" s="2">
        <f t="shared" ref="I218:N226" si="490">$E218*SUMPRODUCT($R218:$AH218,INDEX(AllocFactors,I$4,0))</f>
        <v>12760.713110513134</v>
      </c>
      <c r="J218" s="2">
        <f t="shared" si="490"/>
        <v>3263.8375072170279</v>
      </c>
      <c r="K218" s="2">
        <f t="shared" si="490"/>
        <v>0</v>
      </c>
      <c r="L218" s="2">
        <f t="shared" si="490"/>
        <v>80.564290612885827</v>
      </c>
      <c r="M218" s="2">
        <f t="shared" si="490"/>
        <v>894.88509165695393</v>
      </c>
      <c r="N218" s="2">
        <f t="shared" si="490"/>
        <v>0</v>
      </c>
      <c r="O218" s="2"/>
      <c r="P218" s="61" t="str">
        <f>E$1&amp;$A218&amp;"* Sum["&amp;$R$1&amp;$A218&amp;":"&amp;$AH$1&amp;$A218&amp;"* "&amp;Factors!D$1&amp;Factors!$A$58&amp;":"&amp;Factors!S$1&amp;Factors!$A$64&amp;"]"</f>
        <v>E218* Sum[R218:AH218* D1042:S1048]</v>
      </c>
      <c r="Q218" s="61"/>
      <c r="R218" s="14">
        <f>R$41</f>
        <v>0.1933876764871075</v>
      </c>
      <c r="S218" s="14">
        <f>S$41</f>
        <v>0</v>
      </c>
      <c r="T218" s="14">
        <f t="shared" ref="T218:AH218" si="491">T$41</f>
        <v>0</v>
      </c>
      <c r="U218" s="14">
        <f t="shared" si="491"/>
        <v>0</v>
      </c>
      <c r="V218" s="14">
        <f t="shared" si="491"/>
        <v>0</v>
      </c>
      <c r="W218" s="14">
        <f t="shared" si="491"/>
        <v>0.31084546333511004</v>
      </c>
      <c r="X218" s="14">
        <f t="shared" si="491"/>
        <v>0</v>
      </c>
      <c r="Y218" s="14">
        <f t="shared" si="491"/>
        <v>0</v>
      </c>
      <c r="Z218" s="14">
        <f>Z$41</f>
        <v>0</v>
      </c>
      <c r="AA218" s="14">
        <f t="shared" si="491"/>
        <v>0</v>
      </c>
      <c r="AB218" s="14">
        <f>AB$41</f>
        <v>0</v>
      </c>
      <c r="AC218" s="14">
        <f t="shared" si="491"/>
        <v>0.35888972828992466</v>
      </c>
      <c r="AD218" s="14">
        <f t="shared" si="491"/>
        <v>0.13220566312906262</v>
      </c>
      <c r="AE218" s="14">
        <f>AE$41</f>
        <v>0</v>
      </c>
      <c r="AF218" s="14">
        <f t="shared" si="491"/>
        <v>4.6714687587951949E-3</v>
      </c>
      <c r="AG218" s="14">
        <f t="shared" si="491"/>
        <v>0</v>
      </c>
      <c r="AH218" s="14">
        <f t="shared" si="491"/>
        <v>0</v>
      </c>
      <c r="AI218" s="76">
        <f t="shared" si="471"/>
        <v>0</v>
      </c>
      <c r="AK218" s="2">
        <f t="shared" ref="AK218:AK226" si="492">SUM(AL218:AO218)</f>
        <v>17000</v>
      </c>
      <c r="AL218" s="2">
        <f t="shared" ref="AL218:AO226" si="493">SUMIF($R$4:$AH$4,AL$5,$R218:$AH218)*$E218</f>
        <v>3287.5905002808277</v>
      </c>
      <c r="AM218" s="2">
        <f t="shared" si="493"/>
        <v>5284.3728766968707</v>
      </c>
      <c r="AN218" s="2">
        <f t="shared" si="493"/>
        <v>8428.0366230223026</v>
      </c>
      <c r="AO218" s="2">
        <f t="shared" si="493"/>
        <v>0</v>
      </c>
      <c r="AP218" s="2"/>
      <c r="AQ218" s="61" t="str">
        <f>E$1&amp;$A218&amp;"*["&amp;R$1&amp;$A218&amp;":"&amp;$AH$1&amp;$A218&amp;" when "&amp;R$1&amp;$A$4&amp;":"&amp;$AH$1&amp;$A$4&amp;" = E,D,C,or R]"</f>
        <v>E218*[R218:AH218 when R4:AH4 = E,D,C,or R]</v>
      </c>
      <c r="AS218" s="2">
        <f t="shared" ref="AS218:AS226" si="494">SUM(AT218:AY218)</f>
        <v>3287.5905002808281</v>
      </c>
      <c r="AT218" s="2">
        <f t="shared" ref="AT218:AY226" si="495">$E218*SUMPRODUCT($R218:$V218,INDEX(AllocFactors_E,AT$4,0))</f>
        <v>1888.5186670212483</v>
      </c>
      <c r="AU218" s="2">
        <f t="shared" si="495"/>
        <v>915.01587627815741</v>
      </c>
      <c r="AV218" s="2">
        <f t="shared" si="495"/>
        <v>0</v>
      </c>
      <c r="AW218" s="2">
        <f t="shared" si="495"/>
        <v>37.364269292768398</v>
      </c>
      <c r="AX218" s="2">
        <f t="shared" si="495"/>
        <v>446.69168768865381</v>
      </c>
      <c r="AY218" s="2">
        <f t="shared" si="495"/>
        <v>0</v>
      </c>
      <c r="BA218" s="2">
        <f t="shared" ref="BA218:BA226" si="496">SUM(BB218:BG218)</f>
        <v>5284.3728766968707</v>
      </c>
      <c r="BB218" s="2">
        <f t="shared" ref="BB218:BG226" si="497">$E218*SUMPRODUCT($W218:$AA218,INDEX(AllocFactors_D,BB$4,0))</f>
        <v>2987.5279797905214</v>
      </c>
      <c r="BC218" s="2">
        <f t="shared" si="497"/>
        <v>1843.7581951834388</v>
      </c>
      <c r="BD218" s="2">
        <f t="shared" si="497"/>
        <v>0</v>
      </c>
      <c r="BE218" s="2">
        <f t="shared" si="497"/>
        <v>39.726858273619442</v>
      </c>
      <c r="BF218" s="2">
        <f t="shared" si="497"/>
        <v>413.35984344929045</v>
      </c>
      <c r="BG218" s="2">
        <f t="shared" si="497"/>
        <v>0</v>
      </c>
      <c r="BI218" s="2">
        <f t="shared" ref="BI218:BI226" si="498">SUM(BJ218:BO218)</f>
        <v>8428.0366230223008</v>
      </c>
      <c r="BJ218" s="2">
        <f t="shared" ref="BJ218:BO226" si="499">$E218*SUMPRODUCT($AB218:$AG218,INDEX(AllocFactors_C,BJ$4,0))</f>
        <v>7884.6664637013628</v>
      </c>
      <c r="BK218" s="2">
        <f t="shared" si="499"/>
        <v>505.06343575543161</v>
      </c>
      <c r="BL218" s="2">
        <f t="shared" si="499"/>
        <v>0</v>
      </c>
      <c r="BM218" s="2">
        <f t="shared" si="499"/>
        <v>3.4731630464979908</v>
      </c>
      <c r="BN218" s="2">
        <f t="shared" si="499"/>
        <v>34.833560519009751</v>
      </c>
      <c r="BO218" s="2">
        <f t="shared" si="499"/>
        <v>0</v>
      </c>
      <c r="BQ218" s="28" t="s">
        <v>1</v>
      </c>
      <c r="BR218" s="23">
        <v>8108.5796235402013</v>
      </c>
      <c r="BS218" s="14">
        <f t="shared" ref="BS218:BS226" si="500">R218</f>
        <v>0.1933876764871075</v>
      </c>
      <c r="BT218" s="14">
        <f t="shared" ref="BT218:BT226" si="501">S218</f>
        <v>0</v>
      </c>
      <c r="BU218" s="14">
        <f t="shared" ref="BU218:BU226" si="502">T218</f>
        <v>0</v>
      </c>
      <c r="BV218" s="14">
        <f t="shared" ref="BV218:BV226" si="503">U218</f>
        <v>0</v>
      </c>
      <c r="BW218" s="14">
        <f t="shared" ref="BW218:BW226" si="504">V218</f>
        <v>0</v>
      </c>
      <c r="BX218" s="14">
        <f t="shared" ref="BX218:BX226" si="505">W218</f>
        <v>0.31084546333511004</v>
      </c>
      <c r="BY218" s="14">
        <f t="shared" ref="BY218:BY226" si="506">X218</f>
        <v>0</v>
      </c>
      <c r="BZ218" s="14">
        <f t="shared" ref="BZ218:BZ226" si="507">Y218</f>
        <v>0</v>
      </c>
      <c r="CA218" s="14">
        <f t="shared" ref="CA218:CA226" si="508">Z218</f>
        <v>0</v>
      </c>
      <c r="CB218" s="14">
        <f t="shared" ref="CB218:CB226" si="509">AA218</f>
        <v>0</v>
      </c>
      <c r="CC218" s="14">
        <f t="shared" ref="CC218:CC226" si="510">AB218</f>
        <v>0</v>
      </c>
      <c r="CD218" s="14">
        <f t="shared" ref="CD218:CD226" si="511">AC218</f>
        <v>0.35888972828992466</v>
      </c>
      <c r="CE218" s="14">
        <f t="shared" ref="CE218:CE226" si="512">AD218</f>
        <v>0.13220566312906262</v>
      </c>
      <c r="CF218" s="14">
        <f t="shared" ref="CF218:CF226" si="513">AE218</f>
        <v>0</v>
      </c>
      <c r="CG218" s="14">
        <f t="shared" ref="CG218:CG226" si="514">AF218</f>
        <v>4.6714687587951949E-3</v>
      </c>
      <c r="CH218" s="14">
        <f t="shared" ref="CH218:CH226" si="515">AG218</f>
        <v>0</v>
      </c>
      <c r="CI218" s="14">
        <f t="shared" ref="CI218:CI226" si="516">AH218</f>
        <v>0</v>
      </c>
      <c r="CJ218" s="14"/>
      <c r="CK218" s="112" t="str">
        <f t="shared" ref="CK218:CK226" si="517">F218</f>
        <v>as Distrib Plant (41)</v>
      </c>
      <c r="CL218" s="76">
        <f t="shared" si="474"/>
        <v>0</v>
      </c>
      <c r="CM218" s="2">
        <f t="shared" ref="CM218:CR226" si="518">$BR218*SUMPRODUCT($BS218:$CI218,INDEX(AllocFactors,CM$172,0))</f>
        <v>6086.54460645583</v>
      </c>
      <c r="CN218" s="2">
        <f t="shared" si="518"/>
        <v>1556.7697826803669</v>
      </c>
      <c r="CO218" s="2">
        <f t="shared" si="518"/>
        <v>0</v>
      </c>
      <c r="CP218" s="2">
        <f t="shared" si="518"/>
        <v>38.427174426389243</v>
      </c>
      <c r="CQ218" s="2">
        <f t="shared" si="518"/>
        <v>426.83805997761658</v>
      </c>
      <c r="CR218" s="2">
        <f t="shared" si="518"/>
        <v>0</v>
      </c>
    </row>
    <row r="219" spans="1:96">
      <c r="A219" s="50">
        <f t="shared" si="434"/>
        <v>219</v>
      </c>
      <c r="B219" t="s">
        <v>340</v>
      </c>
      <c r="C219" s="36" t="s">
        <v>154</v>
      </c>
      <c r="D219" s="28" t="s">
        <v>89</v>
      </c>
      <c r="E219" s="373">
        <v>0</v>
      </c>
      <c r="F219" s="60" t="str">
        <f>"as other Dist Plt ("&amp;A$29&amp;"-"&amp;A$39&amp;")"</f>
        <v>as other Dist Plt (29-39)</v>
      </c>
      <c r="G219" s="60" t="s">
        <v>436</v>
      </c>
      <c r="H219" s="2">
        <f t="shared" si="489"/>
        <v>0</v>
      </c>
      <c r="I219" s="2">
        <f t="shared" si="490"/>
        <v>0</v>
      </c>
      <c r="J219" s="2">
        <f t="shared" si="490"/>
        <v>0</v>
      </c>
      <c r="K219" s="2">
        <f t="shared" si="490"/>
        <v>0</v>
      </c>
      <c r="L219" s="2">
        <f t="shared" si="490"/>
        <v>0</v>
      </c>
      <c r="M219" s="2">
        <f t="shared" si="490"/>
        <v>0</v>
      </c>
      <c r="N219" s="2">
        <f t="shared" si="490"/>
        <v>0</v>
      </c>
      <c r="O219" s="2"/>
      <c r="P219" s="61" t="str">
        <f t="shared" ref="P219:P226" si="519">E$1&amp;$A219&amp;"*     """</f>
        <v>E219*     "</v>
      </c>
      <c r="Q219" s="61"/>
      <c r="R219" s="15">
        <f>SUMPRODUCT($E$29:$E$39,R$29:R$39)/SUM($E$29:$E$39)</f>
        <v>0.1933876764871075</v>
      </c>
      <c r="S219" s="15">
        <f t="shared" ref="S219:AH219" si="520">SUMPRODUCT($E$29:$E$39,S$29:S$39)/SUM($E$29:$E$39)</f>
        <v>0</v>
      </c>
      <c r="T219" s="15">
        <f t="shared" si="520"/>
        <v>0</v>
      </c>
      <c r="U219" s="15">
        <f t="shared" si="520"/>
        <v>0</v>
      </c>
      <c r="V219" s="15">
        <f t="shared" si="520"/>
        <v>0</v>
      </c>
      <c r="W219" s="15">
        <f t="shared" si="520"/>
        <v>0.31084546333511004</v>
      </c>
      <c r="X219" s="15">
        <f t="shared" si="520"/>
        <v>0</v>
      </c>
      <c r="Y219" s="15">
        <f t="shared" si="520"/>
        <v>0</v>
      </c>
      <c r="Z219" s="15">
        <f t="shared" si="520"/>
        <v>0</v>
      </c>
      <c r="AA219" s="15">
        <f t="shared" si="520"/>
        <v>0</v>
      </c>
      <c r="AB219" s="15">
        <f t="shared" si="520"/>
        <v>0</v>
      </c>
      <c r="AC219" s="15">
        <f t="shared" si="520"/>
        <v>0.3588897282899246</v>
      </c>
      <c r="AD219" s="15">
        <f t="shared" si="520"/>
        <v>0.13220566312906262</v>
      </c>
      <c r="AE219" s="15">
        <f t="shared" si="520"/>
        <v>0</v>
      </c>
      <c r="AF219" s="15">
        <f t="shared" si="520"/>
        <v>4.6714687587951949E-3</v>
      </c>
      <c r="AG219" s="15">
        <f t="shared" si="520"/>
        <v>0</v>
      </c>
      <c r="AH219" s="15">
        <f t="shared" si="520"/>
        <v>0</v>
      </c>
      <c r="AI219" s="76">
        <f t="shared" si="471"/>
        <v>0</v>
      </c>
      <c r="AK219" s="2">
        <f t="shared" si="492"/>
        <v>0</v>
      </c>
      <c r="AL219" s="2">
        <f t="shared" si="493"/>
        <v>0</v>
      </c>
      <c r="AM219" s="2">
        <f t="shared" si="493"/>
        <v>0</v>
      </c>
      <c r="AN219" s="2">
        <f t="shared" si="493"/>
        <v>0</v>
      </c>
      <c r="AO219" s="2">
        <f t="shared" si="493"/>
        <v>0</v>
      </c>
      <c r="AP219" s="2"/>
      <c r="AQ219" s="61" t="str">
        <f t="shared" ref="AQ219:AQ226" si="521">E$1&amp;$A219&amp;"*      """</f>
        <v>E219*      "</v>
      </c>
      <c r="AS219" s="2">
        <f t="shared" si="494"/>
        <v>0</v>
      </c>
      <c r="AT219" s="2">
        <f t="shared" si="495"/>
        <v>0</v>
      </c>
      <c r="AU219" s="2">
        <f t="shared" si="495"/>
        <v>0</v>
      </c>
      <c r="AV219" s="2">
        <f t="shared" si="495"/>
        <v>0</v>
      </c>
      <c r="AW219" s="2">
        <f t="shared" si="495"/>
        <v>0</v>
      </c>
      <c r="AX219" s="2">
        <f t="shared" si="495"/>
        <v>0</v>
      </c>
      <c r="AY219" s="2">
        <f t="shared" si="495"/>
        <v>0</v>
      </c>
      <c r="BA219" s="2">
        <f t="shared" si="496"/>
        <v>0</v>
      </c>
      <c r="BB219" s="2">
        <f t="shared" si="497"/>
        <v>0</v>
      </c>
      <c r="BC219" s="2">
        <f t="shared" si="497"/>
        <v>0</v>
      </c>
      <c r="BD219" s="2">
        <f t="shared" si="497"/>
        <v>0</v>
      </c>
      <c r="BE219" s="2">
        <f t="shared" si="497"/>
        <v>0</v>
      </c>
      <c r="BF219" s="2">
        <f t="shared" si="497"/>
        <v>0</v>
      </c>
      <c r="BG219" s="2">
        <f t="shared" si="497"/>
        <v>0</v>
      </c>
      <c r="BI219" s="2">
        <f t="shared" si="498"/>
        <v>0</v>
      </c>
      <c r="BJ219" s="2">
        <f t="shared" si="499"/>
        <v>0</v>
      </c>
      <c r="BK219" s="2">
        <f t="shared" si="499"/>
        <v>0</v>
      </c>
      <c r="BL219" s="2">
        <f t="shared" si="499"/>
        <v>0</v>
      </c>
      <c r="BM219" s="2">
        <f t="shared" si="499"/>
        <v>0</v>
      </c>
      <c r="BN219" s="2">
        <f t="shared" si="499"/>
        <v>0</v>
      </c>
      <c r="BO219" s="2">
        <f t="shared" si="499"/>
        <v>0</v>
      </c>
      <c r="BQ219" s="28" t="s">
        <v>89</v>
      </c>
      <c r="BR219" s="23">
        <v>0</v>
      </c>
      <c r="BS219" s="14">
        <f t="shared" si="500"/>
        <v>0.1933876764871075</v>
      </c>
      <c r="BT219" s="14">
        <f t="shared" si="501"/>
        <v>0</v>
      </c>
      <c r="BU219" s="14">
        <f t="shared" si="502"/>
        <v>0</v>
      </c>
      <c r="BV219" s="14">
        <f t="shared" si="503"/>
        <v>0</v>
      </c>
      <c r="BW219" s="14">
        <f t="shared" si="504"/>
        <v>0</v>
      </c>
      <c r="BX219" s="14">
        <f t="shared" si="505"/>
        <v>0.31084546333511004</v>
      </c>
      <c r="BY219" s="14">
        <f t="shared" si="506"/>
        <v>0</v>
      </c>
      <c r="BZ219" s="14">
        <f t="shared" si="507"/>
        <v>0</v>
      </c>
      <c r="CA219" s="14">
        <f t="shared" si="508"/>
        <v>0</v>
      </c>
      <c r="CB219" s="14">
        <f t="shared" si="509"/>
        <v>0</v>
      </c>
      <c r="CC219" s="14">
        <f t="shared" si="510"/>
        <v>0</v>
      </c>
      <c r="CD219" s="14">
        <f t="shared" si="511"/>
        <v>0.3588897282899246</v>
      </c>
      <c r="CE219" s="14">
        <f t="shared" si="512"/>
        <v>0.13220566312906262</v>
      </c>
      <c r="CF219" s="14">
        <f t="shared" si="513"/>
        <v>0</v>
      </c>
      <c r="CG219" s="14">
        <f t="shared" si="514"/>
        <v>4.6714687587951949E-3</v>
      </c>
      <c r="CH219" s="14">
        <f t="shared" si="515"/>
        <v>0</v>
      </c>
      <c r="CI219" s="14">
        <f t="shared" si="516"/>
        <v>0</v>
      </c>
      <c r="CJ219" s="14"/>
      <c r="CK219" s="112" t="str">
        <f t="shared" si="517"/>
        <v>as other Dist Plt (29-39)</v>
      </c>
      <c r="CL219" s="76">
        <f t="shared" si="474"/>
        <v>0</v>
      </c>
      <c r="CM219" s="2">
        <f t="shared" si="518"/>
        <v>0</v>
      </c>
      <c r="CN219" s="2">
        <f t="shared" si="518"/>
        <v>0</v>
      </c>
      <c r="CO219" s="2">
        <f t="shared" si="518"/>
        <v>0</v>
      </c>
      <c r="CP219" s="2">
        <f t="shared" si="518"/>
        <v>0</v>
      </c>
      <c r="CQ219" s="2">
        <f t="shared" si="518"/>
        <v>0</v>
      </c>
      <c r="CR219" s="2">
        <f t="shared" si="518"/>
        <v>0</v>
      </c>
    </row>
    <row r="220" spans="1:96">
      <c r="A220" s="50">
        <f t="shared" si="434"/>
        <v>220</v>
      </c>
      <c r="B220" t="s">
        <v>341</v>
      </c>
      <c r="C220" s="36" t="s">
        <v>154</v>
      </c>
      <c r="D220" s="28" t="s">
        <v>244</v>
      </c>
      <c r="E220" s="373">
        <f>PROFORMA!AY84</f>
        <v>1075000</v>
      </c>
      <c r="F220" s="60" t="str">
        <f>"as 376 Mains Plt ("&amp;A$29&amp;","&amp;A$31&amp;")"</f>
        <v>as 376 Mains Plt (29,31)</v>
      </c>
      <c r="G220" s="60" t="s">
        <v>436</v>
      </c>
      <c r="H220" s="2">
        <f>SUM(I220:N220)</f>
        <v>1074999.9999999998</v>
      </c>
      <c r="I220" s="2">
        <f t="shared" si="490"/>
        <v>611499.36307483248</v>
      </c>
      <c r="J220" s="2">
        <f t="shared" si="490"/>
        <v>345974.66139278532</v>
      </c>
      <c r="K220" s="2">
        <f t="shared" si="490"/>
        <v>0</v>
      </c>
      <c r="L220" s="2">
        <f t="shared" si="490"/>
        <v>9667.9090296214345</v>
      </c>
      <c r="M220" s="2">
        <f t="shared" si="490"/>
        <v>107858.06650276073</v>
      </c>
      <c r="N220" s="2">
        <f t="shared" si="490"/>
        <v>0</v>
      </c>
      <c r="O220" s="2"/>
      <c r="P220" s="61" t="str">
        <f t="shared" si="519"/>
        <v>E220*     "</v>
      </c>
      <c r="Q220" s="61"/>
      <c r="R220" s="14">
        <f>SUMPRODUCT($E$29:$E$31,R$29:R$31)/SUM($E$29:$E$31)</f>
        <v>0.38352829517570408</v>
      </c>
      <c r="S220" s="14">
        <f t="shared" ref="S220:AH220" si="522">SUMPRODUCT($E$29:$E$31,S$29:S$31)/SUM($E$29:$E$31)</f>
        <v>0</v>
      </c>
      <c r="T220" s="14">
        <f t="shared" si="522"/>
        <v>0</v>
      </c>
      <c r="U220" s="14">
        <f t="shared" si="522"/>
        <v>0</v>
      </c>
      <c r="V220" s="14">
        <f t="shared" si="522"/>
        <v>0</v>
      </c>
      <c r="W220" s="14">
        <f t="shared" si="522"/>
        <v>0.61647170482429592</v>
      </c>
      <c r="X220" s="14">
        <f t="shared" si="522"/>
        <v>0</v>
      </c>
      <c r="Y220" s="14">
        <f t="shared" si="522"/>
        <v>0</v>
      </c>
      <c r="Z220" s="14">
        <f t="shared" si="522"/>
        <v>0</v>
      </c>
      <c r="AA220" s="14">
        <f t="shared" si="522"/>
        <v>0</v>
      </c>
      <c r="AB220" s="14">
        <f t="shared" si="522"/>
        <v>0</v>
      </c>
      <c r="AC220" s="14">
        <f t="shared" si="522"/>
        <v>0</v>
      </c>
      <c r="AD220" s="14">
        <f t="shared" si="522"/>
        <v>0</v>
      </c>
      <c r="AE220" s="14">
        <f t="shared" si="522"/>
        <v>0</v>
      </c>
      <c r="AF220" s="14">
        <f t="shared" si="522"/>
        <v>0</v>
      </c>
      <c r="AG220" s="14">
        <f t="shared" si="522"/>
        <v>0</v>
      </c>
      <c r="AH220" s="14">
        <f t="shared" si="522"/>
        <v>0</v>
      </c>
      <c r="AI220" s="76">
        <f t="shared" si="471"/>
        <v>0</v>
      </c>
      <c r="AK220" s="2">
        <f>SUM(AL220:AO220)</f>
        <v>1075000</v>
      </c>
      <c r="AL220" s="2">
        <f t="shared" si="493"/>
        <v>412292.91731388186</v>
      </c>
      <c r="AM220" s="2">
        <f t="shared" si="493"/>
        <v>662707.08268611808</v>
      </c>
      <c r="AN220" s="2">
        <f t="shared" si="493"/>
        <v>0</v>
      </c>
      <c r="AO220" s="2">
        <f t="shared" si="493"/>
        <v>0</v>
      </c>
      <c r="AP220" s="2"/>
      <c r="AQ220" s="61" t="str">
        <f t="shared" si="521"/>
        <v>E220*      "</v>
      </c>
      <c r="AS220" s="2">
        <f>SUM(AT220:AY220)</f>
        <v>412292.91731388192</v>
      </c>
      <c r="AT220" s="2">
        <f t="shared" si="495"/>
        <v>236836.93895617584</v>
      </c>
      <c r="AU220" s="2">
        <f t="shared" si="495"/>
        <v>114751.08137312546</v>
      </c>
      <c r="AV220" s="2">
        <f t="shared" si="495"/>
        <v>0</v>
      </c>
      <c r="AW220" s="2">
        <f t="shared" si="495"/>
        <v>4685.8097408120248</v>
      </c>
      <c r="AX220" s="2">
        <f t="shared" si="495"/>
        <v>56019.08724376859</v>
      </c>
      <c r="AY220" s="2">
        <f t="shared" si="495"/>
        <v>0</v>
      </c>
      <c r="BA220" s="2">
        <f>SUM(BB220:BG220)</f>
        <v>662707.08268611808</v>
      </c>
      <c r="BB220" s="2">
        <f t="shared" si="497"/>
        <v>374662.42411865661</v>
      </c>
      <c r="BC220" s="2">
        <f t="shared" si="497"/>
        <v>231223.58001965989</v>
      </c>
      <c r="BD220" s="2">
        <f t="shared" si="497"/>
        <v>0</v>
      </c>
      <c r="BE220" s="2">
        <f t="shared" si="497"/>
        <v>4982.0992888094106</v>
      </c>
      <c r="BF220" s="2">
        <f t="shared" si="497"/>
        <v>51838.979258992156</v>
      </c>
      <c r="BG220" s="2">
        <f t="shared" si="497"/>
        <v>0</v>
      </c>
      <c r="BI220" s="2">
        <f t="shared" si="498"/>
        <v>0</v>
      </c>
      <c r="BJ220" s="2">
        <f t="shared" si="499"/>
        <v>0</v>
      </c>
      <c r="BK220" s="2">
        <f t="shared" si="499"/>
        <v>0</v>
      </c>
      <c r="BL220" s="2">
        <f t="shared" si="499"/>
        <v>0</v>
      </c>
      <c r="BM220" s="2">
        <f t="shared" si="499"/>
        <v>0</v>
      </c>
      <c r="BN220" s="2">
        <f t="shared" si="499"/>
        <v>0</v>
      </c>
      <c r="BO220" s="2">
        <f t="shared" si="499"/>
        <v>0</v>
      </c>
      <c r="BQ220" s="28" t="s">
        <v>244</v>
      </c>
      <c r="BR220" s="23">
        <v>601679.19723935821</v>
      </c>
      <c r="BS220" s="14">
        <f t="shared" si="500"/>
        <v>0.38352829517570408</v>
      </c>
      <c r="BT220" s="14">
        <f t="shared" si="501"/>
        <v>0</v>
      </c>
      <c r="BU220" s="14">
        <f t="shared" si="502"/>
        <v>0</v>
      </c>
      <c r="BV220" s="14">
        <f t="shared" si="503"/>
        <v>0</v>
      </c>
      <c r="BW220" s="14">
        <f t="shared" si="504"/>
        <v>0</v>
      </c>
      <c r="BX220" s="14">
        <f t="shared" si="505"/>
        <v>0.61647170482429592</v>
      </c>
      <c r="BY220" s="14">
        <f t="shared" si="506"/>
        <v>0</v>
      </c>
      <c r="BZ220" s="14">
        <f t="shared" si="507"/>
        <v>0</v>
      </c>
      <c r="CA220" s="14">
        <f t="shared" si="508"/>
        <v>0</v>
      </c>
      <c r="CB220" s="14">
        <f t="shared" si="509"/>
        <v>0</v>
      </c>
      <c r="CC220" s="14">
        <f t="shared" si="510"/>
        <v>0</v>
      </c>
      <c r="CD220" s="14">
        <f t="shared" si="511"/>
        <v>0</v>
      </c>
      <c r="CE220" s="14">
        <f t="shared" si="512"/>
        <v>0</v>
      </c>
      <c r="CF220" s="14">
        <f t="shared" si="513"/>
        <v>0</v>
      </c>
      <c r="CG220" s="14">
        <f t="shared" si="514"/>
        <v>0</v>
      </c>
      <c r="CH220" s="14">
        <f t="shared" si="515"/>
        <v>0</v>
      </c>
      <c r="CI220" s="14">
        <f t="shared" si="516"/>
        <v>0</v>
      </c>
      <c r="CJ220" s="14"/>
      <c r="CK220" s="112" t="str">
        <f t="shared" si="517"/>
        <v>as 376 Mains Plt (29,31)</v>
      </c>
      <c r="CL220" s="76">
        <f t="shared" si="474"/>
        <v>0</v>
      </c>
      <c r="CM220" s="2">
        <f t="shared" si="518"/>
        <v>342257.15896487818</v>
      </c>
      <c r="CN220" s="2">
        <f t="shared" si="518"/>
        <v>193642.56421578591</v>
      </c>
      <c r="CO220" s="2">
        <f t="shared" si="518"/>
        <v>0</v>
      </c>
      <c r="CP220" s="2">
        <f t="shared" si="518"/>
        <v>5411.1439478379234</v>
      </c>
      <c r="CQ220" s="2">
        <f t="shared" si="518"/>
        <v>60368.330110856179</v>
      </c>
      <c r="CR220" s="2">
        <f t="shared" si="518"/>
        <v>0</v>
      </c>
    </row>
    <row r="221" spans="1:96">
      <c r="A221" s="50">
        <f t="shared" si="434"/>
        <v>221</v>
      </c>
      <c r="B221" t="s">
        <v>342</v>
      </c>
      <c r="C221" s="36" t="s">
        <v>154</v>
      </c>
      <c r="D221" s="28" t="s">
        <v>332</v>
      </c>
      <c r="E221" s="373">
        <f>PROFORMA!AY86</f>
        <v>233000</v>
      </c>
      <c r="F221" s="60" t="str">
        <f>"as 378 Meas &amp; Reg St Genl ("&amp;A$32&amp;")"</f>
        <v>as 378 Meas &amp; Reg St Genl (32)</v>
      </c>
      <c r="G221" s="60" t="s">
        <v>436</v>
      </c>
      <c r="H221" s="2">
        <f t="shared" si="489"/>
        <v>232999.99999999997</v>
      </c>
      <c r="I221" s="2">
        <f t="shared" si="490"/>
        <v>132538.93171761485</v>
      </c>
      <c r="J221" s="2">
        <f t="shared" si="490"/>
        <v>74987.996376296724</v>
      </c>
      <c r="K221" s="2">
        <f t="shared" si="490"/>
        <v>0</v>
      </c>
      <c r="L221" s="2">
        <f t="shared" si="490"/>
        <v>2095.463073397018</v>
      </c>
      <c r="M221" s="2">
        <f t="shared" si="490"/>
        <v>23377.608832691396</v>
      </c>
      <c r="N221" s="2">
        <f t="shared" si="490"/>
        <v>0</v>
      </c>
      <c r="O221" s="2"/>
      <c r="P221" s="61" t="str">
        <f t="shared" si="519"/>
        <v>E221*     "</v>
      </c>
      <c r="Q221" s="61"/>
      <c r="R221" s="14">
        <f>R$32</f>
        <v>0.38352829517570403</v>
      </c>
      <c r="S221" s="14">
        <f t="shared" ref="S221:AH221" si="523">S$32</f>
        <v>0</v>
      </c>
      <c r="T221" s="14">
        <f t="shared" si="523"/>
        <v>0</v>
      </c>
      <c r="U221" s="14">
        <f t="shared" si="523"/>
        <v>0</v>
      </c>
      <c r="V221" s="14">
        <f t="shared" si="523"/>
        <v>0</v>
      </c>
      <c r="W221" s="14">
        <f t="shared" si="523"/>
        <v>0.61647170482429592</v>
      </c>
      <c r="X221" s="14">
        <f t="shared" si="523"/>
        <v>0</v>
      </c>
      <c r="Y221" s="14">
        <f t="shared" si="523"/>
        <v>0</v>
      </c>
      <c r="Z221" s="14">
        <f t="shared" si="523"/>
        <v>0</v>
      </c>
      <c r="AA221" s="14">
        <f t="shared" si="523"/>
        <v>0</v>
      </c>
      <c r="AB221" s="14">
        <f t="shared" si="523"/>
        <v>0</v>
      </c>
      <c r="AC221" s="14">
        <f t="shared" si="523"/>
        <v>0</v>
      </c>
      <c r="AD221" s="14">
        <f t="shared" si="523"/>
        <v>0</v>
      </c>
      <c r="AE221" s="14">
        <f t="shared" si="523"/>
        <v>0</v>
      </c>
      <c r="AF221" s="14">
        <f t="shared" si="523"/>
        <v>0</v>
      </c>
      <c r="AG221" s="14">
        <f t="shared" si="523"/>
        <v>0</v>
      </c>
      <c r="AH221" s="14">
        <f t="shared" si="523"/>
        <v>0</v>
      </c>
      <c r="AI221" s="76">
        <f t="shared" si="471"/>
        <v>0</v>
      </c>
      <c r="AK221" s="2">
        <f t="shared" si="492"/>
        <v>232999.99999999997</v>
      </c>
      <c r="AL221" s="2">
        <f t="shared" si="493"/>
        <v>89362.092775939032</v>
      </c>
      <c r="AM221" s="2">
        <f t="shared" si="493"/>
        <v>143637.90722406094</v>
      </c>
      <c r="AN221" s="2">
        <f t="shared" si="493"/>
        <v>0</v>
      </c>
      <c r="AO221" s="2">
        <f t="shared" si="493"/>
        <v>0</v>
      </c>
      <c r="AP221" s="2"/>
      <c r="AQ221" s="61" t="str">
        <f t="shared" si="521"/>
        <v>E221*      "</v>
      </c>
      <c r="AS221" s="2">
        <f t="shared" si="494"/>
        <v>89362.092775939047</v>
      </c>
      <c r="AT221" s="2">
        <f t="shared" si="495"/>
        <v>51333.029559803683</v>
      </c>
      <c r="AU221" s="2">
        <f t="shared" si="495"/>
        <v>24871.629730175096</v>
      </c>
      <c r="AV221" s="2">
        <f t="shared" si="495"/>
        <v>0</v>
      </c>
      <c r="AW221" s="2">
        <f t="shared" si="495"/>
        <v>1015.6220182411176</v>
      </c>
      <c r="AX221" s="2">
        <f t="shared" si="495"/>
        <v>12141.811467719142</v>
      </c>
      <c r="AY221" s="2">
        <f t="shared" si="495"/>
        <v>0</v>
      </c>
      <c r="BA221" s="2">
        <f t="shared" si="496"/>
        <v>143637.90722406094</v>
      </c>
      <c r="BB221" s="2">
        <f t="shared" si="497"/>
        <v>81205.902157811157</v>
      </c>
      <c r="BC221" s="2">
        <f t="shared" si="497"/>
        <v>50116.366646121627</v>
      </c>
      <c r="BD221" s="2">
        <f t="shared" si="497"/>
        <v>0</v>
      </c>
      <c r="BE221" s="2">
        <f t="shared" si="497"/>
        <v>1079.8410551559</v>
      </c>
      <c r="BF221" s="2">
        <f t="shared" si="497"/>
        <v>11235.797364972253</v>
      </c>
      <c r="BG221" s="2">
        <f t="shared" si="497"/>
        <v>0</v>
      </c>
      <c r="BI221" s="2">
        <f t="shared" si="498"/>
        <v>0</v>
      </c>
      <c r="BJ221" s="2">
        <f t="shared" si="499"/>
        <v>0</v>
      </c>
      <c r="BK221" s="2">
        <f t="shared" si="499"/>
        <v>0</v>
      </c>
      <c r="BL221" s="2">
        <f t="shared" si="499"/>
        <v>0</v>
      </c>
      <c r="BM221" s="2">
        <f t="shared" si="499"/>
        <v>0</v>
      </c>
      <c r="BN221" s="2">
        <f t="shared" si="499"/>
        <v>0</v>
      </c>
      <c r="BO221" s="2">
        <f t="shared" si="499"/>
        <v>0</v>
      </c>
      <c r="BQ221" s="28" t="s">
        <v>332</v>
      </c>
      <c r="BR221" s="23">
        <v>128400.94352090286</v>
      </c>
      <c r="BS221" s="14">
        <f t="shared" si="500"/>
        <v>0.38352829517570403</v>
      </c>
      <c r="BT221" s="14">
        <f t="shared" si="501"/>
        <v>0</v>
      </c>
      <c r="BU221" s="14">
        <f t="shared" si="502"/>
        <v>0</v>
      </c>
      <c r="BV221" s="14">
        <f t="shared" si="503"/>
        <v>0</v>
      </c>
      <c r="BW221" s="14">
        <f t="shared" si="504"/>
        <v>0</v>
      </c>
      <c r="BX221" s="14">
        <f t="shared" si="505"/>
        <v>0.61647170482429592</v>
      </c>
      <c r="BY221" s="14">
        <f t="shared" si="506"/>
        <v>0</v>
      </c>
      <c r="BZ221" s="14">
        <f t="shared" si="507"/>
        <v>0</v>
      </c>
      <c r="CA221" s="14">
        <f t="shared" si="508"/>
        <v>0</v>
      </c>
      <c r="CB221" s="14">
        <f t="shared" si="509"/>
        <v>0</v>
      </c>
      <c r="CC221" s="14">
        <f t="shared" si="510"/>
        <v>0</v>
      </c>
      <c r="CD221" s="14">
        <f t="shared" si="511"/>
        <v>0</v>
      </c>
      <c r="CE221" s="14">
        <f t="shared" si="512"/>
        <v>0</v>
      </c>
      <c r="CF221" s="14">
        <f t="shared" si="513"/>
        <v>0</v>
      </c>
      <c r="CG221" s="14">
        <f t="shared" si="514"/>
        <v>0</v>
      </c>
      <c r="CH221" s="14">
        <f t="shared" si="515"/>
        <v>0</v>
      </c>
      <c r="CI221" s="14">
        <f t="shared" si="516"/>
        <v>0</v>
      </c>
      <c r="CJ221" s="14"/>
      <c r="CK221" s="112" t="str">
        <f t="shared" si="517"/>
        <v>as 378 Meas &amp; Reg St Genl (32)</v>
      </c>
      <c r="CL221" s="76">
        <f t="shared" si="474"/>
        <v>0</v>
      </c>
      <c r="CM221" s="2">
        <f t="shared" si="518"/>
        <v>73039.158308129889</v>
      </c>
      <c r="CN221" s="2">
        <f t="shared" si="518"/>
        <v>41324.160890380022</v>
      </c>
      <c r="CO221" s="2">
        <f t="shared" si="518"/>
        <v>0</v>
      </c>
      <c r="CP221" s="2">
        <f t="shared" si="518"/>
        <v>1154.7615267699057</v>
      </c>
      <c r="CQ221" s="2">
        <f t="shared" si="518"/>
        <v>12882.862795623038</v>
      </c>
      <c r="CR221" s="2">
        <f t="shared" si="518"/>
        <v>0</v>
      </c>
    </row>
    <row r="222" spans="1:96">
      <c r="A222" s="50">
        <f t="shared" si="434"/>
        <v>222</v>
      </c>
      <c r="B222" t="s">
        <v>343</v>
      </c>
      <c r="C222" s="36" t="s">
        <v>154</v>
      </c>
      <c r="D222" s="28" t="s">
        <v>333</v>
      </c>
      <c r="E222" s="373">
        <f>PROFORMA!AY87</f>
        <v>9000</v>
      </c>
      <c r="F222" s="60" t="str">
        <f>"as 385 Meas &amp; Reg St Ind ("&amp;A$39&amp;")"</f>
        <v>as 385 Meas &amp; Reg St Ind (39)</v>
      </c>
      <c r="G222" s="60" t="s">
        <v>436</v>
      </c>
      <c r="H222" s="2">
        <f t="shared" si="489"/>
        <v>9000</v>
      </c>
      <c r="I222" s="2">
        <f t="shared" si="490"/>
        <v>0</v>
      </c>
      <c r="J222" s="2">
        <f t="shared" si="490"/>
        <v>8454.374277216577</v>
      </c>
      <c r="K222" s="2">
        <f t="shared" si="490"/>
        <v>0</v>
      </c>
      <c r="L222" s="2">
        <f t="shared" si="490"/>
        <v>80.414265994774809</v>
      </c>
      <c r="M222" s="2">
        <f t="shared" si="490"/>
        <v>465.21145678864769</v>
      </c>
      <c r="N222" s="2">
        <f t="shared" si="490"/>
        <v>0</v>
      </c>
      <c r="O222" s="2"/>
      <c r="P222" s="61" t="str">
        <f t="shared" si="519"/>
        <v>E222*     "</v>
      </c>
      <c r="Q222" s="61"/>
      <c r="R222" s="14">
        <f>R$39</f>
        <v>0</v>
      </c>
      <c r="S222" s="14">
        <f t="shared" ref="S222:AH222" si="524">S$39</f>
        <v>0</v>
      </c>
      <c r="T222" s="14">
        <f t="shared" si="524"/>
        <v>0</v>
      </c>
      <c r="U222" s="14">
        <f t="shared" si="524"/>
        <v>0</v>
      </c>
      <c r="V222" s="14">
        <f t="shared" si="524"/>
        <v>0</v>
      </c>
      <c r="W222" s="14">
        <f t="shared" si="524"/>
        <v>0</v>
      </c>
      <c r="X222" s="14">
        <f t="shared" si="524"/>
        <v>0</v>
      </c>
      <c r="Y222" s="14">
        <f t="shared" si="524"/>
        <v>0</v>
      </c>
      <c r="Z222" s="14">
        <f t="shared" si="524"/>
        <v>0</v>
      </c>
      <c r="AA222" s="14">
        <f t="shared" si="524"/>
        <v>0</v>
      </c>
      <c r="AB222" s="14">
        <f t="shared" si="524"/>
        <v>0</v>
      </c>
      <c r="AC222" s="14">
        <f t="shared" si="524"/>
        <v>0</v>
      </c>
      <c r="AD222" s="14">
        <f t="shared" si="524"/>
        <v>0</v>
      </c>
      <c r="AE222" s="14">
        <f t="shared" si="524"/>
        <v>0</v>
      </c>
      <c r="AF222" s="14">
        <f t="shared" si="524"/>
        <v>1</v>
      </c>
      <c r="AG222" s="14">
        <f t="shared" si="524"/>
        <v>0</v>
      </c>
      <c r="AH222" s="14">
        <f t="shared" si="524"/>
        <v>0</v>
      </c>
      <c r="AI222" s="76">
        <f t="shared" si="471"/>
        <v>0</v>
      </c>
      <c r="AK222" s="2">
        <f t="shared" si="492"/>
        <v>9000</v>
      </c>
      <c r="AL222" s="2">
        <f t="shared" si="493"/>
        <v>0</v>
      </c>
      <c r="AM222" s="2">
        <f t="shared" si="493"/>
        <v>0</v>
      </c>
      <c r="AN222" s="2">
        <f t="shared" si="493"/>
        <v>9000</v>
      </c>
      <c r="AO222" s="2">
        <f t="shared" si="493"/>
        <v>0</v>
      </c>
      <c r="AP222" s="2"/>
      <c r="AQ222" s="61" t="str">
        <f t="shared" si="521"/>
        <v>E222*      "</v>
      </c>
      <c r="AS222" s="2">
        <f t="shared" si="494"/>
        <v>0</v>
      </c>
      <c r="AT222" s="2">
        <f t="shared" si="495"/>
        <v>0</v>
      </c>
      <c r="AU222" s="2">
        <f t="shared" si="495"/>
        <v>0</v>
      </c>
      <c r="AV222" s="2">
        <f t="shared" si="495"/>
        <v>0</v>
      </c>
      <c r="AW222" s="2">
        <f t="shared" si="495"/>
        <v>0</v>
      </c>
      <c r="AX222" s="2">
        <f t="shared" si="495"/>
        <v>0</v>
      </c>
      <c r="AY222" s="2">
        <f t="shared" si="495"/>
        <v>0</v>
      </c>
      <c r="BA222" s="2">
        <f t="shared" si="496"/>
        <v>0</v>
      </c>
      <c r="BB222" s="2">
        <f t="shared" si="497"/>
        <v>0</v>
      </c>
      <c r="BC222" s="2">
        <f t="shared" si="497"/>
        <v>0</v>
      </c>
      <c r="BD222" s="2">
        <f t="shared" si="497"/>
        <v>0</v>
      </c>
      <c r="BE222" s="2">
        <f t="shared" si="497"/>
        <v>0</v>
      </c>
      <c r="BF222" s="2">
        <f t="shared" si="497"/>
        <v>0</v>
      </c>
      <c r="BG222" s="2">
        <f t="shared" si="497"/>
        <v>0</v>
      </c>
      <c r="BI222" s="2">
        <f t="shared" si="498"/>
        <v>9000</v>
      </c>
      <c r="BJ222" s="2">
        <f t="shared" si="499"/>
        <v>0</v>
      </c>
      <c r="BK222" s="2">
        <f t="shared" si="499"/>
        <v>8454.374277216577</v>
      </c>
      <c r="BL222" s="2">
        <f t="shared" si="499"/>
        <v>0</v>
      </c>
      <c r="BM222" s="2">
        <f t="shared" si="499"/>
        <v>80.414265994774809</v>
      </c>
      <c r="BN222" s="2">
        <f t="shared" si="499"/>
        <v>465.21145678864769</v>
      </c>
      <c r="BO222" s="2">
        <f t="shared" si="499"/>
        <v>0</v>
      </c>
      <c r="BQ222" s="28" t="s">
        <v>333</v>
      </c>
      <c r="BR222" s="23">
        <v>5404.6121060696378</v>
      </c>
      <c r="BS222" s="14">
        <f t="shared" si="500"/>
        <v>0</v>
      </c>
      <c r="BT222" s="14">
        <f t="shared" si="501"/>
        <v>0</v>
      </c>
      <c r="BU222" s="14">
        <f t="shared" si="502"/>
        <v>0</v>
      </c>
      <c r="BV222" s="14">
        <f t="shared" si="503"/>
        <v>0</v>
      </c>
      <c r="BW222" s="14">
        <f t="shared" si="504"/>
        <v>0</v>
      </c>
      <c r="BX222" s="14">
        <f t="shared" si="505"/>
        <v>0</v>
      </c>
      <c r="BY222" s="14">
        <f t="shared" si="506"/>
        <v>0</v>
      </c>
      <c r="BZ222" s="14">
        <f t="shared" si="507"/>
        <v>0</v>
      </c>
      <c r="CA222" s="14">
        <f t="shared" si="508"/>
        <v>0</v>
      </c>
      <c r="CB222" s="14">
        <f t="shared" si="509"/>
        <v>0</v>
      </c>
      <c r="CC222" s="14">
        <f t="shared" si="510"/>
        <v>0</v>
      </c>
      <c r="CD222" s="14">
        <f t="shared" si="511"/>
        <v>0</v>
      </c>
      <c r="CE222" s="14">
        <f t="shared" si="512"/>
        <v>0</v>
      </c>
      <c r="CF222" s="14">
        <f t="shared" si="513"/>
        <v>0</v>
      </c>
      <c r="CG222" s="14">
        <f t="shared" si="514"/>
        <v>1</v>
      </c>
      <c r="CH222" s="14">
        <f t="shared" si="515"/>
        <v>0</v>
      </c>
      <c r="CI222" s="14">
        <f t="shared" si="516"/>
        <v>0</v>
      </c>
      <c r="CJ222" s="14"/>
      <c r="CK222" s="112" t="str">
        <f t="shared" si="517"/>
        <v>as 385 Meas &amp; Reg St Ind (39)</v>
      </c>
      <c r="CL222" s="76">
        <f t="shared" si="474"/>
        <v>0</v>
      </c>
      <c r="CM222" s="2">
        <f t="shared" si="518"/>
        <v>0</v>
      </c>
      <c r="CN222" s="2">
        <f t="shared" si="518"/>
        <v>5076.9570630987173</v>
      </c>
      <c r="CO222" s="2">
        <f t="shared" si="518"/>
        <v>0</v>
      </c>
      <c r="CP222" s="2">
        <f t="shared" si="518"/>
        <v>48.289768388451549</v>
      </c>
      <c r="CQ222" s="2">
        <f t="shared" si="518"/>
        <v>279.3652745824686</v>
      </c>
      <c r="CR222" s="2">
        <f t="shared" si="518"/>
        <v>0</v>
      </c>
    </row>
    <row r="223" spans="1:96">
      <c r="A223" s="50">
        <f t="shared" si="434"/>
        <v>223</v>
      </c>
      <c r="B223" t="s">
        <v>344</v>
      </c>
      <c r="C223" s="36" t="s">
        <v>154</v>
      </c>
      <c r="D223" s="28" t="s">
        <v>334</v>
      </c>
      <c r="E223" s="373">
        <f>PROFORMA!AY88</f>
        <v>91000</v>
      </c>
      <c r="F223" s="60" t="str">
        <f>"as 379 Meas &amp; Reg St Cty G ("&amp;A$33&amp;")"</f>
        <v>as 379 Meas &amp; Reg St Cty G (33)</v>
      </c>
      <c r="G223" s="60" t="s">
        <v>436</v>
      </c>
      <c r="H223" s="2">
        <f t="shared" si="489"/>
        <v>90999.999999999985</v>
      </c>
      <c r="I223" s="2">
        <f t="shared" si="490"/>
        <v>51764.132130055579</v>
      </c>
      <c r="J223" s="2">
        <f t="shared" si="490"/>
        <v>29287.157383017176</v>
      </c>
      <c r="K223" s="2">
        <f t="shared" si="490"/>
        <v>0</v>
      </c>
      <c r="L223" s="2">
        <f t="shared" si="490"/>
        <v>818.39974111214008</v>
      </c>
      <c r="M223" s="2">
        <f t="shared" si="490"/>
        <v>9130.3107458150953</v>
      </c>
      <c r="N223" s="2">
        <f t="shared" si="490"/>
        <v>0</v>
      </c>
      <c r="O223" s="2"/>
      <c r="P223" s="61" t="str">
        <f t="shared" si="519"/>
        <v>E223*     "</v>
      </c>
      <c r="Q223" s="61"/>
      <c r="R223" s="14">
        <f>R$33</f>
        <v>0.38352829517570403</v>
      </c>
      <c r="S223" s="14">
        <f t="shared" ref="S223:AH223" si="525">S$33</f>
        <v>0</v>
      </c>
      <c r="T223" s="14">
        <f t="shared" si="525"/>
        <v>0</v>
      </c>
      <c r="U223" s="14">
        <f t="shared" si="525"/>
        <v>0</v>
      </c>
      <c r="V223" s="14">
        <f t="shared" si="525"/>
        <v>0</v>
      </c>
      <c r="W223" s="14">
        <f t="shared" si="525"/>
        <v>0.61647170482429592</v>
      </c>
      <c r="X223" s="14">
        <f t="shared" si="525"/>
        <v>0</v>
      </c>
      <c r="Y223" s="14">
        <f t="shared" si="525"/>
        <v>0</v>
      </c>
      <c r="Z223" s="14">
        <f t="shared" si="525"/>
        <v>0</v>
      </c>
      <c r="AA223" s="14">
        <f t="shared" si="525"/>
        <v>0</v>
      </c>
      <c r="AB223" s="14">
        <f t="shared" si="525"/>
        <v>0</v>
      </c>
      <c r="AC223" s="14">
        <f t="shared" si="525"/>
        <v>0</v>
      </c>
      <c r="AD223" s="14">
        <f t="shared" si="525"/>
        <v>0</v>
      </c>
      <c r="AE223" s="14">
        <f t="shared" si="525"/>
        <v>0</v>
      </c>
      <c r="AF223" s="14">
        <f t="shared" si="525"/>
        <v>0</v>
      </c>
      <c r="AG223" s="14">
        <f t="shared" si="525"/>
        <v>0</v>
      </c>
      <c r="AH223" s="14">
        <f t="shared" si="525"/>
        <v>0</v>
      </c>
      <c r="AI223" s="76">
        <f t="shared" si="471"/>
        <v>0</v>
      </c>
      <c r="AK223" s="2">
        <f t="shared" si="492"/>
        <v>91000</v>
      </c>
      <c r="AL223" s="2">
        <f t="shared" si="493"/>
        <v>34901.074860989065</v>
      </c>
      <c r="AM223" s="2">
        <f t="shared" si="493"/>
        <v>56098.925139010928</v>
      </c>
      <c r="AN223" s="2">
        <f t="shared" si="493"/>
        <v>0</v>
      </c>
      <c r="AO223" s="2">
        <f t="shared" si="493"/>
        <v>0</v>
      </c>
      <c r="AP223" s="2"/>
      <c r="AQ223" s="61" t="str">
        <f t="shared" si="521"/>
        <v>E223*      "</v>
      </c>
      <c r="AS223" s="2">
        <f t="shared" si="494"/>
        <v>34901.074860989072</v>
      </c>
      <c r="AT223" s="2">
        <f t="shared" si="495"/>
        <v>20048.522274429764</v>
      </c>
      <c r="AU223" s="2">
        <f t="shared" si="495"/>
        <v>9713.8124697250387</v>
      </c>
      <c r="AV223" s="2">
        <f t="shared" si="495"/>
        <v>0</v>
      </c>
      <c r="AW223" s="2">
        <f t="shared" si="495"/>
        <v>396.65924317571552</v>
      </c>
      <c r="AX223" s="2">
        <f t="shared" si="495"/>
        <v>4742.0808736585495</v>
      </c>
      <c r="AY223" s="2">
        <f t="shared" si="495"/>
        <v>0</v>
      </c>
      <c r="BA223" s="2">
        <f t="shared" si="496"/>
        <v>56098.92513901092</v>
      </c>
      <c r="BB223" s="2">
        <f t="shared" si="497"/>
        <v>31715.609855625815</v>
      </c>
      <c r="BC223" s="2">
        <f t="shared" si="497"/>
        <v>19573.344913292138</v>
      </c>
      <c r="BD223" s="2">
        <f t="shared" si="497"/>
        <v>0</v>
      </c>
      <c r="BE223" s="2">
        <f t="shared" si="497"/>
        <v>421.7404979364245</v>
      </c>
      <c r="BF223" s="2">
        <f t="shared" si="497"/>
        <v>4388.2298721565448</v>
      </c>
      <c r="BG223" s="2">
        <f t="shared" si="497"/>
        <v>0</v>
      </c>
      <c r="BI223" s="2">
        <f t="shared" si="498"/>
        <v>0</v>
      </c>
      <c r="BJ223" s="2">
        <f t="shared" si="499"/>
        <v>0</v>
      </c>
      <c r="BK223" s="2">
        <f t="shared" si="499"/>
        <v>0</v>
      </c>
      <c r="BL223" s="2">
        <f t="shared" si="499"/>
        <v>0</v>
      </c>
      <c r="BM223" s="2">
        <f t="shared" si="499"/>
        <v>0</v>
      </c>
      <c r="BN223" s="2">
        <f t="shared" si="499"/>
        <v>0</v>
      </c>
      <c r="BO223" s="2">
        <f t="shared" si="499"/>
        <v>0</v>
      </c>
      <c r="BQ223" s="28" t="s">
        <v>334</v>
      </c>
      <c r="BR223" s="23">
        <v>40017.648437627839</v>
      </c>
      <c r="BS223" s="14">
        <f t="shared" si="500"/>
        <v>0.38352829517570403</v>
      </c>
      <c r="BT223" s="14">
        <f t="shared" si="501"/>
        <v>0</v>
      </c>
      <c r="BU223" s="14">
        <f t="shared" si="502"/>
        <v>0</v>
      </c>
      <c r="BV223" s="14">
        <f t="shared" si="503"/>
        <v>0</v>
      </c>
      <c r="BW223" s="14">
        <f t="shared" si="504"/>
        <v>0</v>
      </c>
      <c r="BX223" s="14">
        <f t="shared" si="505"/>
        <v>0.61647170482429592</v>
      </c>
      <c r="BY223" s="14">
        <f t="shared" si="506"/>
        <v>0</v>
      </c>
      <c r="BZ223" s="14">
        <f t="shared" si="507"/>
        <v>0</v>
      </c>
      <c r="CA223" s="14">
        <f t="shared" si="508"/>
        <v>0</v>
      </c>
      <c r="CB223" s="14">
        <f t="shared" si="509"/>
        <v>0</v>
      </c>
      <c r="CC223" s="14">
        <f t="shared" si="510"/>
        <v>0</v>
      </c>
      <c r="CD223" s="14">
        <f t="shared" si="511"/>
        <v>0</v>
      </c>
      <c r="CE223" s="14">
        <f t="shared" si="512"/>
        <v>0</v>
      </c>
      <c r="CF223" s="14">
        <f t="shared" si="513"/>
        <v>0</v>
      </c>
      <c r="CG223" s="14">
        <f t="shared" si="514"/>
        <v>0</v>
      </c>
      <c r="CH223" s="14">
        <f t="shared" si="515"/>
        <v>0</v>
      </c>
      <c r="CI223" s="14">
        <f t="shared" si="516"/>
        <v>0</v>
      </c>
      <c r="CJ223" s="14"/>
      <c r="CK223" s="112" t="str">
        <f t="shared" si="517"/>
        <v>as 379 Meas &amp; Reg St Cty G (33)</v>
      </c>
      <c r="CL223" s="76">
        <f t="shared" si="474"/>
        <v>0</v>
      </c>
      <c r="CM223" s="2">
        <f t="shared" si="518"/>
        <v>22763.503750104173</v>
      </c>
      <c r="CN223" s="2">
        <f t="shared" si="518"/>
        <v>12879.155691110527</v>
      </c>
      <c r="CO223" s="2">
        <f t="shared" si="518"/>
        <v>0</v>
      </c>
      <c r="CP223" s="2">
        <f t="shared" si="518"/>
        <v>359.89486946451933</v>
      </c>
      <c r="CQ223" s="2">
        <f t="shared" si="518"/>
        <v>4015.0941269486166</v>
      </c>
      <c r="CR223" s="2">
        <f t="shared" si="518"/>
        <v>0</v>
      </c>
    </row>
    <row r="224" spans="1:96">
      <c r="A224" s="50">
        <f t="shared" si="434"/>
        <v>224</v>
      </c>
      <c r="B224" t="s">
        <v>345</v>
      </c>
      <c r="C224" s="36" t="s">
        <v>154</v>
      </c>
      <c r="D224" s="28" t="s">
        <v>91</v>
      </c>
      <c r="E224" s="373">
        <f>PROFORMA!AY89</f>
        <v>1172000</v>
      </c>
      <c r="F224" s="60" t="str">
        <f>"as 380 Svcs Plant ("&amp;A$34&amp;")"</f>
        <v>as 380 Svcs Plant (34)</v>
      </c>
      <c r="G224" s="60" t="s">
        <v>436</v>
      </c>
      <c r="H224" s="2">
        <f t="shared" si="489"/>
        <v>1171999.9999999998</v>
      </c>
      <c r="I224" s="2">
        <f t="shared" si="490"/>
        <v>1145655.2140223572</v>
      </c>
      <c r="J224" s="2">
        <f t="shared" si="490"/>
        <v>22931.237932127282</v>
      </c>
      <c r="K224" s="2">
        <f t="shared" si="490"/>
        <v>0</v>
      </c>
      <c r="L224" s="2">
        <f t="shared" si="490"/>
        <v>88.127790096085704</v>
      </c>
      <c r="M224" s="2">
        <f t="shared" si="490"/>
        <v>3325.4202554194353</v>
      </c>
      <c r="N224" s="2">
        <f t="shared" si="490"/>
        <v>0</v>
      </c>
      <c r="O224" s="2"/>
      <c r="P224" s="61" t="str">
        <f t="shared" si="519"/>
        <v>E224*     "</v>
      </c>
      <c r="Q224" s="61"/>
      <c r="R224" s="14">
        <f>R$34</f>
        <v>0</v>
      </c>
      <c r="S224" s="14">
        <f t="shared" ref="S224:AH224" si="526">S$34</f>
        <v>0</v>
      </c>
      <c r="T224" s="14">
        <f t="shared" si="526"/>
        <v>0</v>
      </c>
      <c r="U224" s="14">
        <f t="shared" si="526"/>
        <v>0</v>
      </c>
      <c r="V224" s="14">
        <f t="shared" si="526"/>
        <v>0</v>
      </c>
      <c r="W224" s="14">
        <f t="shared" si="526"/>
        <v>0</v>
      </c>
      <c r="X224" s="14">
        <f t="shared" si="526"/>
        <v>0</v>
      </c>
      <c r="Y224" s="14">
        <f t="shared" si="526"/>
        <v>0</v>
      </c>
      <c r="Z224" s="14">
        <f t="shared" si="526"/>
        <v>0</v>
      </c>
      <c r="AA224" s="14">
        <f t="shared" si="526"/>
        <v>0</v>
      </c>
      <c r="AB224" s="14">
        <f t="shared" si="526"/>
        <v>0</v>
      </c>
      <c r="AC224" s="14">
        <f t="shared" si="526"/>
        <v>1</v>
      </c>
      <c r="AD224" s="14">
        <f t="shared" si="526"/>
        <v>0</v>
      </c>
      <c r="AE224" s="14">
        <f t="shared" si="526"/>
        <v>0</v>
      </c>
      <c r="AF224" s="14">
        <f t="shared" si="526"/>
        <v>0</v>
      </c>
      <c r="AG224" s="14">
        <f t="shared" si="526"/>
        <v>0</v>
      </c>
      <c r="AH224" s="14">
        <f t="shared" si="526"/>
        <v>0</v>
      </c>
      <c r="AI224" s="76">
        <f t="shared" si="471"/>
        <v>0</v>
      </c>
      <c r="AK224" s="2">
        <f t="shared" si="492"/>
        <v>1172000</v>
      </c>
      <c r="AL224" s="2">
        <f t="shared" si="493"/>
        <v>0</v>
      </c>
      <c r="AM224" s="2">
        <f t="shared" si="493"/>
        <v>0</v>
      </c>
      <c r="AN224" s="2">
        <f t="shared" si="493"/>
        <v>1172000</v>
      </c>
      <c r="AO224" s="2">
        <f t="shared" si="493"/>
        <v>0</v>
      </c>
      <c r="AP224" s="2"/>
      <c r="AQ224" s="61" t="str">
        <f t="shared" si="521"/>
        <v>E224*      "</v>
      </c>
      <c r="AS224" s="2">
        <f t="shared" si="494"/>
        <v>0</v>
      </c>
      <c r="AT224" s="2">
        <f t="shared" si="495"/>
        <v>0</v>
      </c>
      <c r="AU224" s="2">
        <f t="shared" si="495"/>
        <v>0</v>
      </c>
      <c r="AV224" s="2">
        <f t="shared" si="495"/>
        <v>0</v>
      </c>
      <c r="AW224" s="2">
        <f t="shared" si="495"/>
        <v>0</v>
      </c>
      <c r="AX224" s="2">
        <f t="shared" si="495"/>
        <v>0</v>
      </c>
      <c r="AY224" s="2">
        <f t="shared" si="495"/>
        <v>0</v>
      </c>
      <c r="BA224" s="2">
        <f t="shared" si="496"/>
        <v>0</v>
      </c>
      <c r="BB224" s="2">
        <f t="shared" si="497"/>
        <v>0</v>
      </c>
      <c r="BC224" s="2">
        <f t="shared" si="497"/>
        <v>0</v>
      </c>
      <c r="BD224" s="2">
        <f t="shared" si="497"/>
        <v>0</v>
      </c>
      <c r="BE224" s="2">
        <f t="shared" si="497"/>
        <v>0</v>
      </c>
      <c r="BF224" s="2">
        <f t="shared" si="497"/>
        <v>0</v>
      </c>
      <c r="BG224" s="2">
        <f t="shared" si="497"/>
        <v>0</v>
      </c>
      <c r="BI224" s="2">
        <f t="shared" si="498"/>
        <v>1171999.9999999998</v>
      </c>
      <c r="BJ224" s="2">
        <f t="shared" si="499"/>
        <v>1145655.2140223572</v>
      </c>
      <c r="BK224" s="2">
        <f t="shared" si="499"/>
        <v>22931.237932127282</v>
      </c>
      <c r="BL224" s="2">
        <f t="shared" si="499"/>
        <v>0</v>
      </c>
      <c r="BM224" s="2">
        <f t="shared" si="499"/>
        <v>88.127790096085704</v>
      </c>
      <c r="BN224" s="2">
        <f t="shared" si="499"/>
        <v>3325.4202554194353</v>
      </c>
      <c r="BO224" s="2">
        <f t="shared" si="499"/>
        <v>0</v>
      </c>
      <c r="BQ224" s="28" t="s">
        <v>91</v>
      </c>
      <c r="BR224" s="23">
        <v>599336.39873942046</v>
      </c>
      <c r="BS224" s="14">
        <f t="shared" si="500"/>
        <v>0</v>
      </c>
      <c r="BT224" s="14">
        <f t="shared" si="501"/>
        <v>0</v>
      </c>
      <c r="BU224" s="14">
        <f t="shared" si="502"/>
        <v>0</v>
      </c>
      <c r="BV224" s="14">
        <f t="shared" si="503"/>
        <v>0</v>
      </c>
      <c r="BW224" s="14">
        <f t="shared" si="504"/>
        <v>0</v>
      </c>
      <c r="BX224" s="14">
        <f t="shared" si="505"/>
        <v>0</v>
      </c>
      <c r="BY224" s="14">
        <f t="shared" si="506"/>
        <v>0</v>
      </c>
      <c r="BZ224" s="14">
        <f t="shared" si="507"/>
        <v>0</v>
      </c>
      <c r="CA224" s="14">
        <f t="shared" si="508"/>
        <v>0</v>
      </c>
      <c r="CB224" s="14">
        <f t="shared" si="509"/>
        <v>0</v>
      </c>
      <c r="CC224" s="14">
        <f t="shared" si="510"/>
        <v>0</v>
      </c>
      <c r="CD224" s="14">
        <f t="shared" si="511"/>
        <v>1</v>
      </c>
      <c r="CE224" s="14">
        <f t="shared" si="512"/>
        <v>0</v>
      </c>
      <c r="CF224" s="14">
        <f t="shared" si="513"/>
        <v>0</v>
      </c>
      <c r="CG224" s="14">
        <f t="shared" si="514"/>
        <v>0</v>
      </c>
      <c r="CH224" s="14">
        <f t="shared" si="515"/>
        <v>0</v>
      </c>
      <c r="CI224" s="14">
        <f t="shared" si="516"/>
        <v>0</v>
      </c>
      <c r="CJ224" s="14"/>
      <c r="CK224" s="112" t="str">
        <f t="shared" si="517"/>
        <v>as 380 Svcs Plant (34)</v>
      </c>
      <c r="CL224" s="76">
        <f t="shared" si="474"/>
        <v>0</v>
      </c>
      <c r="CM224" s="2">
        <f t="shared" si="518"/>
        <v>585864.22369385627</v>
      </c>
      <c r="CN224" s="2">
        <f t="shared" si="518"/>
        <v>11726.557645800307</v>
      </c>
      <c r="CO224" s="2">
        <f t="shared" si="518"/>
        <v>0</v>
      </c>
      <c r="CP224" s="2">
        <f t="shared" si="518"/>
        <v>45.066717017962091</v>
      </c>
      <c r="CQ224" s="2">
        <f t="shared" si="518"/>
        <v>1700.5506827459114</v>
      </c>
      <c r="CR224" s="2">
        <f t="shared" si="518"/>
        <v>0</v>
      </c>
    </row>
    <row r="225" spans="1:97">
      <c r="A225" s="50">
        <f t="shared" si="434"/>
        <v>225</v>
      </c>
      <c r="B225" t="s">
        <v>346</v>
      </c>
      <c r="C225" s="36" t="s">
        <v>154</v>
      </c>
      <c r="D225" s="28" t="s">
        <v>338</v>
      </c>
      <c r="E225" s="373">
        <f>PROFORMA!AY90</f>
        <v>1676000</v>
      </c>
      <c r="F225" s="60" t="str">
        <f>"as 381-4 Mtr &amp; Reg ("&amp;A$35&amp;"-"&amp;A$38&amp;")"</f>
        <v>as 381-4 Mtr &amp; Reg (35-38)</v>
      </c>
      <c r="G225" s="60" t="s">
        <v>436</v>
      </c>
      <c r="H225" s="2">
        <f t="shared" si="489"/>
        <v>1675999.9999999998</v>
      </c>
      <c r="I225" s="2">
        <f t="shared" si="490"/>
        <v>1432290.8311313121</v>
      </c>
      <c r="J225" s="2">
        <f t="shared" si="490"/>
        <v>231984.87011853509</v>
      </c>
      <c r="K225" s="2">
        <f t="shared" si="490"/>
        <v>0</v>
      </c>
      <c r="L225" s="2">
        <f t="shared" si="490"/>
        <v>1718.7522646911602</v>
      </c>
      <c r="M225" s="2">
        <f t="shared" si="490"/>
        <v>10005.546485461604</v>
      </c>
      <c r="N225" s="2">
        <f t="shared" si="490"/>
        <v>0</v>
      </c>
      <c r="O225" s="2"/>
      <c r="P225" s="61" t="str">
        <f t="shared" si="519"/>
        <v>E225*     "</v>
      </c>
      <c r="Q225" s="61"/>
      <c r="R225" s="14">
        <f>SUMPRODUCT($E$35:$E$38,R$35:R$38)/SUM($E$35:$E$38)</f>
        <v>0</v>
      </c>
      <c r="S225" s="14">
        <f t="shared" ref="S225:AH225" si="527">SUMPRODUCT($E$35:$E$38,S$35:S$38)/SUM($E$35:$E$38)</f>
        <v>0</v>
      </c>
      <c r="T225" s="14">
        <f t="shared" si="527"/>
        <v>0</v>
      </c>
      <c r="U225" s="14">
        <f t="shared" si="527"/>
        <v>0</v>
      </c>
      <c r="V225" s="14">
        <f t="shared" si="527"/>
        <v>0</v>
      </c>
      <c r="W225" s="14">
        <f t="shared" si="527"/>
        <v>0</v>
      </c>
      <c r="X225" s="14">
        <f t="shared" si="527"/>
        <v>0</v>
      </c>
      <c r="Y225" s="14">
        <f t="shared" si="527"/>
        <v>0</v>
      </c>
      <c r="Z225" s="14">
        <f t="shared" si="527"/>
        <v>0</v>
      </c>
      <c r="AA225" s="14">
        <f t="shared" si="527"/>
        <v>0</v>
      </c>
      <c r="AB225" s="14">
        <f t="shared" si="527"/>
        <v>0</v>
      </c>
      <c r="AC225" s="14">
        <f t="shared" si="527"/>
        <v>0</v>
      </c>
      <c r="AD225" s="14">
        <f t="shared" si="527"/>
        <v>1</v>
      </c>
      <c r="AE225" s="14">
        <f t="shared" si="527"/>
        <v>0</v>
      </c>
      <c r="AF225" s="14">
        <f t="shared" si="527"/>
        <v>0</v>
      </c>
      <c r="AG225" s="14">
        <f t="shared" si="527"/>
        <v>0</v>
      </c>
      <c r="AH225" s="14">
        <f t="shared" si="527"/>
        <v>0</v>
      </c>
      <c r="AI225" s="76">
        <f t="shared" si="471"/>
        <v>0</v>
      </c>
      <c r="AK225" s="2">
        <f t="shared" si="492"/>
        <v>1676000</v>
      </c>
      <c r="AL225" s="2">
        <f t="shared" si="493"/>
        <v>0</v>
      </c>
      <c r="AM225" s="2">
        <f t="shared" si="493"/>
        <v>0</v>
      </c>
      <c r="AN225" s="2">
        <f t="shared" si="493"/>
        <v>1676000</v>
      </c>
      <c r="AO225" s="2">
        <f t="shared" si="493"/>
        <v>0</v>
      </c>
      <c r="AP225" s="2"/>
      <c r="AQ225" s="61" t="str">
        <f t="shared" si="521"/>
        <v>E225*      "</v>
      </c>
      <c r="AS225" s="2">
        <f t="shared" si="494"/>
        <v>0</v>
      </c>
      <c r="AT225" s="2">
        <f t="shared" si="495"/>
        <v>0</v>
      </c>
      <c r="AU225" s="2">
        <f t="shared" si="495"/>
        <v>0</v>
      </c>
      <c r="AV225" s="2">
        <f t="shared" si="495"/>
        <v>0</v>
      </c>
      <c r="AW225" s="2">
        <f t="shared" si="495"/>
        <v>0</v>
      </c>
      <c r="AX225" s="2">
        <f t="shared" si="495"/>
        <v>0</v>
      </c>
      <c r="AY225" s="2">
        <f t="shared" si="495"/>
        <v>0</v>
      </c>
      <c r="BA225" s="2">
        <f t="shared" si="496"/>
        <v>0</v>
      </c>
      <c r="BB225" s="2">
        <f t="shared" si="497"/>
        <v>0</v>
      </c>
      <c r="BC225" s="2">
        <f t="shared" si="497"/>
        <v>0</v>
      </c>
      <c r="BD225" s="2">
        <f t="shared" si="497"/>
        <v>0</v>
      </c>
      <c r="BE225" s="2">
        <f t="shared" si="497"/>
        <v>0</v>
      </c>
      <c r="BF225" s="2">
        <f t="shared" si="497"/>
        <v>0</v>
      </c>
      <c r="BG225" s="2">
        <f t="shared" si="497"/>
        <v>0</v>
      </c>
      <c r="BI225" s="2">
        <f t="shared" si="498"/>
        <v>1675999.9999999998</v>
      </c>
      <c r="BJ225" s="2">
        <f t="shared" si="499"/>
        <v>1432290.8311313121</v>
      </c>
      <c r="BK225" s="2">
        <f t="shared" si="499"/>
        <v>231984.87011853509</v>
      </c>
      <c r="BL225" s="2">
        <f t="shared" si="499"/>
        <v>0</v>
      </c>
      <c r="BM225" s="2">
        <f t="shared" si="499"/>
        <v>1718.7522646911602</v>
      </c>
      <c r="BN225" s="2">
        <f t="shared" si="499"/>
        <v>10005.546485461604</v>
      </c>
      <c r="BO225" s="2">
        <f t="shared" si="499"/>
        <v>0</v>
      </c>
      <c r="BQ225" s="28" t="s">
        <v>338</v>
      </c>
      <c r="BR225" s="23">
        <v>1046746.763691452</v>
      </c>
      <c r="BS225" s="14">
        <f t="shared" si="500"/>
        <v>0</v>
      </c>
      <c r="BT225" s="14">
        <f t="shared" si="501"/>
        <v>0</v>
      </c>
      <c r="BU225" s="14">
        <f t="shared" si="502"/>
        <v>0</v>
      </c>
      <c r="BV225" s="14">
        <f t="shared" si="503"/>
        <v>0</v>
      </c>
      <c r="BW225" s="14">
        <f t="shared" si="504"/>
        <v>0</v>
      </c>
      <c r="BX225" s="14">
        <f t="shared" si="505"/>
        <v>0</v>
      </c>
      <c r="BY225" s="14">
        <f t="shared" si="506"/>
        <v>0</v>
      </c>
      <c r="BZ225" s="14">
        <f t="shared" si="507"/>
        <v>0</v>
      </c>
      <c r="CA225" s="14">
        <f t="shared" si="508"/>
        <v>0</v>
      </c>
      <c r="CB225" s="14">
        <f t="shared" si="509"/>
        <v>0</v>
      </c>
      <c r="CC225" s="14">
        <f t="shared" si="510"/>
        <v>0</v>
      </c>
      <c r="CD225" s="14">
        <f t="shared" si="511"/>
        <v>0</v>
      </c>
      <c r="CE225" s="14">
        <f t="shared" si="512"/>
        <v>1</v>
      </c>
      <c r="CF225" s="14">
        <f t="shared" si="513"/>
        <v>0</v>
      </c>
      <c r="CG225" s="14">
        <f t="shared" si="514"/>
        <v>0</v>
      </c>
      <c r="CH225" s="14">
        <f t="shared" si="515"/>
        <v>0</v>
      </c>
      <c r="CI225" s="14">
        <f t="shared" si="516"/>
        <v>0</v>
      </c>
      <c r="CJ225" s="14"/>
      <c r="CK225" s="112" t="str">
        <f t="shared" si="517"/>
        <v>as 381-4 Mtr &amp; Reg (35-38)</v>
      </c>
      <c r="CL225" s="76">
        <f t="shared" si="474"/>
        <v>0</v>
      </c>
      <c r="CM225" s="2">
        <f t="shared" si="518"/>
        <v>894538.06214298389</v>
      </c>
      <c r="CN225" s="2">
        <f t="shared" si="518"/>
        <v>144886.28402264824</v>
      </c>
      <c r="CO225" s="2">
        <f t="shared" si="518"/>
        <v>0</v>
      </c>
      <c r="CP225" s="2">
        <f t="shared" si="518"/>
        <v>1073.4477151866504</v>
      </c>
      <c r="CQ225" s="2">
        <f t="shared" si="518"/>
        <v>6248.9698106332435</v>
      </c>
      <c r="CR225" s="2">
        <f t="shared" si="518"/>
        <v>0</v>
      </c>
    </row>
    <row r="226" spans="1:97">
      <c r="A226" s="50">
        <f t="shared" si="434"/>
        <v>226</v>
      </c>
      <c r="B226" t="s">
        <v>347</v>
      </c>
      <c r="C226" s="36" t="s">
        <v>154</v>
      </c>
      <c r="D226" s="28" t="s">
        <v>242</v>
      </c>
      <c r="E226" s="373">
        <f>PROFORMA!AY91</f>
        <v>132000</v>
      </c>
      <c r="F226" s="60" t="str">
        <f>"as Distrib Plant ("&amp;A$41&amp;")"</f>
        <v>as Distrib Plant (41)</v>
      </c>
      <c r="G226" s="60" t="s">
        <v>436</v>
      </c>
      <c r="H226" s="2">
        <f t="shared" si="489"/>
        <v>132000.00000000003</v>
      </c>
      <c r="I226" s="2">
        <f t="shared" si="490"/>
        <v>99083.184152219634</v>
      </c>
      <c r="J226" s="2">
        <f t="shared" si="490"/>
        <v>25342.738291332218</v>
      </c>
      <c r="K226" s="2">
        <f t="shared" si="490"/>
        <v>0</v>
      </c>
      <c r="L226" s="2">
        <f t="shared" si="490"/>
        <v>625.55802122946648</v>
      </c>
      <c r="M226" s="2">
        <f t="shared" si="490"/>
        <v>6948.5195352187011</v>
      </c>
      <c r="N226" s="2">
        <f t="shared" si="490"/>
        <v>0</v>
      </c>
      <c r="O226" s="2"/>
      <c r="P226" s="61" t="str">
        <f t="shared" si="519"/>
        <v>E226*     "</v>
      </c>
      <c r="Q226" s="61"/>
      <c r="R226" s="14">
        <f>R$41</f>
        <v>0.1933876764871075</v>
      </c>
      <c r="S226" s="14">
        <f>S$41</f>
        <v>0</v>
      </c>
      <c r="T226" s="14">
        <f t="shared" ref="T226:AH226" si="528">T$41</f>
        <v>0</v>
      </c>
      <c r="U226" s="14">
        <f t="shared" si="528"/>
        <v>0</v>
      </c>
      <c r="V226" s="14">
        <f t="shared" si="528"/>
        <v>0</v>
      </c>
      <c r="W226" s="14">
        <f t="shared" si="528"/>
        <v>0.31084546333511004</v>
      </c>
      <c r="X226" s="14">
        <f t="shared" si="528"/>
        <v>0</v>
      </c>
      <c r="Y226" s="14">
        <f t="shared" si="528"/>
        <v>0</v>
      </c>
      <c r="Z226" s="14">
        <f>Z$41</f>
        <v>0</v>
      </c>
      <c r="AA226" s="14">
        <f t="shared" si="528"/>
        <v>0</v>
      </c>
      <c r="AB226" s="14">
        <f>AB$41</f>
        <v>0</v>
      </c>
      <c r="AC226" s="14">
        <f t="shared" si="528"/>
        <v>0.35888972828992466</v>
      </c>
      <c r="AD226" s="14">
        <f t="shared" si="528"/>
        <v>0.13220566312906262</v>
      </c>
      <c r="AE226" s="14">
        <f>AE$41</f>
        <v>0</v>
      </c>
      <c r="AF226" s="14">
        <f t="shared" si="528"/>
        <v>4.6714687587951949E-3</v>
      </c>
      <c r="AG226" s="14">
        <f t="shared" si="528"/>
        <v>0</v>
      </c>
      <c r="AH226" s="14">
        <f t="shared" si="528"/>
        <v>0</v>
      </c>
      <c r="AI226" s="76">
        <f t="shared" si="471"/>
        <v>0</v>
      </c>
      <c r="AK226" s="2">
        <f t="shared" si="492"/>
        <v>132000</v>
      </c>
      <c r="AL226" s="2">
        <f t="shared" si="493"/>
        <v>25527.173296298191</v>
      </c>
      <c r="AM226" s="2">
        <f t="shared" si="493"/>
        <v>41031.601160234524</v>
      </c>
      <c r="AN226" s="2">
        <f t="shared" si="493"/>
        <v>65441.225543467292</v>
      </c>
      <c r="AO226" s="2">
        <f t="shared" si="493"/>
        <v>0</v>
      </c>
      <c r="AP226" s="2"/>
      <c r="AQ226" s="61" t="str">
        <f t="shared" si="521"/>
        <v>E226*      "</v>
      </c>
      <c r="AS226" s="2">
        <f t="shared" si="494"/>
        <v>25527.173296298195</v>
      </c>
      <c r="AT226" s="2">
        <f t="shared" si="495"/>
        <v>14663.792002753222</v>
      </c>
      <c r="AU226" s="2">
        <f t="shared" si="495"/>
        <v>7104.82915698334</v>
      </c>
      <c r="AV226" s="2">
        <f t="shared" si="495"/>
        <v>0</v>
      </c>
      <c r="AW226" s="2">
        <f t="shared" si="495"/>
        <v>290.12256156737811</v>
      </c>
      <c r="AX226" s="2">
        <f t="shared" si="495"/>
        <v>3468.429574994253</v>
      </c>
      <c r="AY226" s="2">
        <f t="shared" si="495"/>
        <v>0</v>
      </c>
      <c r="BA226" s="2">
        <f t="shared" si="496"/>
        <v>41031.601160234524</v>
      </c>
      <c r="BB226" s="2">
        <f t="shared" si="497"/>
        <v>23197.276078373459</v>
      </c>
      <c r="BC226" s="2">
        <f t="shared" si="497"/>
        <v>14316.240103777291</v>
      </c>
      <c r="BD226" s="2">
        <f t="shared" si="497"/>
        <v>0</v>
      </c>
      <c r="BE226" s="2">
        <f t="shared" si="497"/>
        <v>308.46737012457453</v>
      </c>
      <c r="BF226" s="2">
        <f t="shared" si="497"/>
        <v>3209.6176079591964</v>
      </c>
      <c r="BG226" s="2">
        <f t="shared" si="497"/>
        <v>0</v>
      </c>
      <c r="BI226" s="2">
        <f t="shared" si="498"/>
        <v>65441.225543467284</v>
      </c>
      <c r="BJ226" s="2">
        <f t="shared" si="499"/>
        <v>61222.116071092933</v>
      </c>
      <c r="BK226" s="2">
        <f t="shared" si="499"/>
        <v>3921.6690305715865</v>
      </c>
      <c r="BL226" s="2">
        <f t="shared" si="499"/>
        <v>0</v>
      </c>
      <c r="BM226" s="2">
        <f t="shared" si="499"/>
        <v>26.968089537513809</v>
      </c>
      <c r="BN226" s="2">
        <f t="shared" si="499"/>
        <v>270.4723522652522</v>
      </c>
      <c r="BO226" s="2">
        <f t="shared" si="499"/>
        <v>0</v>
      </c>
      <c r="BQ226" s="28" t="s">
        <v>242</v>
      </c>
      <c r="BR226" s="23">
        <v>78003.229306751615</v>
      </c>
      <c r="BS226" s="14">
        <f t="shared" si="500"/>
        <v>0.1933876764871075</v>
      </c>
      <c r="BT226" s="14">
        <f t="shared" si="501"/>
        <v>0</v>
      </c>
      <c r="BU226" s="14">
        <f t="shared" si="502"/>
        <v>0</v>
      </c>
      <c r="BV226" s="14">
        <f t="shared" si="503"/>
        <v>0</v>
      </c>
      <c r="BW226" s="14">
        <f t="shared" si="504"/>
        <v>0</v>
      </c>
      <c r="BX226" s="14">
        <f t="shared" si="505"/>
        <v>0.31084546333511004</v>
      </c>
      <c r="BY226" s="14">
        <f t="shared" si="506"/>
        <v>0</v>
      </c>
      <c r="BZ226" s="14">
        <f t="shared" si="507"/>
        <v>0</v>
      </c>
      <c r="CA226" s="14">
        <f t="shared" si="508"/>
        <v>0</v>
      </c>
      <c r="CB226" s="14">
        <f t="shared" si="509"/>
        <v>0</v>
      </c>
      <c r="CC226" s="14">
        <f t="shared" si="510"/>
        <v>0</v>
      </c>
      <c r="CD226" s="14">
        <f t="shared" si="511"/>
        <v>0.35888972828992466</v>
      </c>
      <c r="CE226" s="14">
        <f t="shared" si="512"/>
        <v>0.13220566312906262</v>
      </c>
      <c r="CF226" s="14">
        <f t="shared" si="513"/>
        <v>0</v>
      </c>
      <c r="CG226" s="14">
        <f t="shared" si="514"/>
        <v>4.6714687587951949E-3</v>
      </c>
      <c r="CH226" s="14">
        <f t="shared" si="515"/>
        <v>0</v>
      </c>
      <c r="CI226" s="14">
        <f t="shared" si="516"/>
        <v>0</v>
      </c>
      <c r="CJ226" s="14"/>
      <c r="CK226" s="112" t="str">
        <f t="shared" si="517"/>
        <v>as Distrib Plant (41)</v>
      </c>
      <c r="CL226" s="76">
        <f t="shared" si="474"/>
        <v>0</v>
      </c>
      <c r="CM226" s="2">
        <f t="shared" si="518"/>
        <v>58551.578286883981</v>
      </c>
      <c r="CN226" s="2">
        <f t="shared" si="518"/>
        <v>14975.874440907437</v>
      </c>
      <c r="CO226" s="2">
        <f t="shared" si="518"/>
        <v>0</v>
      </c>
      <c r="CP226" s="2">
        <f t="shared" si="518"/>
        <v>369.6632255654535</v>
      </c>
      <c r="CQ226" s="2">
        <f t="shared" si="518"/>
        <v>4106.1133533947532</v>
      </c>
      <c r="CR226" s="2">
        <f t="shared" si="518"/>
        <v>0</v>
      </c>
    </row>
    <row r="227" spans="1:97">
      <c r="A227" s="50">
        <f t="shared" si="434"/>
        <v>227</v>
      </c>
      <c r="D227" s="52" t="s">
        <v>9</v>
      </c>
      <c r="E227" s="3">
        <f>SUM(E218:E226)</f>
        <v>4405000</v>
      </c>
      <c r="F227" s="62"/>
      <c r="G227" s="62"/>
      <c r="H227" s="3">
        <f>IF(ROUND(SUM(H218:H226),3)&lt;&gt;ROUND(SUM(I227:N227),3),#VALUE!,SUM(H218:H226))</f>
        <v>4404999.9999999991</v>
      </c>
      <c r="I227" s="3">
        <f t="shared" ref="I227:N227" si="529">SUM(I218:I226)</f>
        <v>3485592.369338905</v>
      </c>
      <c r="J227" s="3">
        <f t="shared" si="529"/>
        <v>742226.8732785274</v>
      </c>
      <c r="K227" s="3">
        <f t="shared" si="529"/>
        <v>0</v>
      </c>
      <c r="L227" s="3">
        <f t="shared" si="529"/>
        <v>15175.188476754965</v>
      </c>
      <c r="M227" s="3">
        <f t="shared" si="529"/>
        <v>162005.5689058126</v>
      </c>
      <c r="N227" s="3">
        <f t="shared" si="529"/>
        <v>0</v>
      </c>
      <c r="O227" s="5"/>
      <c r="P227" s="61" t="str">
        <f>$A218&amp;":"&amp;$A226</f>
        <v>218:226</v>
      </c>
      <c r="Q227" s="61"/>
      <c r="R227" s="22">
        <f t="shared" ref="R227:AH227" si="530">SUMPRODUCT($E$218:$E$226,R$218:R$226)/$E227</f>
        <v>0.12834752525479884</v>
      </c>
      <c r="S227" s="22">
        <f t="shared" si="530"/>
        <v>0</v>
      </c>
      <c r="T227" s="22">
        <f t="shared" si="530"/>
        <v>0</v>
      </c>
      <c r="U227" s="22">
        <f t="shared" si="530"/>
        <v>0</v>
      </c>
      <c r="V227" s="22">
        <f t="shared" si="530"/>
        <v>0</v>
      </c>
      <c r="W227" s="22">
        <f t="shared" si="530"/>
        <v>0.20630190444633856</v>
      </c>
      <c r="X227" s="22">
        <f t="shared" si="530"/>
        <v>0</v>
      </c>
      <c r="Y227" s="22">
        <f t="shared" si="530"/>
        <v>0</v>
      </c>
      <c r="Z227" s="22">
        <f t="shared" si="530"/>
        <v>0</v>
      </c>
      <c r="AA227" s="22">
        <f t="shared" si="530"/>
        <v>0</v>
      </c>
      <c r="AB227" s="22">
        <f t="shared" si="530"/>
        <v>0</v>
      </c>
      <c r="AC227" s="22">
        <f t="shared" si="530"/>
        <v>0.27820081033262173</v>
      </c>
      <c r="AD227" s="22">
        <f t="shared" si="530"/>
        <v>0.38494861380391154</v>
      </c>
      <c r="AE227" s="22">
        <f t="shared" si="530"/>
        <v>0</v>
      </c>
      <c r="AF227" s="22">
        <f t="shared" si="530"/>
        <v>2.2011461623292813E-3</v>
      </c>
      <c r="AG227" s="22">
        <f t="shared" si="530"/>
        <v>0</v>
      </c>
      <c r="AH227" s="22">
        <f t="shared" si="530"/>
        <v>0</v>
      </c>
      <c r="AI227" s="76">
        <f t="shared" si="471"/>
        <v>0</v>
      </c>
      <c r="AK227" s="3">
        <f>IF(ROUND(SUM(AK218:AK226),3)&lt;&gt;ROUND(SUM(AL227:AO227),3),#VALUE!,SUM(AK218:AK226))</f>
        <v>4405000</v>
      </c>
      <c r="AL227" s="3">
        <f>SUM(AL218:AL226)</f>
        <v>565370.84874738893</v>
      </c>
      <c r="AM227" s="3">
        <f>SUM(AM218:AM226)</f>
        <v>908759.88908612134</v>
      </c>
      <c r="AN227" s="3">
        <f>SUM(AN218:AN226)</f>
        <v>2930869.2621664898</v>
      </c>
      <c r="AO227" s="3">
        <f>SUM(AO218:AO226)</f>
        <v>0</v>
      </c>
      <c r="AP227" s="5"/>
      <c r="AQ227" s="61" t="str">
        <f>$A218&amp;":"&amp;$A226</f>
        <v>218:226</v>
      </c>
      <c r="AS227" s="3">
        <f>IF(ROUND(SUM(AS218:AS226),3)&lt;&gt;ROUND(SUM(AT227:AY227),3),#VALUE!,SUM(AS218:AS226))</f>
        <v>565370.84874738916</v>
      </c>
      <c r="AT227" s="3">
        <f t="shared" ref="AT227:AY227" si="531">SUM(AT218:AT226)</f>
        <v>324770.80146018381</v>
      </c>
      <c r="AU227" s="3">
        <f t="shared" si="531"/>
        <v>157356.36860628708</v>
      </c>
      <c r="AV227" s="3">
        <f t="shared" si="531"/>
        <v>0</v>
      </c>
      <c r="AW227" s="3">
        <f t="shared" si="531"/>
        <v>6425.5778330890053</v>
      </c>
      <c r="AX227" s="3">
        <f t="shared" si="531"/>
        <v>76818.100847829191</v>
      </c>
      <c r="AY227" s="3">
        <f t="shared" si="531"/>
        <v>0</v>
      </c>
      <c r="BA227" s="3">
        <f>IF(ROUND(SUM(BA218:BA226),3)&lt;&gt;ROUND(SUM(BB227:BG227),3),#VALUE!,SUM(BA218:BA226))</f>
        <v>908759.88908612134</v>
      </c>
      <c r="BB227" s="3">
        <f t="shared" ref="BB227:BG227" si="532">SUM(BB218:BB226)</f>
        <v>513768.74019025761</v>
      </c>
      <c r="BC227" s="3">
        <f t="shared" si="532"/>
        <v>317073.28987803438</v>
      </c>
      <c r="BD227" s="3">
        <f t="shared" si="532"/>
        <v>0</v>
      </c>
      <c r="BE227" s="3">
        <f t="shared" si="532"/>
        <v>6831.8750702999296</v>
      </c>
      <c r="BF227" s="3">
        <f t="shared" si="532"/>
        <v>71085.983947529443</v>
      </c>
      <c r="BG227" s="3">
        <f t="shared" si="532"/>
        <v>0</v>
      </c>
      <c r="BI227" s="3">
        <f>IF(ROUND(SUM(BI218:BI226),3)&lt;&gt;ROUND(SUM(BJ227:BO227),3),#VALUE!,SUM(BI218:BI226))</f>
        <v>2930869.2621664889</v>
      </c>
      <c r="BJ227" s="3">
        <f t="shared" ref="BJ227:BO227" si="533">SUM(BJ218:BJ226)</f>
        <v>2647052.8276884635</v>
      </c>
      <c r="BK227" s="3">
        <f t="shared" si="533"/>
        <v>267797.21479420597</v>
      </c>
      <c r="BL227" s="3">
        <f t="shared" si="533"/>
        <v>0</v>
      </c>
      <c r="BM227" s="3">
        <f t="shared" si="533"/>
        <v>1917.7355733660327</v>
      </c>
      <c r="BN227" s="3">
        <f t="shared" si="533"/>
        <v>14101.48411045395</v>
      </c>
      <c r="BO227" s="3">
        <f t="shared" si="533"/>
        <v>0</v>
      </c>
      <c r="BQ227" s="52" t="s">
        <v>9</v>
      </c>
      <c r="BR227" s="686">
        <f>IF(ROUND(SUM(BR218:BR226),3)&lt;&gt;ROUND(SUM(CM227:CR227),3),#VALUE!,SUM(BR218:BR226))</f>
        <v>2507697.3726651226</v>
      </c>
      <c r="BS227" s="22">
        <f>IF(SUM($BR$218:$BR$226)=0,0,SUMPRODUCT($BR$218:$BR$226,BS$218:BS$226)/$BR$227)</f>
        <v>0.12441981965518505</v>
      </c>
      <c r="BT227" s="22">
        <f t="shared" ref="BT227:CI227" si="534">IF(SUM($BR$218:$BR$226)=0,0,SUMPRODUCT($BR$218:$BR$226,BT$218:BT$226)/$BR$227)</f>
        <v>0</v>
      </c>
      <c r="BU227" s="22">
        <f t="shared" si="534"/>
        <v>0</v>
      </c>
      <c r="BV227" s="22">
        <f t="shared" si="534"/>
        <v>0</v>
      </c>
      <c r="BW227" s="22">
        <f t="shared" si="534"/>
        <v>0</v>
      </c>
      <c r="BX227" s="22">
        <f t="shared" si="534"/>
        <v>0.19998863004781578</v>
      </c>
      <c r="BY227" s="22">
        <f t="shared" si="534"/>
        <v>0</v>
      </c>
      <c r="BZ227" s="22">
        <f t="shared" si="534"/>
        <v>0</v>
      </c>
      <c r="CA227" s="22">
        <f t="shared" si="534"/>
        <v>0</v>
      </c>
      <c r="CB227" s="22">
        <f t="shared" si="534"/>
        <v>0</v>
      </c>
      <c r="CC227" s="22">
        <f t="shared" si="534"/>
        <v>0</v>
      </c>
      <c r="CD227" s="22">
        <f t="shared" si="534"/>
        <v>0.25132260747203367</v>
      </c>
      <c r="CE227" s="22">
        <f t="shared" si="534"/>
        <v>0.4219533202165327</v>
      </c>
      <c r="CF227" s="22">
        <f t="shared" si="534"/>
        <v>0</v>
      </c>
      <c r="CG227" s="22">
        <f t="shared" si="534"/>
        <v>2.3156226084327788E-3</v>
      </c>
      <c r="CH227" s="22">
        <f t="shared" si="534"/>
        <v>0</v>
      </c>
      <c r="CI227" s="22">
        <f t="shared" si="534"/>
        <v>0</v>
      </c>
      <c r="CJ227" s="42"/>
      <c r="CK227" s="42"/>
      <c r="CL227" s="76">
        <f t="shared" si="474"/>
        <v>0</v>
      </c>
      <c r="CM227" s="3">
        <f t="shared" ref="CM227:CR227" si="535">SUM(CM218:CM226)</f>
        <v>1983100.2297532922</v>
      </c>
      <c r="CN227" s="3">
        <f t="shared" si="535"/>
        <v>426068.32375241152</v>
      </c>
      <c r="CO227" s="3">
        <f t="shared" si="535"/>
        <v>0</v>
      </c>
      <c r="CP227" s="3">
        <f t="shared" si="535"/>
        <v>8500.6949446572562</v>
      </c>
      <c r="CQ227" s="3">
        <f t="shared" si="535"/>
        <v>90028.124214761832</v>
      </c>
      <c r="CR227" s="3">
        <f t="shared" si="535"/>
        <v>0</v>
      </c>
    </row>
    <row r="228" spans="1:97">
      <c r="A228" s="50">
        <f t="shared" si="434"/>
        <v>228</v>
      </c>
      <c r="D228" s="53" t="s">
        <v>10</v>
      </c>
      <c r="E228" s="2">
        <f>E217+E227</f>
        <v>13443000</v>
      </c>
      <c r="F228" s="60"/>
      <c r="G228" s="60"/>
      <c r="H228" s="2">
        <f t="shared" ref="H228:N228" si="536">H217+H227</f>
        <v>13443000</v>
      </c>
      <c r="I228" s="2">
        <f t="shared" si="536"/>
        <v>10618969.08146774</v>
      </c>
      <c r="J228" s="2">
        <f t="shared" si="536"/>
        <v>2192734.9645105125</v>
      </c>
      <c r="K228" s="2">
        <f t="shared" si="536"/>
        <v>0</v>
      </c>
      <c r="L228" s="2">
        <f t="shared" si="536"/>
        <v>52265.278075835231</v>
      </c>
      <c r="M228" s="2">
        <f t="shared" si="536"/>
        <v>579030.67594591272</v>
      </c>
      <c r="N228" s="2">
        <f t="shared" si="536"/>
        <v>0</v>
      </c>
      <c r="O228" s="2"/>
      <c r="P228" s="61" t="str">
        <f>$A217&amp;"+"&amp;$A227</f>
        <v>217+227</v>
      </c>
      <c r="Q228" s="61"/>
      <c r="R228" s="14">
        <f t="shared" ref="R228:AH228" si="537">($E217*R217+$E227*R227)/($E217+$E227)</f>
        <v>0.15748987821834601</v>
      </c>
      <c r="S228" s="14">
        <f t="shared" si="537"/>
        <v>0</v>
      </c>
      <c r="T228" s="14">
        <f t="shared" si="537"/>
        <v>0</v>
      </c>
      <c r="U228" s="14">
        <f t="shared" si="537"/>
        <v>0</v>
      </c>
      <c r="V228" s="14">
        <f t="shared" si="537"/>
        <v>0</v>
      </c>
      <c r="W228" s="14">
        <f t="shared" si="537"/>
        <v>0.2531444353365272</v>
      </c>
      <c r="X228" s="14">
        <f t="shared" si="537"/>
        <v>0</v>
      </c>
      <c r="Y228" s="14">
        <f t="shared" si="537"/>
        <v>0</v>
      </c>
      <c r="Z228" s="14">
        <f t="shared" si="537"/>
        <v>0</v>
      </c>
      <c r="AA228" s="14">
        <f t="shared" si="537"/>
        <v>0</v>
      </c>
      <c r="AB228" s="14">
        <f t="shared" si="537"/>
        <v>0.13916411457395061</v>
      </c>
      <c r="AC228" s="14">
        <f t="shared" si="537"/>
        <v>0.30134801404036221</v>
      </c>
      <c r="AD228" s="14">
        <f t="shared" si="537"/>
        <v>0.14669834464417569</v>
      </c>
      <c r="AE228" s="14">
        <f t="shared" si="537"/>
        <v>0</v>
      </c>
      <c r="AF228" s="14">
        <f t="shared" si="537"/>
        <v>2.1552131866382288E-3</v>
      </c>
      <c r="AG228" s="14">
        <f t="shared" si="537"/>
        <v>0</v>
      </c>
      <c r="AH228" s="14">
        <f t="shared" si="537"/>
        <v>0</v>
      </c>
      <c r="AI228" s="76">
        <f t="shared" si="471"/>
        <v>0</v>
      </c>
      <c r="AK228" s="2">
        <f>AK217+AK227</f>
        <v>13443000</v>
      </c>
      <c r="AL228" s="2">
        <f>AL217+AL227</f>
        <v>2117136.4328892254</v>
      </c>
      <c r="AM228" s="2">
        <f>AM217+AM227</f>
        <v>3403020.6442289352</v>
      </c>
      <c r="AN228" s="2">
        <f>AN217+AN227</f>
        <v>7922842.9228818398</v>
      </c>
      <c r="AO228" s="2">
        <f>AO217+AO227</f>
        <v>0</v>
      </c>
      <c r="AP228" s="2"/>
      <c r="AQ228" s="61" t="str">
        <f>$A217&amp;"+"&amp;$A227</f>
        <v>217+227</v>
      </c>
      <c r="AS228" s="2">
        <f t="shared" ref="AS228:AY228" si="538">AS217+AS227</f>
        <v>2117136.4328892259</v>
      </c>
      <c r="AT228" s="2">
        <f t="shared" si="538"/>
        <v>1216164.7485599401</v>
      </c>
      <c r="AU228" s="2">
        <f t="shared" si="538"/>
        <v>589250.22692913527</v>
      </c>
      <c r="AV228" s="2">
        <f t="shared" si="538"/>
        <v>0</v>
      </c>
      <c r="AW228" s="2">
        <f t="shared" si="538"/>
        <v>24061.772839788566</v>
      </c>
      <c r="AX228" s="2">
        <f t="shared" si="538"/>
        <v>287659.68456036173</v>
      </c>
      <c r="AY228" s="2">
        <f t="shared" si="538"/>
        <v>0</v>
      </c>
      <c r="BA228" s="2">
        <f t="shared" ref="BA228:BG228" si="539">BA217+BA227</f>
        <v>3403020.6442289343</v>
      </c>
      <c r="BB228" s="2">
        <f t="shared" si="539"/>
        <v>1923902.7274686957</v>
      </c>
      <c r="BC228" s="2">
        <f t="shared" si="539"/>
        <v>1187339.9829229047</v>
      </c>
      <c r="BD228" s="2">
        <f t="shared" si="539"/>
        <v>0</v>
      </c>
      <c r="BE228" s="2">
        <f t="shared" si="539"/>
        <v>25583.228509792207</v>
      </c>
      <c r="BF228" s="2">
        <f t="shared" si="539"/>
        <v>266194.70532754151</v>
      </c>
      <c r="BG228" s="2">
        <f t="shared" si="539"/>
        <v>0</v>
      </c>
      <c r="BI228" s="2">
        <f t="shared" ref="BI228:BO228" si="540">BI217+BI227</f>
        <v>7922842.9228818389</v>
      </c>
      <c r="BJ228" s="2">
        <f t="shared" si="540"/>
        <v>7478901.6054391041</v>
      </c>
      <c r="BK228" s="2">
        <f t="shared" si="540"/>
        <v>416144.7546584722</v>
      </c>
      <c r="BL228" s="2">
        <f t="shared" si="540"/>
        <v>0</v>
      </c>
      <c r="BM228" s="2">
        <f t="shared" si="540"/>
        <v>2620.2767262544567</v>
      </c>
      <c r="BN228" s="2">
        <f t="shared" si="540"/>
        <v>25176.286058009551</v>
      </c>
      <c r="BO228" s="2">
        <f t="shared" si="540"/>
        <v>0</v>
      </c>
      <c r="BQ228" s="53" t="s">
        <v>10</v>
      </c>
      <c r="BR228" s="21">
        <f>BR217+BR227</f>
        <v>8307520.4360193517</v>
      </c>
      <c r="BS228" s="14">
        <f>($BR$217*BS$217+$BR$227*BS$227)/($BR$217+$BR$227)</f>
        <v>0.1424104436415336</v>
      </c>
      <c r="BT228" s="14">
        <f t="shared" ref="BT228:CI228" si="541">($BR$217*BT$217+$BR$227*BT$227)/($BR$217+$BR$227)</f>
        <v>0</v>
      </c>
      <c r="BU228" s="14">
        <f t="shared" si="541"/>
        <v>0</v>
      </c>
      <c r="BV228" s="14">
        <f t="shared" si="541"/>
        <v>0</v>
      </c>
      <c r="BW228" s="14">
        <f t="shared" si="541"/>
        <v>0</v>
      </c>
      <c r="BX228" s="14">
        <f t="shared" si="541"/>
        <v>0.22890621130381211</v>
      </c>
      <c r="BY228" s="14">
        <f t="shared" si="541"/>
        <v>0</v>
      </c>
      <c r="BZ228" s="14">
        <f t="shared" si="541"/>
        <v>0</v>
      </c>
      <c r="CA228" s="14">
        <f t="shared" si="541"/>
        <v>0</v>
      </c>
      <c r="CB228" s="14">
        <f t="shared" si="541"/>
        <v>0</v>
      </c>
      <c r="CC228" s="14">
        <f t="shared" si="541"/>
        <v>0.18099838675578594</v>
      </c>
      <c r="CD228" s="14">
        <f t="shared" si="541"/>
        <v>0.26143121873265335</v>
      </c>
      <c r="CE228" s="14">
        <f t="shared" si="541"/>
        <v>0.18368435351768048</v>
      </c>
      <c r="CF228" s="14">
        <f t="shared" si="541"/>
        <v>0</v>
      </c>
      <c r="CG228" s="14">
        <f t="shared" si="541"/>
        <v>2.5693860485346935E-3</v>
      </c>
      <c r="CH228" s="14">
        <f t="shared" si="541"/>
        <v>0</v>
      </c>
      <c r="CI228" s="14">
        <f t="shared" si="541"/>
        <v>0</v>
      </c>
      <c r="CJ228" s="14"/>
      <c r="CK228" s="14"/>
      <c r="CL228" s="76">
        <f t="shared" si="474"/>
        <v>0</v>
      </c>
      <c r="CM228" s="2">
        <f t="shared" ref="CM228:CR228" si="542">CM217+CM227</f>
        <v>6655587.4915039213</v>
      </c>
      <c r="CN228" s="2">
        <f t="shared" si="542"/>
        <v>1296038.5222487603</v>
      </c>
      <c r="CO228" s="2">
        <f t="shared" si="542"/>
        <v>0</v>
      </c>
      <c r="CP228" s="2">
        <f t="shared" si="542"/>
        <v>29688.723005977132</v>
      </c>
      <c r="CQ228" s="2">
        <f t="shared" si="542"/>
        <v>326205.69926069438</v>
      </c>
      <c r="CR228" s="2">
        <f t="shared" si="542"/>
        <v>0</v>
      </c>
    </row>
    <row r="229" spans="1:97">
      <c r="A229" s="50">
        <f t="shared" si="434"/>
        <v>229</v>
      </c>
      <c r="D229" s="10"/>
      <c r="E229" s="2"/>
      <c r="F229" s="60"/>
      <c r="G229" s="60"/>
      <c r="P229" s="61"/>
      <c r="Q229" s="61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76">
        <f t="shared" si="471"/>
        <v>0</v>
      </c>
      <c r="AQ229" s="61"/>
      <c r="BQ229" s="10"/>
      <c r="CL229" s="76">
        <f t="shared" si="474"/>
        <v>0</v>
      </c>
    </row>
    <row r="230" spans="1:97">
      <c r="A230" s="50">
        <f t="shared" si="434"/>
        <v>230</v>
      </c>
      <c r="D230" t="s">
        <v>11</v>
      </c>
      <c r="E230" s="2"/>
      <c r="F230" s="60"/>
      <c r="G230" s="60"/>
      <c r="P230" s="61"/>
      <c r="Q230" s="61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76">
        <f t="shared" si="471"/>
        <v>0</v>
      </c>
      <c r="AQ230" s="61"/>
      <c r="BQ230" t="s">
        <v>11</v>
      </c>
      <c r="CL230" s="76">
        <f t="shared" si="474"/>
        <v>0</v>
      </c>
    </row>
    <row r="231" spans="1:97">
      <c r="A231" s="50">
        <f t="shared" si="434"/>
        <v>231</v>
      </c>
      <c r="B231" t="s">
        <v>12</v>
      </c>
      <c r="C231" s="36" t="s">
        <v>156</v>
      </c>
      <c r="D231" s="28" t="s">
        <v>13</v>
      </c>
      <c r="E231" s="373">
        <f>PROFORMA!AY97</f>
        <v>60000</v>
      </c>
      <c r="F231" s="60" t="s">
        <v>450</v>
      </c>
      <c r="G231" s="60"/>
      <c r="H231" s="2">
        <f>SUM(I231:N231)</f>
        <v>60000.000000000007</v>
      </c>
      <c r="I231" s="2">
        <f t="shared" ref="I231:N235" si="543">$E231*SUMPRODUCT($R231:$AH231,INDEX(AllocFactors,I$4,0))</f>
        <v>58808.600587905014</v>
      </c>
      <c r="J231" s="2">
        <f t="shared" si="543"/>
        <v>1177.1028456301106</v>
      </c>
      <c r="K231" s="2">
        <f t="shared" si="543"/>
        <v>0</v>
      </c>
      <c r="L231" s="2">
        <f t="shared" si="543"/>
        <v>1.1040912715451145</v>
      </c>
      <c r="M231" s="2">
        <f t="shared" si="543"/>
        <v>13.19247519333393</v>
      </c>
      <c r="N231" s="2">
        <f t="shared" si="543"/>
        <v>0</v>
      </c>
      <c r="O231" s="2"/>
      <c r="P231" s="61" t="str">
        <f>E$1&amp;$A231&amp;"* Sum["&amp;$R$1&amp;$A231&amp;":"&amp;$AH$1&amp;$A231&amp;"* "&amp;Factors!D$1&amp;Factors!$A$58&amp;":"&amp;Factors!S$1&amp;Factors!$A$64&amp;"]"</f>
        <v>E231* Sum[R231:AH231* D1042:S1048]</v>
      </c>
      <c r="Q231" s="61"/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76">
        <f t="shared" si="471"/>
        <v>0</v>
      </c>
      <c r="AK231" s="2">
        <f>SUM(AL231:AO231)</f>
        <v>60000</v>
      </c>
      <c r="AL231" s="2">
        <f t="shared" ref="AL231:AO235" si="544">SUMIF($R$4:$AH$4,AL$5,$R231:$AH231)*$E231</f>
        <v>0</v>
      </c>
      <c r="AM231" s="2">
        <f t="shared" si="544"/>
        <v>0</v>
      </c>
      <c r="AN231" s="2">
        <f t="shared" si="544"/>
        <v>60000</v>
      </c>
      <c r="AO231" s="2">
        <f t="shared" si="544"/>
        <v>0</v>
      </c>
      <c r="AP231" s="2"/>
      <c r="AQ231" s="61" t="str">
        <f>E$1&amp;$A231&amp;"*["&amp;R$1&amp;$A231&amp;":"&amp;$AH$1&amp;$A231&amp;" when "&amp;R$1&amp;$A$4&amp;":"&amp;$AH$1&amp;$A$4&amp;" = E,D,C,or R]"</f>
        <v>E231*[R231:AH231 when R4:AH4 = E,D,C,or R]</v>
      </c>
      <c r="AS231" s="2">
        <f>SUM(AT231:AY231)</f>
        <v>0</v>
      </c>
      <c r="AT231" s="2">
        <f t="shared" ref="AT231:AY235" si="545">$E231*SUMPRODUCT($R231:$V231,INDEX(AllocFactors_E,AT$4,0))</f>
        <v>0</v>
      </c>
      <c r="AU231" s="2">
        <f t="shared" si="545"/>
        <v>0</v>
      </c>
      <c r="AV231" s="2">
        <f t="shared" si="545"/>
        <v>0</v>
      </c>
      <c r="AW231" s="2">
        <f t="shared" si="545"/>
        <v>0</v>
      </c>
      <c r="AX231" s="2">
        <f t="shared" si="545"/>
        <v>0</v>
      </c>
      <c r="AY231" s="2">
        <f t="shared" si="545"/>
        <v>0</v>
      </c>
      <c r="BA231" s="2">
        <f>SUM(BB231:BG231)</f>
        <v>0</v>
      </c>
      <c r="BB231" s="2">
        <f t="shared" ref="BB231:BG235" si="546">$E231*SUMPRODUCT($W231:$AA231,INDEX(AllocFactors_D,BB$4,0))</f>
        <v>0</v>
      </c>
      <c r="BC231" s="2">
        <f t="shared" si="546"/>
        <v>0</v>
      </c>
      <c r="BD231" s="2">
        <f t="shared" si="546"/>
        <v>0</v>
      </c>
      <c r="BE231" s="2">
        <f t="shared" si="546"/>
        <v>0</v>
      </c>
      <c r="BF231" s="2">
        <f t="shared" si="546"/>
        <v>0</v>
      </c>
      <c r="BG231" s="2">
        <f t="shared" si="546"/>
        <v>0</v>
      </c>
      <c r="BI231" s="2">
        <f>SUM(BJ231:BO231)</f>
        <v>60000.000000000007</v>
      </c>
      <c r="BJ231" s="2">
        <f t="shared" ref="BJ231:BO235" si="547">$E231*SUMPRODUCT($AB231:$AG231,INDEX(AllocFactors_C,BJ$4,0))</f>
        <v>58808.600587905014</v>
      </c>
      <c r="BK231" s="2">
        <f t="shared" si="547"/>
        <v>1177.1028456301106</v>
      </c>
      <c r="BL231" s="2">
        <f t="shared" si="547"/>
        <v>0</v>
      </c>
      <c r="BM231" s="2">
        <f t="shared" si="547"/>
        <v>1.1040912715451145</v>
      </c>
      <c r="BN231" s="2">
        <f t="shared" si="547"/>
        <v>13.19247519333393</v>
      </c>
      <c r="BO231" s="2">
        <f t="shared" si="547"/>
        <v>0</v>
      </c>
      <c r="BQ231" s="28" t="s">
        <v>13</v>
      </c>
      <c r="BR231" s="23">
        <v>62183.093122904895</v>
      </c>
      <c r="BS231" s="14">
        <f t="shared" ref="BS231:BU235" si="548">R231</f>
        <v>0</v>
      </c>
      <c r="BT231" s="14">
        <f t="shared" si="548"/>
        <v>0</v>
      </c>
      <c r="BU231" s="14">
        <f t="shared" si="548"/>
        <v>0</v>
      </c>
      <c r="BV231" s="14">
        <f t="shared" ref="BV231:CB235" si="549">U231</f>
        <v>0</v>
      </c>
      <c r="BW231" s="14">
        <f t="shared" si="549"/>
        <v>0</v>
      </c>
      <c r="BX231" s="14">
        <f t="shared" si="549"/>
        <v>0</v>
      </c>
      <c r="BY231" s="14">
        <f t="shared" si="549"/>
        <v>0</v>
      </c>
      <c r="BZ231" s="14">
        <f t="shared" si="549"/>
        <v>0</v>
      </c>
      <c r="CA231" s="14">
        <f t="shared" si="549"/>
        <v>0</v>
      </c>
      <c r="CB231" s="14">
        <f t="shared" si="549"/>
        <v>0</v>
      </c>
      <c r="CC231" s="14">
        <f t="shared" ref="CC231:CF235" si="550">AB231</f>
        <v>1</v>
      </c>
      <c r="CD231" s="14">
        <f t="shared" si="550"/>
        <v>0</v>
      </c>
      <c r="CE231" s="14">
        <f t="shared" si="550"/>
        <v>0</v>
      </c>
      <c r="CF231" s="14">
        <f t="shared" si="550"/>
        <v>0</v>
      </c>
      <c r="CG231" s="14">
        <f t="shared" ref="CG231:CI235" si="551">AF231</f>
        <v>0</v>
      </c>
      <c r="CH231" s="14">
        <f t="shared" si="551"/>
        <v>0</v>
      </c>
      <c r="CI231" s="14">
        <f t="shared" si="551"/>
        <v>0</v>
      </c>
      <c r="CJ231" s="14"/>
      <c r="CK231" s="112" t="str">
        <f>F231</f>
        <v>Input - 100% Cust</v>
      </c>
      <c r="CL231" s="76">
        <f t="shared" si="474"/>
        <v>0</v>
      </c>
      <c r="CM231" s="2">
        <f t="shared" ref="CM231:CR235" si="552">$BR231*SUMPRODUCT($BS231:$CI231,INDEX(AllocFactors,CM$172,0))</f>
        <v>60948.344779756946</v>
      </c>
      <c r="CN231" s="2">
        <f t="shared" si="552"/>
        <v>1219.9315977508918</v>
      </c>
      <c r="CO231" s="2">
        <f t="shared" si="552"/>
        <v>0</v>
      </c>
      <c r="CP231" s="2">
        <f t="shared" si="552"/>
        <v>1.1442635059112722</v>
      </c>
      <c r="CQ231" s="2">
        <f t="shared" si="552"/>
        <v>13.672481891144942</v>
      </c>
      <c r="CR231" s="2">
        <f t="shared" si="552"/>
        <v>0</v>
      </c>
    </row>
    <row r="232" spans="1:97">
      <c r="A232" s="50">
        <f t="shared" si="434"/>
        <v>232</v>
      </c>
      <c r="B232" t="s">
        <v>14</v>
      </c>
      <c r="C232" s="36" t="s">
        <v>156</v>
      </c>
      <c r="D232" s="28" t="s">
        <v>15</v>
      </c>
      <c r="E232" s="373">
        <f>PROFORMA!AY98</f>
        <v>358000</v>
      </c>
      <c r="F232" s="60" t="s">
        <v>450</v>
      </c>
      <c r="G232" s="60"/>
      <c r="H232" s="2">
        <f>SUM(I232:N232)</f>
        <v>358000</v>
      </c>
      <c r="I232" s="2">
        <f t="shared" si="543"/>
        <v>350891.31684116658</v>
      </c>
      <c r="J232" s="2">
        <f t="shared" si="543"/>
        <v>7023.3803122596601</v>
      </c>
      <c r="K232" s="2">
        <f t="shared" si="543"/>
        <v>0</v>
      </c>
      <c r="L232" s="2">
        <f t="shared" si="543"/>
        <v>6.58774458688585</v>
      </c>
      <c r="M232" s="2">
        <f t="shared" si="543"/>
        <v>78.715101986892449</v>
      </c>
      <c r="N232" s="2">
        <f t="shared" si="543"/>
        <v>0</v>
      </c>
      <c r="O232" s="2"/>
      <c r="P232" s="61" t="str">
        <f>E$1&amp;$A232&amp;"*     """</f>
        <v>E232*     "</v>
      </c>
      <c r="Q232" s="61"/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76">
        <f t="shared" si="471"/>
        <v>0</v>
      </c>
      <c r="AK232" s="2">
        <f>SUM(AL232:AO232)</f>
        <v>358000</v>
      </c>
      <c r="AL232" s="2">
        <f t="shared" si="544"/>
        <v>0</v>
      </c>
      <c r="AM232" s="2">
        <f t="shared" si="544"/>
        <v>0</v>
      </c>
      <c r="AN232" s="2">
        <f t="shared" si="544"/>
        <v>358000</v>
      </c>
      <c r="AO232" s="2">
        <f t="shared" si="544"/>
        <v>0</v>
      </c>
      <c r="AP232" s="2"/>
      <c r="AQ232" s="61" t="str">
        <f>E$1&amp;$A232&amp;"*      """</f>
        <v>E232*      "</v>
      </c>
      <c r="AS232" s="2">
        <f>SUM(AT232:AY232)</f>
        <v>0</v>
      </c>
      <c r="AT232" s="2">
        <f t="shared" si="545"/>
        <v>0</v>
      </c>
      <c r="AU232" s="2">
        <f t="shared" si="545"/>
        <v>0</v>
      </c>
      <c r="AV232" s="2">
        <f t="shared" si="545"/>
        <v>0</v>
      </c>
      <c r="AW232" s="2">
        <f t="shared" si="545"/>
        <v>0</v>
      </c>
      <c r="AX232" s="2">
        <f t="shared" si="545"/>
        <v>0</v>
      </c>
      <c r="AY232" s="2">
        <f t="shared" si="545"/>
        <v>0</v>
      </c>
      <c r="BA232" s="2">
        <f>SUM(BB232:BG232)</f>
        <v>0</v>
      </c>
      <c r="BB232" s="2">
        <f t="shared" si="546"/>
        <v>0</v>
      </c>
      <c r="BC232" s="2">
        <f t="shared" si="546"/>
        <v>0</v>
      </c>
      <c r="BD232" s="2">
        <f t="shared" si="546"/>
        <v>0</v>
      </c>
      <c r="BE232" s="2">
        <f t="shared" si="546"/>
        <v>0</v>
      </c>
      <c r="BF232" s="2">
        <f t="shared" si="546"/>
        <v>0</v>
      </c>
      <c r="BG232" s="2">
        <f t="shared" si="546"/>
        <v>0</v>
      </c>
      <c r="BI232" s="2">
        <f>SUM(BJ232:BO232)</f>
        <v>358000</v>
      </c>
      <c r="BJ232" s="2">
        <f t="shared" si="547"/>
        <v>350891.31684116658</v>
      </c>
      <c r="BK232" s="2">
        <f t="shared" si="547"/>
        <v>7023.3803122596601</v>
      </c>
      <c r="BL232" s="2">
        <f t="shared" si="547"/>
        <v>0</v>
      </c>
      <c r="BM232" s="2">
        <f t="shared" si="547"/>
        <v>6.58774458688585</v>
      </c>
      <c r="BN232" s="2">
        <f t="shared" si="547"/>
        <v>78.715101986892449</v>
      </c>
      <c r="BO232" s="2">
        <f t="shared" si="547"/>
        <v>0</v>
      </c>
      <c r="BQ232" s="28" t="s">
        <v>15</v>
      </c>
      <c r="BR232" s="23">
        <v>250943.04522308189</v>
      </c>
      <c r="BS232" s="14">
        <f t="shared" si="548"/>
        <v>0</v>
      </c>
      <c r="BT232" s="14">
        <f t="shared" si="548"/>
        <v>0</v>
      </c>
      <c r="BU232" s="14">
        <f t="shared" si="548"/>
        <v>0</v>
      </c>
      <c r="BV232" s="14">
        <f t="shared" si="549"/>
        <v>0</v>
      </c>
      <c r="BW232" s="14">
        <f t="shared" si="549"/>
        <v>0</v>
      </c>
      <c r="BX232" s="14">
        <f t="shared" si="549"/>
        <v>0</v>
      </c>
      <c r="BY232" s="14">
        <f t="shared" si="549"/>
        <v>0</v>
      </c>
      <c r="BZ232" s="14">
        <f t="shared" si="549"/>
        <v>0</v>
      </c>
      <c r="CA232" s="14">
        <f t="shared" si="549"/>
        <v>0</v>
      </c>
      <c r="CB232" s="14">
        <f t="shared" si="549"/>
        <v>0</v>
      </c>
      <c r="CC232" s="14">
        <f t="shared" si="550"/>
        <v>1</v>
      </c>
      <c r="CD232" s="14">
        <f t="shared" si="550"/>
        <v>0</v>
      </c>
      <c r="CE232" s="14">
        <f t="shared" si="550"/>
        <v>0</v>
      </c>
      <c r="CF232" s="14">
        <f t="shared" si="550"/>
        <v>0</v>
      </c>
      <c r="CG232" s="14">
        <f t="shared" si="551"/>
        <v>0</v>
      </c>
      <c r="CH232" s="14">
        <f t="shared" si="551"/>
        <v>0</v>
      </c>
      <c r="CI232" s="14">
        <f t="shared" si="551"/>
        <v>0</v>
      </c>
      <c r="CJ232" s="14"/>
      <c r="CK232" s="112" t="str">
        <f>F232</f>
        <v>Input - 100% Cust</v>
      </c>
      <c r="CL232" s="76">
        <f t="shared" si="474"/>
        <v>0</v>
      </c>
      <c r="CM232" s="2">
        <f t="shared" si="552"/>
        <v>245960.15528061346</v>
      </c>
      <c r="CN232" s="2">
        <f t="shared" si="552"/>
        <v>4923.0962103862539</v>
      </c>
      <c r="CO232" s="2">
        <f t="shared" si="552"/>
        <v>0</v>
      </c>
      <c r="CP232" s="2">
        <f t="shared" si="552"/>
        <v>4.617733764762594</v>
      </c>
      <c r="CQ232" s="2">
        <f t="shared" si="552"/>
        <v>55.175998317419712</v>
      </c>
      <c r="CR232" s="2">
        <f t="shared" si="552"/>
        <v>0</v>
      </c>
    </row>
    <row r="233" spans="1:97">
      <c r="A233" s="50">
        <f t="shared" si="434"/>
        <v>233</v>
      </c>
      <c r="B233" t="s">
        <v>16</v>
      </c>
      <c r="C233" s="36" t="s">
        <v>156</v>
      </c>
      <c r="D233" s="28" t="s">
        <v>348</v>
      </c>
      <c r="E233" s="373">
        <f>PROFORMA!AY99</f>
        <v>3672000</v>
      </c>
      <c r="F233" s="60" t="s">
        <v>450</v>
      </c>
      <c r="G233" s="60"/>
      <c r="H233" s="2">
        <f>SUM(I233:N233)</f>
        <v>3672000</v>
      </c>
      <c r="I233" s="2">
        <f t="shared" si="543"/>
        <v>3599086.3559797867</v>
      </c>
      <c r="J233" s="2">
        <f t="shared" si="543"/>
        <v>72038.694152562763</v>
      </c>
      <c r="K233" s="2">
        <f t="shared" si="543"/>
        <v>0</v>
      </c>
      <c r="L233" s="2">
        <f t="shared" si="543"/>
        <v>67.570385818561007</v>
      </c>
      <c r="M233" s="2">
        <f t="shared" si="543"/>
        <v>807.37948183203662</v>
      </c>
      <c r="N233" s="2">
        <f t="shared" si="543"/>
        <v>0</v>
      </c>
      <c r="O233" s="2"/>
      <c r="P233" s="61" t="str">
        <f>E$1&amp;$A233&amp;"*     """</f>
        <v>E233*     "</v>
      </c>
      <c r="Q233" s="61"/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76">
        <f t="shared" si="471"/>
        <v>0</v>
      </c>
      <c r="AK233" s="2">
        <f>SUM(AL233:AO233)</f>
        <v>3672000</v>
      </c>
      <c r="AL233" s="2">
        <f t="shared" si="544"/>
        <v>0</v>
      </c>
      <c r="AM233" s="2">
        <f t="shared" si="544"/>
        <v>0</v>
      </c>
      <c r="AN233" s="2">
        <f t="shared" si="544"/>
        <v>3672000</v>
      </c>
      <c r="AO233" s="2">
        <f t="shared" si="544"/>
        <v>0</v>
      </c>
      <c r="AP233" s="2"/>
      <c r="AQ233" s="61" t="str">
        <f>E$1&amp;$A233&amp;"*      """</f>
        <v>E233*      "</v>
      </c>
      <c r="AS233" s="2">
        <f>SUM(AT233:AY233)</f>
        <v>0</v>
      </c>
      <c r="AT233" s="2">
        <f t="shared" si="545"/>
        <v>0</v>
      </c>
      <c r="AU233" s="2">
        <f t="shared" si="545"/>
        <v>0</v>
      </c>
      <c r="AV233" s="2">
        <f t="shared" si="545"/>
        <v>0</v>
      </c>
      <c r="AW233" s="2">
        <f t="shared" si="545"/>
        <v>0</v>
      </c>
      <c r="AX233" s="2">
        <f t="shared" si="545"/>
        <v>0</v>
      </c>
      <c r="AY233" s="2">
        <f t="shared" si="545"/>
        <v>0</v>
      </c>
      <c r="BA233" s="2">
        <f>SUM(BB233:BG233)</f>
        <v>0</v>
      </c>
      <c r="BB233" s="2">
        <f t="shared" si="546"/>
        <v>0</v>
      </c>
      <c r="BC233" s="2">
        <f t="shared" si="546"/>
        <v>0</v>
      </c>
      <c r="BD233" s="2">
        <f t="shared" si="546"/>
        <v>0</v>
      </c>
      <c r="BE233" s="2">
        <f t="shared" si="546"/>
        <v>0</v>
      </c>
      <c r="BF233" s="2">
        <f t="shared" si="546"/>
        <v>0</v>
      </c>
      <c r="BG233" s="2">
        <f t="shared" si="546"/>
        <v>0</v>
      </c>
      <c r="BI233" s="2">
        <f>SUM(BJ233:BO233)</f>
        <v>3672000</v>
      </c>
      <c r="BJ233" s="2">
        <f t="shared" si="547"/>
        <v>3599086.3559797867</v>
      </c>
      <c r="BK233" s="2">
        <f t="shared" si="547"/>
        <v>72038.694152562763</v>
      </c>
      <c r="BL233" s="2">
        <f t="shared" si="547"/>
        <v>0</v>
      </c>
      <c r="BM233" s="2">
        <f t="shared" si="547"/>
        <v>67.570385818561007</v>
      </c>
      <c r="BN233" s="2">
        <f t="shared" si="547"/>
        <v>807.37948183203662</v>
      </c>
      <c r="BO233" s="2">
        <f t="shared" si="547"/>
        <v>0</v>
      </c>
      <c r="BQ233" s="28" t="s">
        <v>348</v>
      </c>
      <c r="BR233" s="23">
        <v>2093654.4613002068</v>
      </c>
      <c r="BS233" s="14">
        <f t="shared" si="548"/>
        <v>0</v>
      </c>
      <c r="BT233" s="14">
        <f t="shared" si="548"/>
        <v>0</v>
      </c>
      <c r="BU233" s="14">
        <f t="shared" si="548"/>
        <v>0</v>
      </c>
      <c r="BV233" s="14">
        <f t="shared" si="549"/>
        <v>0</v>
      </c>
      <c r="BW233" s="14">
        <f t="shared" si="549"/>
        <v>0</v>
      </c>
      <c r="BX233" s="14">
        <f t="shared" si="549"/>
        <v>0</v>
      </c>
      <c r="BY233" s="14">
        <f t="shared" si="549"/>
        <v>0</v>
      </c>
      <c r="BZ233" s="14">
        <f t="shared" si="549"/>
        <v>0</v>
      </c>
      <c r="CA233" s="14">
        <f t="shared" si="549"/>
        <v>0</v>
      </c>
      <c r="CB233" s="14">
        <f t="shared" si="549"/>
        <v>0</v>
      </c>
      <c r="CC233" s="14">
        <f t="shared" si="550"/>
        <v>1</v>
      </c>
      <c r="CD233" s="14">
        <f t="shared" si="550"/>
        <v>0</v>
      </c>
      <c r="CE233" s="14">
        <f t="shared" si="550"/>
        <v>0</v>
      </c>
      <c r="CF233" s="14">
        <f t="shared" si="550"/>
        <v>0</v>
      </c>
      <c r="CG233" s="14">
        <f t="shared" si="551"/>
        <v>0</v>
      </c>
      <c r="CH233" s="14">
        <f t="shared" si="551"/>
        <v>0</v>
      </c>
      <c r="CI233" s="14">
        <f t="shared" si="551"/>
        <v>0</v>
      </c>
      <c r="CJ233" s="14"/>
      <c r="CK233" s="112" t="str">
        <f>F233</f>
        <v>Input - 100% Cust</v>
      </c>
      <c r="CL233" s="76">
        <f t="shared" si="474"/>
        <v>0</v>
      </c>
      <c r="CM233" s="2">
        <f t="shared" si="552"/>
        <v>2052081.4830614883</v>
      </c>
      <c r="CN233" s="2">
        <f t="shared" si="552"/>
        <v>41074.11040271083</v>
      </c>
      <c r="CO233" s="2">
        <f t="shared" si="552"/>
        <v>0</v>
      </c>
      <c r="CP233" s="2">
        <f t="shared" si="552"/>
        <v>38.526426939217451</v>
      </c>
      <c r="CQ233" s="2">
        <f t="shared" si="552"/>
        <v>460.34140906859824</v>
      </c>
      <c r="CR233" s="2">
        <f t="shared" si="552"/>
        <v>0</v>
      </c>
    </row>
    <row r="234" spans="1:97">
      <c r="A234" s="50">
        <f t="shared" si="434"/>
        <v>234</v>
      </c>
      <c r="B234" t="s">
        <v>17</v>
      </c>
      <c r="C234" s="36" t="s">
        <v>155</v>
      </c>
      <c r="D234" s="28" t="s">
        <v>18</v>
      </c>
      <c r="E234" s="373">
        <f>PROFORMA!AY100</f>
        <v>369000</v>
      </c>
      <c r="F234" s="60" t="s">
        <v>451</v>
      </c>
      <c r="G234" s="60"/>
      <c r="H234" s="2">
        <f>SUM(I234:N234)</f>
        <v>369000</v>
      </c>
      <c r="I234" s="2">
        <f t="shared" si="543"/>
        <v>285943.38891317323</v>
      </c>
      <c r="J234" s="2">
        <f t="shared" si="543"/>
        <v>70179.601861693154</v>
      </c>
      <c r="K234" s="2">
        <f t="shared" si="543"/>
        <v>0</v>
      </c>
      <c r="L234" s="2">
        <f t="shared" si="543"/>
        <v>1882.6647509605368</v>
      </c>
      <c r="M234" s="2">
        <f t="shared" si="543"/>
        <v>10994.344474173096</v>
      </c>
      <c r="N234" s="2">
        <f t="shared" si="543"/>
        <v>0</v>
      </c>
      <c r="O234" s="2"/>
      <c r="P234" s="61" t="str">
        <f>E$1&amp;$A234&amp;"*     """</f>
        <v>E234*     "</v>
      </c>
      <c r="Q234" s="61"/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1</v>
      </c>
      <c r="AI234" s="76">
        <f t="shared" si="471"/>
        <v>0</v>
      </c>
      <c r="AK234" s="2">
        <f>SUM(AL234:AO234)</f>
        <v>369000</v>
      </c>
      <c r="AL234" s="2">
        <f t="shared" si="544"/>
        <v>0</v>
      </c>
      <c r="AM234" s="2">
        <f t="shared" si="544"/>
        <v>0</v>
      </c>
      <c r="AN234" s="2">
        <f t="shared" si="544"/>
        <v>0</v>
      </c>
      <c r="AO234" s="2">
        <f t="shared" si="544"/>
        <v>369000</v>
      </c>
      <c r="AP234" s="2"/>
      <c r="AQ234" s="61" t="str">
        <f>E$1&amp;$A234&amp;"*      """</f>
        <v>E234*      "</v>
      </c>
      <c r="AS234" s="2">
        <f>SUM(AT234:AY234)</f>
        <v>0</v>
      </c>
      <c r="AT234" s="2">
        <f t="shared" si="545"/>
        <v>0</v>
      </c>
      <c r="AU234" s="2">
        <f t="shared" si="545"/>
        <v>0</v>
      </c>
      <c r="AV234" s="2">
        <f t="shared" si="545"/>
        <v>0</v>
      </c>
      <c r="AW234" s="2">
        <f t="shared" si="545"/>
        <v>0</v>
      </c>
      <c r="AX234" s="2">
        <f t="shared" si="545"/>
        <v>0</v>
      </c>
      <c r="AY234" s="2">
        <f t="shared" si="545"/>
        <v>0</v>
      </c>
      <c r="BA234" s="2">
        <f>SUM(BB234:BG234)</f>
        <v>0</v>
      </c>
      <c r="BB234" s="2">
        <f t="shared" si="546"/>
        <v>0</v>
      </c>
      <c r="BC234" s="2">
        <f t="shared" si="546"/>
        <v>0</v>
      </c>
      <c r="BD234" s="2">
        <f t="shared" si="546"/>
        <v>0</v>
      </c>
      <c r="BE234" s="2">
        <f t="shared" si="546"/>
        <v>0</v>
      </c>
      <c r="BF234" s="2">
        <f t="shared" si="546"/>
        <v>0</v>
      </c>
      <c r="BG234" s="2">
        <f t="shared" si="546"/>
        <v>0</v>
      </c>
      <c r="BI234" s="2">
        <f>SUM(BJ234:BO234)</f>
        <v>0</v>
      </c>
      <c r="BJ234" s="2">
        <f t="shared" si="547"/>
        <v>0</v>
      </c>
      <c r="BK234" s="2">
        <f t="shared" si="547"/>
        <v>0</v>
      </c>
      <c r="BL234" s="2">
        <f t="shared" si="547"/>
        <v>0</v>
      </c>
      <c r="BM234" s="2">
        <f t="shared" si="547"/>
        <v>0</v>
      </c>
      <c r="BN234" s="2">
        <f t="shared" si="547"/>
        <v>0</v>
      </c>
      <c r="BO234" s="2">
        <f t="shared" si="547"/>
        <v>0</v>
      </c>
      <c r="BQ234" s="28" t="s">
        <v>18</v>
      </c>
      <c r="BR234" s="23">
        <v>0</v>
      </c>
      <c r="BS234" s="14">
        <f t="shared" si="548"/>
        <v>0</v>
      </c>
      <c r="BT234" s="14">
        <f t="shared" si="548"/>
        <v>0</v>
      </c>
      <c r="BU234" s="14">
        <f t="shared" si="548"/>
        <v>0</v>
      </c>
      <c r="BV234" s="14">
        <f t="shared" si="549"/>
        <v>0</v>
      </c>
      <c r="BW234" s="14">
        <f t="shared" si="549"/>
        <v>0</v>
      </c>
      <c r="BX234" s="14">
        <f t="shared" si="549"/>
        <v>0</v>
      </c>
      <c r="BY234" s="14">
        <f t="shared" si="549"/>
        <v>0</v>
      </c>
      <c r="BZ234" s="14">
        <f t="shared" si="549"/>
        <v>0</v>
      </c>
      <c r="CA234" s="14">
        <f t="shared" si="549"/>
        <v>0</v>
      </c>
      <c r="CB234" s="14">
        <f t="shared" si="549"/>
        <v>0</v>
      </c>
      <c r="CC234" s="14">
        <f t="shared" si="550"/>
        <v>0</v>
      </c>
      <c r="CD234" s="14">
        <f t="shared" si="550"/>
        <v>0</v>
      </c>
      <c r="CE234" s="14">
        <f t="shared" si="550"/>
        <v>0</v>
      </c>
      <c r="CF234" s="14">
        <f t="shared" si="550"/>
        <v>0</v>
      </c>
      <c r="CG234" s="14">
        <f t="shared" si="551"/>
        <v>0</v>
      </c>
      <c r="CH234" s="14">
        <f t="shared" si="551"/>
        <v>0</v>
      </c>
      <c r="CI234" s="14">
        <f t="shared" si="551"/>
        <v>1</v>
      </c>
      <c r="CJ234" s="14"/>
      <c r="CK234" s="112" t="str">
        <f>F234</f>
        <v>Input - 100% Rev</v>
      </c>
      <c r="CL234" s="76">
        <f t="shared" si="474"/>
        <v>0</v>
      </c>
      <c r="CM234" s="2">
        <f t="shared" si="552"/>
        <v>0</v>
      </c>
      <c r="CN234" s="2">
        <f t="shared" si="552"/>
        <v>0</v>
      </c>
      <c r="CO234" s="2">
        <f t="shared" si="552"/>
        <v>0</v>
      </c>
      <c r="CP234" s="2">
        <f t="shared" si="552"/>
        <v>0</v>
      </c>
      <c r="CQ234" s="2">
        <f t="shared" si="552"/>
        <v>0</v>
      </c>
      <c r="CR234" s="2">
        <f t="shared" si="552"/>
        <v>0</v>
      </c>
    </row>
    <row r="235" spans="1:97">
      <c r="A235" s="50">
        <f t="shared" si="434"/>
        <v>235</v>
      </c>
      <c r="B235" t="s">
        <v>19</v>
      </c>
      <c r="C235" s="36" t="s">
        <v>156</v>
      </c>
      <c r="D235" s="28" t="s">
        <v>20</v>
      </c>
      <c r="E235" s="373">
        <f>PROFORMA!AY101</f>
        <v>350000</v>
      </c>
      <c r="F235" s="60" t="s">
        <v>450</v>
      </c>
      <c r="G235" s="60"/>
      <c r="H235" s="2">
        <f>SUM(I235:N235)</f>
        <v>350000</v>
      </c>
      <c r="I235" s="2">
        <f t="shared" si="543"/>
        <v>343050.17009611259</v>
      </c>
      <c r="J235" s="2">
        <f t="shared" si="543"/>
        <v>6866.4332661756453</v>
      </c>
      <c r="K235" s="2">
        <f t="shared" si="543"/>
        <v>0</v>
      </c>
      <c r="L235" s="2">
        <f t="shared" si="543"/>
        <v>6.4405324173465015</v>
      </c>
      <c r="M235" s="2">
        <f t="shared" si="543"/>
        <v>76.956105294447923</v>
      </c>
      <c r="N235" s="2">
        <f t="shared" si="543"/>
        <v>0</v>
      </c>
      <c r="O235" s="2"/>
      <c r="P235" s="61" t="str">
        <f>E$1&amp;$A235&amp;"*     """</f>
        <v>E235*     "</v>
      </c>
      <c r="Q235" s="61"/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1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76">
        <f t="shared" si="471"/>
        <v>0</v>
      </c>
      <c r="AK235" s="2">
        <f>SUM(AL235:AO235)</f>
        <v>350000</v>
      </c>
      <c r="AL235" s="2">
        <f t="shared" si="544"/>
        <v>0</v>
      </c>
      <c r="AM235" s="2">
        <f t="shared" si="544"/>
        <v>0</v>
      </c>
      <c r="AN235" s="2">
        <f t="shared" si="544"/>
        <v>350000</v>
      </c>
      <c r="AO235" s="2">
        <f t="shared" si="544"/>
        <v>0</v>
      </c>
      <c r="AP235" s="2"/>
      <c r="AQ235" s="61" t="str">
        <f>E$1&amp;$A235&amp;"*      """</f>
        <v>E235*      "</v>
      </c>
      <c r="AS235" s="2">
        <f>SUM(AT235:AY235)</f>
        <v>0</v>
      </c>
      <c r="AT235" s="2">
        <f t="shared" si="545"/>
        <v>0</v>
      </c>
      <c r="AU235" s="2">
        <f t="shared" si="545"/>
        <v>0</v>
      </c>
      <c r="AV235" s="2">
        <f t="shared" si="545"/>
        <v>0</v>
      </c>
      <c r="AW235" s="2">
        <f t="shared" si="545"/>
        <v>0</v>
      </c>
      <c r="AX235" s="2">
        <f t="shared" si="545"/>
        <v>0</v>
      </c>
      <c r="AY235" s="2">
        <f t="shared" si="545"/>
        <v>0</v>
      </c>
      <c r="BA235" s="2">
        <f>SUM(BB235:BG235)</f>
        <v>0</v>
      </c>
      <c r="BB235" s="2">
        <f t="shared" si="546"/>
        <v>0</v>
      </c>
      <c r="BC235" s="2">
        <f t="shared" si="546"/>
        <v>0</v>
      </c>
      <c r="BD235" s="2">
        <f t="shared" si="546"/>
        <v>0</v>
      </c>
      <c r="BE235" s="2">
        <f t="shared" si="546"/>
        <v>0</v>
      </c>
      <c r="BF235" s="2">
        <f t="shared" si="546"/>
        <v>0</v>
      </c>
      <c r="BG235" s="2">
        <f t="shared" si="546"/>
        <v>0</v>
      </c>
      <c r="BI235" s="2">
        <f>SUM(BJ235:BO235)</f>
        <v>350000</v>
      </c>
      <c r="BJ235" s="2">
        <f t="shared" si="547"/>
        <v>343050.17009611259</v>
      </c>
      <c r="BK235" s="2">
        <f t="shared" si="547"/>
        <v>6866.4332661756453</v>
      </c>
      <c r="BL235" s="2">
        <f t="shared" si="547"/>
        <v>0</v>
      </c>
      <c r="BM235" s="2">
        <f t="shared" si="547"/>
        <v>6.4405324173465015</v>
      </c>
      <c r="BN235" s="2">
        <f t="shared" si="547"/>
        <v>76.956105294447923</v>
      </c>
      <c r="BO235" s="2">
        <f t="shared" si="547"/>
        <v>0</v>
      </c>
      <c r="BQ235" s="28" t="s">
        <v>20</v>
      </c>
      <c r="BR235" s="23">
        <v>140247.28134308438</v>
      </c>
      <c r="BS235" s="14">
        <f t="shared" si="548"/>
        <v>0</v>
      </c>
      <c r="BT235" s="14">
        <f t="shared" si="548"/>
        <v>0</v>
      </c>
      <c r="BU235" s="14">
        <f t="shared" si="548"/>
        <v>0</v>
      </c>
      <c r="BV235" s="14">
        <f t="shared" si="549"/>
        <v>0</v>
      </c>
      <c r="BW235" s="14">
        <f t="shared" si="549"/>
        <v>0</v>
      </c>
      <c r="BX235" s="14">
        <f t="shared" si="549"/>
        <v>0</v>
      </c>
      <c r="BY235" s="14">
        <f t="shared" si="549"/>
        <v>0</v>
      </c>
      <c r="BZ235" s="14">
        <f t="shared" si="549"/>
        <v>0</v>
      </c>
      <c r="CA235" s="14">
        <f t="shared" si="549"/>
        <v>0</v>
      </c>
      <c r="CB235" s="14">
        <f t="shared" si="549"/>
        <v>0</v>
      </c>
      <c r="CC235" s="14">
        <f t="shared" si="550"/>
        <v>1</v>
      </c>
      <c r="CD235" s="14">
        <f t="shared" si="550"/>
        <v>0</v>
      </c>
      <c r="CE235" s="14">
        <f t="shared" si="550"/>
        <v>0</v>
      </c>
      <c r="CF235" s="14">
        <f t="shared" si="550"/>
        <v>0</v>
      </c>
      <c r="CG235" s="14">
        <f t="shared" si="551"/>
        <v>0</v>
      </c>
      <c r="CH235" s="14">
        <f t="shared" si="551"/>
        <v>0</v>
      </c>
      <c r="CI235" s="14">
        <f t="shared" si="551"/>
        <v>0</v>
      </c>
      <c r="CJ235" s="14"/>
      <c r="CK235" s="112" t="str">
        <f>F235</f>
        <v>Input - 100% Cust</v>
      </c>
      <c r="CL235" s="76">
        <f t="shared" si="474"/>
        <v>0</v>
      </c>
      <c r="CM235" s="2">
        <f t="shared" si="552"/>
        <v>137462.43920074985</v>
      </c>
      <c r="CN235" s="2">
        <f t="shared" si="552"/>
        <v>2751.4245660138558</v>
      </c>
      <c r="CO235" s="2">
        <f t="shared" si="552"/>
        <v>0</v>
      </c>
      <c r="CP235" s="2">
        <f t="shared" si="552"/>
        <v>2.5807633198138573</v>
      </c>
      <c r="CQ235" s="2">
        <f t="shared" si="552"/>
        <v>30.836813000852754</v>
      </c>
      <c r="CR235" s="2">
        <f t="shared" si="552"/>
        <v>0</v>
      </c>
    </row>
    <row r="236" spans="1:97">
      <c r="A236" s="50">
        <f t="shared" si="434"/>
        <v>236</v>
      </c>
      <c r="D236" s="52" t="s">
        <v>21</v>
      </c>
      <c r="E236" s="4">
        <f>SUM(E231:E235)</f>
        <v>4809000</v>
      </c>
      <c r="F236" s="62"/>
      <c r="G236" s="62"/>
      <c r="H236" s="4">
        <f>IF(ROUND(SUM(H230:H235),3)&lt;&gt;ROUND(SUM(I236:N236),3),#VALUE!,SUM(H230:H235))</f>
        <v>4809000</v>
      </c>
      <c r="I236" s="4">
        <f t="shared" ref="I236:N236" si="553">SUM(I230:I235)</f>
        <v>4637779.8324181437</v>
      </c>
      <c r="J236" s="4">
        <f t="shared" si="553"/>
        <v>157285.21243832135</v>
      </c>
      <c r="K236" s="4">
        <f t="shared" si="553"/>
        <v>0</v>
      </c>
      <c r="L236" s="4">
        <f t="shared" si="553"/>
        <v>1964.3675050548752</v>
      </c>
      <c r="M236" s="4">
        <f t="shared" si="553"/>
        <v>11970.587638479807</v>
      </c>
      <c r="N236" s="4">
        <f t="shared" si="553"/>
        <v>0</v>
      </c>
      <c r="O236" s="5"/>
      <c r="P236" s="61" t="str">
        <f>$A230&amp;":"&amp;$A235</f>
        <v>230:235</v>
      </c>
      <c r="Q236" s="61"/>
      <c r="R236" s="16">
        <f t="shared" ref="R236:AH236" si="554">SUMPRODUCT($E$231:$E$235,R$231:R$235)/$E236</f>
        <v>0</v>
      </c>
      <c r="S236" s="16">
        <f t="shared" si="554"/>
        <v>0</v>
      </c>
      <c r="T236" s="16">
        <f t="shared" si="554"/>
        <v>0</v>
      </c>
      <c r="U236" s="16">
        <f t="shared" si="554"/>
        <v>0</v>
      </c>
      <c r="V236" s="16">
        <f t="shared" si="554"/>
        <v>0</v>
      </c>
      <c r="W236" s="16">
        <f t="shared" si="554"/>
        <v>0</v>
      </c>
      <c r="X236" s="16">
        <f t="shared" si="554"/>
        <v>0</v>
      </c>
      <c r="Y236" s="16">
        <f t="shared" si="554"/>
        <v>0</v>
      </c>
      <c r="Z236" s="16">
        <f t="shared" si="554"/>
        <v>0</v>
      </c>
      <c r="AA236" s="16">
        <f t="shared" si="554"/>
        <v>0</v>
      </c>
      <c r="AB236" s="16">
        <f t="shared" si="554"/>
        <v>0.92326887086712417</v>
      </c>
      <c r="AC236" s="16">
        <f t="shared" si="554"/>
        <v>0</v>
      </c>
      <c r="AD236" s="16">
        <f t="shared" si="554"/>
        <v>0</v>
      </c>
      <c r="AE236" s="16">
        <f t="shared" si="554"/>
        <v>0</v>
      </c>
      <c r="AF236" s="16">
        <f t="shared" si="554"/>
        <v>0</v>
      </c>
      <c r="AG236" s="16">
        <f t="shared" si="554"/>
        <v>0</v>
      </c>
      <c r="AH236" s="16">
        <f t="shared" si="554"/>
        <v>7.6731129132875858E-2</v>
      </c>
      <c r="AI236" s="76">
        <f t="shared" si="471"/>
        <v>0</v>
      </c>
      <c r="AK236" s="4">
        <f>IF(ROUND(SUM(AK230:AK235),3)&lt;&gt;ROUND(SUM(AL236:AO236),3),#VALUE!,SUM(AK230:AK235))</f>
        <v>4809000</v>
      </c>
      <c r="AL236" s="4">
        <f>SUM(AL230:AL235)</f>
        <v>0</v>
      </c>
      <c r="AM236" s="4">
        <f>SUM(AM230:AM235)</f>
        <v>0</v>
      </c>
      <c r="AN236" s="4">
        <f>SUM(AN230:AN235)</f>
        <v>4440000</v>
      </c>
      <c r="AO236" s="4">
        <f>SUM(AO230:AO235)</f>
        <v>369000</v>
      </c>
      <c r="AP236" s="5"/>
      <c r="AQ236" s="61" t="str">
        <f>$A230&amp;":"&amp;$A235</f>
        <v>230:235</v>
      </c>
      <c r="AS236" s="4">
        <f>IF(ROUND(SUM(AS230:AS235),3)&lt;&gt;ROUND(SUM(AT236:AY236),3),#VALUE!,SUM(AS230:AS235))</f>
        <v>0</v>
      </c>
      <c r="AT236" s="4">
        <f t="shared" ref="AT236:AY236" si="555">SUM(AT230:AT235)</f>
        <v>0</v>
      </c>
      <c r="AU236" s="4">
        <f t="shared" si="555"/>
        <v>0</v>
      </c>
      <c r="AV236" s="4">
        <f t="shared" si="555"/>
        <v>0</v>
      </c>
      <c r="AW236" s="4">
        <f t="shared" si="555"/>
        <v>0</v>
      </c>
      <c r="AX236" s="4">
        <f t="shared" si="555"/>
        <v>0</v>
      </c>
      <c r="AY236" s="4">
        <f t="shared" si="555"/>
        <v>0</v>
      </c>
      <c r="BA236" s="4">
        <f>IF(ROUND(SUM(BA230:BA235),3)&lt;&gt;ROUND(SUM(BB236:BG236),3),#VALUE!,SUM(BA230:BA235))</f>
        <v>0</v>
      </c>
      <c r="BB236" s="4">
        <f t="shared" ref="BB236:BG236" si="556">SUM(BB230:BB235)</f>
        <v>0</v>
      </c>
      <c r="BC236" s="4">
        <f t="shared" si="556"/>
        <v>0</v>
      </c>
      <c r="BD236" s="4">
        <f t="shared" si="556"/>
        <v>0</v>
      </c>
      <c r="BE236" s="4">
        <f t="shared" si="556"/>
        <v>0</v>
      </c>
      <c r="BF236" s="4">
        <f t="shared" si="556"/>
        <v>0</v>
      </c>
      <c r="BG236" s="4">
        <f t="shared" si="556"/>
        <v>0</v>
      </c>
      <c r="BI236" s="4">
        <f>IF(ROUND(SUM(BI230:BI235),3)&lt;&gt;ROUND(SUM(BJ236:BO236),3),#VALUE!,SUM(BI230:BI235))</f>
        <v>4440000</v>
      </c>
      <c r="BJ236" s="4">
        <f t="shared" ref="BJ236:BO236" si="557">SUM(BJ230:BJ235)</f>
        <v>4351836.4435049705</v>
      </c>
      <c r="BK236" s="4">
        <f t="shared" si="557"/>
        <v>87105.610576628183</v>
      </c>
      <c r="BL236" s="4">
        <f t="shared" si="557"/>
        <v>0</v>
      </c>
      <c r="BM236" s="4">
        <f t="shared" si="557"/>
        <v>81.702754094338474</v>
      </c>
      <c r="BN236" s="4">
        <f t="shared" si="557"/>
        <v>976.24316430671092</v>
      </c>
      <c r="BO236" s="4">
        <f t="shared" si="557"/>
        <v>0</v>
      </c>
      <c r="BQ236" s="52" t="s">
        <v>21</v>
      </c>
      <c r="BR236" s="48">
        <f>IF(ROUND(SUM(BR230:BR235),3)&lt;&gt;ROUND(SUM(CM236:CR236),3),#VALUE!,SUM(BR230:BR235))</f>
        <v>2547027.8809892777</v>
      </c>
      <c r="BS236" s="16">
        <f>SUMPRODUCT($BR$231:$BR$235,BS$231:BS$235)/SUM($BR$231:$BR$235)</f>
        <v>0</v>
      </c>
      <c r="BT236" s="16">
        <f t="shared" ref="BT236:CI236" si="558">SUMPRODUCT($BR$231:$BR$235,BT$231:BT$235)/SUM($BR$231:$BR$235)</f>
        <v>0</v>
      </c>
      <c r="BU236" s="16">
        <f t="shared" si="558"/>
        <v>0</v>
      </c>
      <c r="BV236" s="16">
        <f t="shared" si="558"/>
        <v>0</v>
      </c>
      <c r="BW236" s="16">
        <f t="shared" si="558"/>
        <v>0</v>
      </c>
      <c r="BX236" s="16">
        <f t="shared" si="558"/>
        <v>0</v>
      </c>
      <c r="BY236" s="16">
        <f t="shared" si="558"/>
        <v>0</v>
      </c>
      <c r="BZ236" s="16">
        <f t="shared" si="558"/>
        <v>0</v>
      </c>
      <c r="CA236" s="16">
        <f t="shared" si="558"/>
        <v>0</v>
      </c>
      <c r="CB236" s="16">
        <f t="shared" si="558"/>
        <v>0</v>
      </c>
      <c r="CC236" s="16">
        <f t="shared" si="558"/>
        <v>1</v>
      </c>
      <c r="CD236" s="16">
        <f t="shared" si="558"/>
        <v>0</v>
      </c>
      <c r="CE236" s="16">
        <f t="shared" si="558"/>
        <v>0</v>
      </c>
      <c r="CF236" s="16">
        <f t="shared" si="558"/>
        <v>0</v>
      </c>
      <c r="CG236" s="16">
        <f t="shared" si="558"/>
        <v>0</v>
      </c>
      <c r="CH236" s="16">
        <f t="shared" si="558"/>
        <v>0</v>
      </c>
      <c r="CI236" s="16">
        <f t="shared" si="558"/>
        <v>0</v>
      </c>
      <c r="CJ236" s="42"/>
      <c r="CK236" s="42"/>
      <c r="CL236" s="76">
        <f t="shared" si="474"/>
        <v>0</v>
      </c>
      <c r="CM236" s="4">
        <f t="shared" ref="CM236:CR236" si="559">SUM(CM230:CM235)</f>
        <v>2496452.4223226085</v>
      </c>
      <c r="CN236" s="4">
        <f t="shared" si="559"/>
        <v>49968.562776861829</v>
      </c>
      <c r="CO236" s="4">
        <f t="shared" si="559"/>
        <v>0</v>
      </c>
      <c r="CP236" s="4">
        <f t="shared" si="559"/>
        <v>46.869187529705172</v>
      </c>
      <c r="CQ236" s="4">
        <f t="shared" si="559"/>
        <v>560.0267022780157</v>
      </c>
      <c r="CR236" s="4">
        <f t="shared" si="559"/>
        <v>0</v>
      </c>
    </row>
    <row r="237" spans="1:97">
      <c r="A237" s="50">
        <f t="shared" si="434"/>
        <v>237</v>
      </c>
      <c r="E237" s="2"/>
      <c r="F237" s="60"/>
      <c r="G237" s="60"/>
      <c r="P237" s="61"/>
      <c r="Q237" s="61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76">
        <f t="shared" si="471"/>
        <v>0</v>
      </c>
      <c r="AQ237" s="61"/>
      <c r="CL237" s="76">
        <f t="shared" si="474"/>
        <v>0</v>
      </c>
    </row>
    <row r="238" spans="1:97">
      <c r="A238" s="50">
        <f t="shared" si="434"/>
        <v>238</v>
      </c>
      <c r="D238" t="s">
        <v>22</v>
      </c>
      <c r="E238" s="2"/>
      <c r="F238" s="60"/>
      <c r="G238" s="60"/>
      <c r="P238" s="61"/>
      <c r="Q238" s="61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76">
        <f t="shared" si="471"/>
        <v>0</v>
      </c>
      <c r="AQ238" s="61"/>
      <c r="BQ238" t="s">
        <v>22</v>
      </c>
      <c r="CL238" s="76">
        <f t="shared" si="474"/>
        <v>0</v>
      </c>
    </row>
    <row r="239" spans="1:97">
      <c r="A239" s="50">
        <f t="shared" si="434"/>
        <v>239</v>
      </c>
      <c r="B239" t="s">
        <v>23</v>
      </c>
      <c r="C239" s="36" t="s">
        <v>156</v>
      </c>
      <c r="D239" s="28" t="s">
        <v>13</v>
      </c>
      <c r="E239" s="373">
        <f>PROFORMA!AY105</f>
        <v>0</v>
      </c>
      <c r="F239" s="60" t="s">
        <v>450</v>
      </c>
      <c r="G239" s="60"/>
      <c r="H239" s="2">
        <f>SUM(I239:N239)</f>
        <v>0</v>
      </c>
      <c r="I239" s="2">
        <f t="shared" ref="I239:N243" si="560">$E239*SUMPRODUCT($R239:$AH239,INDEX(AllocFactors,I$4,0))</f>
        <v>0</v>
      </c>
      <c r="J239" s="2">
        <f t="shared" si="560"/>
        <v>0</v>
      </c>
      <c r="K239" s="2">
        <f t="shared" si="560"/>
        <v>0</v>
      </c>
      <c r="L239" s="2">
        <f t="shared" si="560"/>
        <v>0</v>
      </c>
      <c r="M239" s="2">
        <f t="shared" si="560"/>
        <v>0</v>
      </c>
      <c r="N239" s="2">
        <f t="shared" si="560"/>
        <v>0</v>
      </c>
      <c r="O239" s="2"/>
      <c r="P239" s="61" t="str">
        <f>E$1&amp;$A239&amp;"* Sum["&amp;$R$1&amp;$A239&amp;":"&amp;$AH$1&amp;$A239&amp;"* "&amp;Factors!D$1&amp;Factors!$A$58&amp;":"&amp;Factors!S$1&amp;Factors!$A$64&amp;"]"</f>
        <v>E239* Sum[R239:AH239* D1042:S1048]</v>
      </c>
      <c r="Q239" s="61"/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76">
        <f t="shared" si="471"/>
        <v>0</v>
      </c>
      <c r="AK239" s="2">
        <f>SUM(AL239:AO239)</f>
        <v>0</v>
      </c>
      <c r="AL239" s="2">
        <f t="shared" ref="AL239:AO243" si="561">SUMIF($R$4:$AH$4,AL$5,$R239:$AH239)*$E239</f>
        <v>0</v>
      </c>
      <c r="AM239" s="2">
        <f t="shared" si="561"/>
        <v>0</v>
      </c>
      <c r="AN239" s="2">
        <f t="shared" si="561"/>
        <v>0</v>
      </c>
      <c r="AO239" s="2">
        <f t="shared" si="561"/>
        <v>0</v>
      </c>
      <c r="AP239" s="2"/>
      <c r="AQ239" s="61" t="str">
        <f>E$1&amp;$A239&amp;"*["&amp;R$1&amp;$A239&amp;":"&amp;$AH$1&amp;$A239&amp;" when "&amp;R$1&amp;$A$4&amp;":"&amp;$AH$1&amp;$A$4&amp;" = E,D,C,or R]"</f>
        <v>E239*[R239:AH239 when R4:AH4 = E,D,C,or R]</v>
      </c>
      <c r="AS239" s="2">
        <f>SUM(AT239:AY239)</f>
        <v>0</v>
      </c>
      <c r="AT239" s="2">
        <f t="shared" ref="AT239:AY243" si="562">$E239*SUMPRODUCT($R239:$V239,INDEX(AllocFactors_E,AT$4,0))</f>
        <v>0</v>
      </c>
      <c r="AU239" s="2">
        <f t="shared" si="562"/>
        <v>0</v>
      </c>
      <c r="AV239" s="2">
        <f t="shared" si="562"/>
        <v>0</v>
      </c>
      <c r="AW239" s="2">
        <f t="shared" si="562"/>
        <v>0</v>
      </c>
      <c r="AX239" s="2">
        <f t="shared" si="562"/>
        <v>0</v>
      </c>
      <c r="AY239" s="2">
        <f t="shared" si="562"/>
        <v>0</v>
      </c>
      <c r="BA239" s="2">
        <f>SUM(BB239:BG239)</f>
        <v>0</v>
      </c>
      <c r="BB239" s="2">
        <f t="shared" ref="BB239:BG243" si="563">$E239*SUMPRODUCT($W239:$AA239,INDEX(AllocFactors_D,BB$4,0))</f>
        <v>0</v>
      </c>
      <c r="BC239" s="2">
        <f t="shared" si="563"/>
        <v>0</v>
      </c>
      <c r="BD239" s="2">
        <f t="shared" si="563"/>
        <v>0</v>
      </c>
      <c r="BE239" s="2">
        <f t="shared" si="563"/>
        <v>0</v>
      </c>
      <c r="BF239" s="2">
        <f t="shared" si="563"/>
        <v>0</v>
      </c>
      <c r="BG239" s="2">
        <f t="shared" si="563"/>
        <v>0</v>
      </c>
      <c r="BI239" s="2">
        <f>SUM(BJ239:BO239)</f>
        <v>0</v>
      </c>
      <c r="BJ239" s="2">
        <f t="shared" ref="BJ239:BO243" si="564">$E239*SUMPRODUCT($AB239:$AG239,INDEX(AllocFactors_C,BJ$4,0))</f>
        <v>0</v>
      </c>
      <c r="BK239" s="2">
        <f t="shared" si="564"/>
        <v>0</v>
      </c>
      <c r="BL239" s="2">
        <f t="shared" si="564"/>
        <v>0</v>
      </c>
      <c r="BM239" s="2">
        <f t="shared" si="564"/>
        <v>0</v>
      </c>
      <c r="BN239" s="2">
        <f t="shared" si="564"/>
        <v>0</v>
      </c>
      <c r="BO239" s="2">
        <f t="shared" si="564"/>
        <v>0</v>
      </c>
      <c r="BQ239" s="28" t="s">
        <v>13</v>
      </c>
      <c r="BR239" s="23">
        <v>0</v>
      </c>
      <c r="BS239" s="14">
        <f t="shared" ref="BS239:BU243" si="565">R239</f>
        <v>0</v>
      </c>
      <c r="BT239" s="14">
        <f t="shared" si="565"/>
        <v>0</v>
      </c>
      <c r="BU239" s="14">
        <f t="shared" si="565"/>
        <v>0</v>
      </c>
      <c r="BV239" s="14">
        <f t="shared" ref="BV239:CB243" si="566">U239</f>
        <v>0</v>
      </c>
      <c r="BW239" s="14">
        <f t="shared" si="566"/>
        <v>0</v>
      </c>
      <c r="BX239" s="14">
        <f t="shared" si="566"/>
        <v>0</v>
      </c>
      <c r="BY239" s="14">
        <f t="shared" si="566"/>
        <v>0</v>
      </c>
      <c r="BZ239" s="14">
        <f t="shared" si="566"/>
        <v>0</v>
      </c>
      <c r="CA239" s="14">
        <f t="shared" si="566"/>
        <v>0</v>
      </c>
      <c r="CB239" s="14">
        <f t="shared" si="566"/>
        <v>0</v>
      </c>
      <c r="CC239" s="14">
        <f t="shared" ref="CC239:CI243" si="567">AB239</f>
        <v>1</v>
      </c>
      <c r="CD239" s="14">
        <f t="shared" si="567"/>
        <v>0</v>
      </c>
      <c r="CE239" s="14">
        <f t="shared" si="567"/>
        <v>0</v>
      </c>
      <c r="CF239" s="14">
        <f t="shared" si="567"/>
        <v>0</v>
      </c>
      <c r="CG239" s="14">
        <f t="shared" si="567"/>
        <v>0</v>
      </c>
      <c r="CH239" s="14">
        <f t="shared" si="567"/>
        <v>0</v>
      </c>
      <c r="CI239" s="14">
        <f t="shared" si="567"/>
        <v>0</v>
      </c>
      <c r="CJ239" s="14"/>
      <c r="CK239" s="112" t="str">
        <f>F239</f>
        <v>Input - 100% Cust</v>
      </c>
      <c r="CL239" s="76">
        <f t="shared" si="474"/>
        <v>0</v>
      </c>
      <c r="CM239" s="2">
        <f t="shared" ref="CM239:CR243" si="568">$BR239*SUMPRODUCT($BS239:$CI239,INDEX(AllocFactors,CM$172,0))</f>
        <v>0</v>
      </c>
      <c r="CN239" s="2">
        <f>$BR239*SUMPRODUCT($BS239:$CI239,INDEX(AllocFactors,CN$172,0))</f>
        <v>0</v>
      </c>
      <c r="CO239" s="2">
        <f t="shared" si="568"/>
        <v>0</v>
      </c>
      <c r="CP239" s="2">
        <f t="shared" si="568"/>
        <v>0</v>
      </c>
      <c r="CQ239" s="2">
        <f t="shared" si="568"/>
        <v>0</v>
      </c>
      <c r="CR239" s="2">
        <f t="shared" si="568"/>
        <v>0</v>
      </c>
    </row>
    <row r="240" spans="1:97">
      <c r="A240" s="50">
        <f t="shared" si="434"/>
        <v>240</v>
      </c>
      <c r="B240" t="s">
        <v>24</v>
      </c>
      <c r="C240" s="36" t="s">
        <v>156</v>
      </c>
      <c r="D240" s="28" t="s">
        <v>25</v>
      </c>
      <c r="E240" s="373">
        <f>PROFORMA!AY106</f>
        <v>295000</v>
      </c>
      <c r="F240" s="60" t="s">
        <v>450</v>
      </c>
      <c r="G240" s="60"/>
      <c r="H240" s="2">
        <f>SUM(I240:N240)</f>
        <v>295000.00000000006</v>
      </c>
      <c r="I240" s="2">
        <f t="shared" si="560"/>
        <v>289142.28622386634</v>
      </c>
      <c r="J240" s="2">
        <f t="shared" si="560"/>
        <v>5787.4223243480437</v>
      </c>
      <c r="K240" s="2">
        <f t="shared" si="560"/>
        <v>0</v>
      </c>
      <c r="L240" s="2">
        <f t="shared" si="560"/>
        <v>5.4284487517634794</v>
      </c>
      <c r="M240" s="2">
        <f t="shared" si="560"/>
        <v>64.863003033891829</v>
      </c>
      <c r="N240" s="2">
        <f t="shared" si="560"/>
        <v>0</v>
      </c>
      <c r="O240" s="2"/>
      <c r="P240" s="61" t="str">
        <f>E$1&amp;$A240&amp;"*     """</f>
        <v>E240*     "</v>
      </c>
      <c r="Q240" s="61"/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76">
        <f t="shared" ref="AI240:AI254" si="569">IF(SUM(R240:AH240)&lt;&gt;0,(ROUND(SUM(R240:AH240),8)&lt;&gt;1)+0,0)</f>
        <v>0</v>
      </c>
      <c r="AK240" s="2">
        <f>SUM(AL240:AO240)</f>
        <v>295000</v>
      </c>
      <c r="AL240" s="2">
        <f t="shared" si="561"/>
        <v>0</v>
      </c>
      <c r="AM240" s="2">
        <f t="shared" si="561"/>
        <v>0</v>
      </c>
      <c r="AN240" s="2">
        <f t="shared" si="561"/>
        <v>295000</v>
      </c>
      <c r="AO240" s="2">
        <f t="shared" si="561"/>
        <v>0</v>
      </c>
      <c r="AP240" s="2"/>
      <c r="AQ240" s="61" t="str">
        <f>E$1&amp;$A240&amp;"*      """</f>
        <v>E240*      "</v>
      </c>
      <c r="AS240" s="2">
        <f>SUM(AT240:AY240)</f>
        <v>0</v>
      </c>
      <c r="AT240" s="2">
        <f t="shared" si="562"/>
        <v>0</v>
      </c>
      <c r="AU240" s="2">
        <f t="shared" si="562"/>
        <v>0</v>
      </c>
      <c r="AV240" s="2">
        <f t="shared" si="562"/>
        <v>0</v>
      </c>
      <c r="AW240" s="2">
        <f t="shared" si="562"/>
        <v>0</v>
      </c>
      <c r="AX240" s="2">
        <f t="shared" si="562"/>
        <v>0</v>
      </c>
      <c r="AY240" s="2">
        <f t="shared" si="562"/>
        <v>0</v>
      </c>
      <c r="BA240" s="2">
        <f>SUM(BB240:BG240)</f>
        <v>0</v>
      </c>
      <c r="BB240" s="2">
        <f t="shared" si="563"/>
        <v>0</v>
      </c>
      <c r="BC240" s="2">
        <f t="shared" si="563"/>
        <v>0</v>
      </c>
      <c r="BD240" s="2">
        <f t="shared" si="563"/>
        <v>0</v>
      </c>
      <c r="BE240" s="2">
        <f t="shared" si="563"/>
        <v>0</v>
      </c>
      <c r="BF240" s="2">
        <f t="shared" si="563"/>
        <v>0</v>
      </c>
      <c r="BG240" s="2">
        <f t="shared" si="563"/>
        <v>0</v>
      </c>
      <c r="BI240" s="2">
        <f>SUM(BJ240:BO240)</f>
        <v>295000.00000000006</v>
      </c>
      <c r="BJ240" s="2">
        <f t="shared" si="564"/>
        <v>289142.28622386634</v>
      </c>
      <c r="BK240" s="2">
        <f t="shared" si="564"/>
        <v>5787.4223243480437</v>
      </c>
      <c r="BL240" s="2">
        <f t="shared" si="564"/>
        <v>0</v>
      </c>
      <c r="BM240" s="2">
        <f t="shared" si="564"/>
        <v>5.4284487517634794</v>
      </c>
      <c r="BN240" s="2">
        <f t="shared" si="564"/>
        <v>64.863003033891829</v>
      </c>
      <c r="BO240" s="2">
        <f t="shared" si="564"/>
        <v>0</v>
      </c>
      <c r="BQ240" s="28" t="s">
        <v>25</v>
      </c>
      <c r="BR240" s="23">
        <v>143780.06463527572</v>
      </c>
      <c r="BS240" s="14">
        <f t="shared" si="565"/>
        <v>0</v>
      </c>
      <c r="BT240" s="14">
        <f t="shared" si="565"/>
        <v>0</v>
      </c>
      <c r="BU240" s="14">
        <f t="shared" si="565"/>
        <v>0</v>
      </c>
      <c r="BV240" s="14">
        <f t="shared" si="566"/>
        <v>0</v>
      </c>
      <c r="BW240" s="14">
        <f t="shared" si="566"/>
        <v>0</v>
      </c>
      <c r="BX240" s="14">
        <f t="shared" si="566"/>
        <v>0</v>
      </c>
      <c r="BY240" s="14">
        <f t="shared" si="566"/>
        <v>0</v>
      </c>
      <c r="BZ240" s="14">
        <f t="shared" si="566"/>
        <v>0</v>
      </c>
      <c r="CA240" s="14">
        <f t="shared" si="566"/>
        <v>0</v>
      </c>
      <c r="CB240" s="14">
        <f t="shared" si="566"/>
        <v>0</v>
      </c>
      <c r="CC240" s="14">
        <f t="shared" si="567"/>
        <v>1</v>
      </c>
      <c r="CD240" s="14">
        <f t="shared" si="567"/>
        <v>0</v>
      </c>
      <c r="CE240" s="14">
        <f t="shared" si="567"/>
        <v>0</v>
      </c>
      <c r="CF240" s="14">
        <f t="shared" si="567"/>
        <v>0</v>
      </c>
      <c r="CG240" s="14">
        <f t="shared" si="567"/>
        <v>0</v>
      </c>
      <c r="CH240" s="14">
        <f t="shared" si="567"/>
        <v>0</v>
      </c>
      <c r="CI240" s="14">
        <f t="shared" si="567"/>
        <v>0</v>
      </c>
      <c r="CJ240" s="12"/>
      <c r="CK240" s="112" t="str">
        <f>F240</f>
        <v>Input - 100% Cust</v>
      </c>
      <c r="CL240" s="76">
        <f t="shared" si="474"/>
        <v>0</v>
      </c>
      <c r="CM240" s="2">
        <f t="shared" si="568"/>
        <v>140925.07322731827</v>
      </c>
      <c r="CN240" s="2">
        <f>$BR240*SUMPRODUCT($BS240:$CI240,INDEX(AllocFactors,CN$172,0))</f>
        <v>2820.7320537844048</v>
      </c>
      <c r="CO240" s="2">
        <f t="shared" si="568"/>
        <v>0</v>
      </c>
      <c r="CP240" s="2">
        <f t="shared" si="568"/>
        <v>2.6457719064333385</v>
      </c>
      <c r="CQ240" s="2">
        <f t="shared" si="568"/>
        <v>31.613582266613736</v>
      </c>
      <c r="CR240" s="2">
        <f t="shared" si="568"/>
        <v>0</v>
      </c>
      <c r="CS240" s="28" t="s">
        <v>441</v>
      </c>
    </row>
    <row r="241" spans="1:97">
      <c r="A241" s="50">
        <f t="shared" si="434"/>
        <v>241</v>
      </c>
      <c r="C241" s="36" t="s">
        <v>465</v>
      </c>
      <c r="D241" s="28" t="s">
        <v>25</v>
      </c>
      <c r="E241" s="135">
        <v>0</v>
      </c>
      <c r="F241" s="60" t="s">
        <v>548</v>
      </c>
      <c r="G241" s="60"/>
      <c r="H241" s="2">
        <f>SUM(I241:N241)</f>
        <v>0</v>
      </c>
      <c r="I241" s="2">
        <f t="shared" si="560"/>
        <v>0</v>
      </c>
      <c r="J241" s="2">
        <f t="shared" si="560"/>
        <v>0</v>
      </c>
      <c r="K241" s="2">
        <f t="shared" si="560"/>
        <v>0</v>
      </c>
      <c r="L241" s="2">
        <f t="shared" si="560"/>
        <v>0</v>
      </c>
      <c r="M241" s="2">
        <f t="shared" si="560"/>
        <v>0</v>
      </c>
      <c r="N241" s="2">
        <f t="shared" si="560"/>
        <v>0</v>
      </c>
      <c r="O241" s="2"/>
      <c r="P241" s="61" t="str">
        <f>E$1&amp;$A241&amp;"*     """</f>
        <v>E241*     "</v>
      </c>
      <c r="Q241" s="61"/>
      <c r="R241" s="15">
        <f>PkAvg_E</f>
        <v>0.38352829517570403</v>
      </c>
      <c r="S241" s="12">
        <v>0</v>
      </c>
      <c r="T241" s="12">
        <v>0</v>
      </c>
      <c r="U241" s="12">
        <v>0</v>
      </c>
      <c r="V241" s="12">
        <v>0</v>
      </c>
      <c r="W241" s="15">
        <f>PkAvg_D</f>
        <v>0.61647170482429592</v>
      </c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76">
        <f t="shared" si="569"/>
        <v>0</v>
      </c>
      <c r="AK241" s="2">
        <f>SUM(AL241:AO241)</f>
        <v>0</v>
      </c>
      <c r="AL241" s="2">
        <f t="shared" si="561"/>
        <v>0</v>
      </c>
      <c r="AM241" s="2">
        <f t="shared" si="561"/>
        <v>0</v>
      </c>
      <c r="AN241" s="2">
        <f t="shared" si="561"/>
        <v>0</v>
      </c>
      <c r="AO241" s="2">
        <f t="shared" si="561"/>
        <v>0</v>
      </c>
      <c r="AP241" s="2"/>
      <c r="AQ241" s="61" t="str">
        <f>E$1&amp;$A241&amp;"*      """</f>
        <v>E241*      "</v>
      </c>
      <c r="AS241" s="2">
        <f>SUM(AT241:AY241)</f>
        <v>0</v>
      </c>
      <c r="AT241" s="2">
        <f t="shared" si="562"/>
        <v>0</v>
      </c>
      <c r="AU241" s="2">
        <f t="shared" si="562"/>
        <v>0</v>
      </c>
      <c r="AV241" s="2">
        <f t="shared" si="562"/>
        <v>0</v>
      </c>
      <c r="AW241" s="2">
        <f t="shared" si="562"/>
        <v>0</v>
      </c>
      <c r="AX241" s="2">
        <f t="shared" si="562"/>
        <v>0</v>
      </c>
      <c r="AY241" s="2">
        <f t="shared" si="562"/>
        <v>0</v>
      </c>
      <c r="BA241" s="2">
        <f>SUM(BB241:BG241)</f>
        <v>0</v>
      </c>
      <c r="BB241" s="2">
        <f t="shared" si="563"/>
        <v>0</v>
      </c>
      <c r="BC241" s="2">
        <f t="shared" si="563"/>
        <v>0</v>
      </c>
      <c r="BD241" s="2">
        <f t="shared" si="563"/>
        <v>0</v>
      </c>
      <c r="BE241" s="2">
        <f t="shared" si="563"/>
        <v>0</v>
      </c>
      <c r="BF241" s="2">
        <f t="shared" si="563"/>
        <v>0</v>
      </c>
      <c r="BG241" s="2">
        <f t="shared" si="563"/>
        <v>0</v>
      </c>
      <c r="BI241" s="2">
        <f>SUM(BJ241:BO241)</f>
        <v>0</v>
      </c>
      <c r="BJ241" s="2">
        <f t="shared" si="564"/>
        <v>0</v>
      </c>
      <c r="BK241" s="2">
        <f t="shared" si="564"/>
        <v>0</v>
      </c>
      <c r="BL241" s="2">
        <f t="shared" si="564"/>
        <v>0</v>
      </c>
      <c r="BM241" s="2">
        <f t="shared" si="564"/>
        <v>0</v>
      </c>
      <c r="BN241" s="2">
        <f t="shared" si="564"/>
        <v>0</v>
      </c>
      <c r="BO241" s="2">
        <f t="shared" si="564"/>
        <v>0</v>
      </c>
      <c r="BQ241" s="28" t="s">
        <v>25</v>
      </c>
      <c r="BR241" s="23">
        <v>0</v>
      </c>
      <c r="BS241" s="14">
        <f t="shared" si="565"/>
        <v>0.38352829517570403</v>
      </c>
      <c r="BT241" s="14">
        <f t="shared" si="565"/>
        <v>0</v>
      </c>
      <c r="BU241" s="14">
        <f t="shared" si="565"/>
        <v>0</v>
      </c>
      <c r="BV241" s="14">
        <f t="shared" si="566"/>
        <v>0</v>
      </c>
      <c r="BW241" s="14">
        <f t="shared" si="566"/>
        <v>0</v>
      </c>
      <c r="BX241" s="14">
        <f t="shared" si="566"/>
        <v>0.61647170482429592</v>
      </c>
      <c r="BY241" s="14">
        <f t="shared" si="566"/>
        <v>0</v>
      </c>
      <c r="BZ241" s="14">
        <f t="shared" si="566"/>
        <v>0</v>
      </c>
      <c r="CA241" s="14">
        <f t="shared" si="566"/>
        <v>0</v>
      </c>
      <c r="CB241" s="14">
        <f t="shared" si="566"/>
        <v>0</v>
      </c>
      <c r="CC241" s="14">
        <f t="shared" si="567"/>
        <v>0</v>
      </c>
      <c r="CD241" s="14">
        <f t="shared" si="567"/>
        <v>0</v>
      </c>
      <c r="CE241" s="14">
        <f t="shared" si="567"/>
        <v>0</v>
      </c>
      <c r="CF241" s="14">
        <f t="shared" si="567"/>
        <v>0</v>
      </c>
      <c r="CG241" s="14">
        <f t="shared" si="567"/>
        <v>0</v>
      </c>
      <c r="CH241" s="14">
        <f t="shared" si="567"/>
        <v>0</v>
      </c>
      <c r="CI241" s="14">
        <f t="shared" si="567"/>
        <v>0</v>
      </c>
      <c r="CJ241" s="12"/>
      <c r="CK241" s="112" t="str">
        <f>F241</f>
        <v>Input - Peak &amp; Avg Calc</v>
      </c>
      <c r="CL241" s="76">
        <f t="shared" ref="CL241:CL273" si="570">IF(SUM(BS241:CI241)&lt;&gt;0,(ROUND(SUM(BS241:CI241),4)&lt;&gt;1)+0,0)</f>
        <v>0</v>
      </c>
      <c r="CM241" s="2">
        <f>$BR241*SUMPRODUCT($BS241:$CI241,INDEX(AllocFactors,CM$172,0))</f>
        <v>0</v>
      </c>
      <c r="CN241" s="2">
        <f t="shared" si="568"/>
        <v>0</v>
      </c>
      <c r="CO241" s="2">
        <f t="shared" si="568"/>
        <v>0</v>
      </c>
      <c r="CP241" s="2">
        <f t="shared" si="568"/>
        <v>0</v>
      </c>
      <c r="CQ241" s="2">
        <f t="shared" si="568"/>
        <v>0</v>
      </c>
      <c r="CR241" s="2">
        <f t="shared" si="568"/>
        <v>0</v>
      </c>
      <c r="CS241" s="28" t="s">
        <v>441</v>
      </c>
    </row>
    <row r="242" spans="1:97">
      <c r="A242" s="50">
        <f t="shared" si="434"/>
        <v>242</v>
      </c>
      <c r="B242" t="s">
        <v>26</v>
      </c>
      <c r="C242" s="36" t="s">
        <v>156</v>
      </c>
      <c r="D242" s="28" t="s">
        <v>27</v>
      </c>
      <c r="E242" s="373">
        <f>PROFORMA!AY107</f>
        <v>358000</v>
      </c>
      <c r="F242" s="60" t="s">
        <v>450</v>
      </c>
      <c r="G242" s="60"/>
      <c r="H242" s="2">
        <f>SUM(I242:N242)</f>
        <v>358000</v>
      </c>
      <c r="I242" s="2">
        <f t="shared" si="560"/>
        <v>350891.31684116658</v>
      </c>
      <c r="J242" s="2">
        <f t="shared" si="560"/>
        <v>7023.3803122596601</v>
      </c>
      <c r="K242" s="2">
        <f t="shared" si="560"/>
        <v>0</v>
      </c>
      <c r="L242" s="2">
        <f t="shared" si="560"/>
        <v>6.58774458688585</v>
      </c>
      <c r="M242" s="2">
        <f t="shared" si="560"/>
        <v>78.715101986892449</v>
      </c>
      <c r="N242" s="2">
        <f t="shared" si="560"/>
        <v>0</v>
      </c>
      <c r="O242" s="2"/>
      <c r="P242" s="61" t="str">
        <f>E$1&amp;$A242&amp;"*     """</f>
        <v>E242*     "</v>
      </c>
      <c r="Q242" s="61"/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76">
        <f t="shared" si="569"/>
        <v>0</v>
      </c>
      <c r="AK242" s="2">
        <f>SUM(AL242:AO242)</f>
        <v>358000</v>
      </c>
      <c r="AL242" s="2">
        <f t="shared" si="561"/>
        <v>0</v>
      </c>
      <c r="AM242" s="2">
        <f t="shared" si="561"/>
        <v>0</v>
      </c>
      <c r="AN242" s="2">
        <f t="shared" si="561"/>
        <v>358000</v>
      </c>
      <c r="AO242" s="2">
        <f t="shared" si="561"/>
        <v>0</v>
      </c>
      <c r="AP242" s="2"/>
      <c r="AQ242" s="61" t="str">
        <f>E$1&amp;$A242&amp;"*      """</f>
        <v>E242*      "</v>
      </c>
      <c r="AS242" s="2">
        <f>SUM(AT242:AY242)</f>
        <v>0</v>
      </c>
      <c r="AT242" s="2">
        <f t="shared" si="562"/>
        <v>0</v>
      </c>
      <c r="AU242" s="2">
        <f t="shared" si="562"/>
        <v>0</v>
      </c>
      <c r="AV242" s="2">
        <f t="shared" si="562"/>
        <v>0</v>
      </c>
      <c r="AW242" s="2">
        <f t="shared" si="562"/>
        <v>0</v>
      </c>
      <c r="AX242" s="2">
        <f t="shared" si="562"/>
        <v>0</v>
      </c>
      <c r="AY242" s="2">
        <f t="shared" si="562"/>
        <v>0</v>
      </c>
      <c r="BA242" s="2">
        <f>SUM(BB242:BG242)</f>
        <v>0</v>
      </c>
      <c r="BB242" s="2">
        <f t="shared" si="563"/>
        <v>0</v>
      </c>
      <c r="BC242" s="2">
        <f t="shared" si="563"/>
        <v>0</v>
      </c>
      <c r="BD242" s="2">
        <f t="shared" si="563"/>
        <v>0</v>
      </c>
      <c r="BE242" s="2">
        <f t="shared" si="563"/>
        <v>0</v>
      </c>
      <c r="BF242" s="2">
        <f t="shared" si="563"/>
        <v>0</v>
      </c>
      <c r="BG242" s="2">
        <f t="shared" si="563"/>
        <v>0</v>
      </c>
      <c r="BI242" s="2">
        <f>SUM(BJ242:BO242)</f>
        <v>358000</v>
      </c>
      <c r="BJ242" s="2">
        <f t="shared" si="564"/>
        <v>350891.31684116658</v>
      </c>
      <c r="BK242" s="2">
        <f t="shared" si="564"/>
        <v>7023.3803122596601</v>
      </c>
      <c r="BL242" s="2">
        <f t="shared" si="564"/>
        <v>0</v>
      </c>
      <c r="BM242" s="2">
        <f t="shared" si="564"/>
        <v>6.58774458688585</v>
      </c>
      <c r="BN242" s="2">
        <f t="shared" si="564"/>
        <v>78.715101986892449</v>
      </c>
      <c r="BO242" s="2">
        <f t="shared" si="564"/>
        <v>0</v>
      </c>
      <c r="BQ242" s="28" t="s">
        <v>27</v>
      </c>
      <c r="BR242" s="23">
        <v>14113.024016094851</v>
      </c>
      <c r="BS242" s="14">
        <f t="shared" si="565"/>
        <v>0</v>
      </c>
      <c r="BT242" s="14">
        <f t="shared" si="565"/>
        <v>0</v>
      </c>
      <c r="BU242" s="14">
        <f t="shared" si="565"/>
        <v>0</v>
      </c>
      <c r="BV242" s="14">
        <f t="shared" si="566"/>
        <v>0</v>
      </c>
      <c r="BW242" s="14">
        <f t="shared" si="566"/>
        <v>0</v>
      </c>
      <c r="BX242" s="14">
        <f t="shared" si="566"/>
        <v>0</v>
      </c>
      <c r="BY242" s="14">
        <f t="shared" si="566"/>
        <v>0</v>
      </c>
      <c r="BZ242" s="14">
        <f t="shared" si="566"/>
        <v>0</v>
      </c>
      <c r="CA242" s="14">
        <f t="shared" si="566"/>
        <v>0</v>
      </c>
      <c r="CB242" s="14">
        <f t="shared" si="566"/>
        <v>0</v>
      </c>
      <c r="CC242" s="14">
        <f t="shared" si="567"/>
        <v>1</v>
      </c>
      <c r="CD242" s="14">
        <f t="shared" si="567"/>
        <v>0</v>
      </c>
      <c r="CE242" s="14">
        <f t="shared" si="567"/>
        <v>0</v>
      </c>
      <c r="CF242" s="14">
        <f t="shared" si="567"/>
        <v>0</v>
      </c>
      <c r="CG242" s="14">
        <f t="shared" si="567"/>
        <v>0</v>
      </c>
      <c r="CH242" s="14">
        <f t="shared" si="567"/>
        <v>0</v>
      </c>
      <c r="CI242" s="14">
        <f t="shared" si="567"/>
        <v>0</v>
      </c>
      <c r="CJ242" s="14"/>
      <c r="CK242" s="112" t="str">
        <f>F242</f>
        <v>Input - 100% Cust</v>
      </c>
      <c r="CL242" s="76">
        <f t="shared" si="570"/>
        <v>0</v>
      </c>
      <c r="CM242" s="2">
        <f t="shared" si="568"/>
        <v>13832.786540833888</v>
      </c>
      <c r="CN242" s="2">
        <f t="shared" si="568"/>
        <v>276.87467882985567</v>
      </c>
      <c r="CO242" s="2">
        <f t="shared" si="568"/>
        <v>0</v>
      </c>
      <c r="CP242" s="2">
        <f t="shared" si="568"/>
        <v>0.2597011105212817</v>
      </c>
      <c r="CQ242" s="2">
        <f t="shared" si="568"/>
        <v>3.1030953205876219</v>
      </c>
      <c r="CR242" s="2">
        <f t="shared" si="568"/>
        <v>0</v>
      </c>
    </row>
    <row r="243" spans="1:97">
      <c r="A243" s="50">
        <f t="shared" si="434"/>
        <v>243</v>
      </c>
      <c r="B243" t="s">
        <v>28</v>
      </c>
      <c r="C243" s="36" t="s">
        <v>156</v>
      </c>
      <c r="D243" s="28" t="s">
        <v>349</v>
      </c>
      <c r="E243" s="373">
        <f>PROFORMA!AY108</f>
        <v>246000</v>
      </c>
      <c r="F243" s="60" t="s">
        <v>450</v>
      </c>
      <c r="G243" s="60"/>
      <c r="H243" s="2">
        <f>SUM(I243:N243)</f>
        <v>246000</v>
      </c>
      <c r="I243" s="2">
        <f t="shared" si="560"/>
        <v>241115.26241041056</v>
      </c>
      <c r="J243" s="2">
        <f t="shared" si="560"/>
        <v>4826.1216670834538</v>
      </c>
      <c r="K243" s="2">
        <f t="shared" si="560"/>
        <v>0</v>
      </c>
      <c r="L243" s="2">
        <f t="shared" si="560"/>
        <v>4.5267742133349698</v>
      </c>
      <c r="M243" s="2">
        <f t="shared" si="560"/>
        <v>54.089148292669115</v>
      </c>
      <c r="N243" s="2">
        <f t="shared" si="560"/>
        <v>0</v>
      </c>
      <c r="O243" s="2"/>
      <c r="P243" s="61" t="str">
        <f>E$1&amp;$A243&amp;"*     """</f>
        <v>E243*     "</v>
      </c>
      <c r="Q243" s="61"/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1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76">
        <f t="shared" si="569"/>
        <v>0</v>
      </c>
      <c r="AK243" s="2">
        <f>SUM(AL243:AO243)</f>
        <v>246000</v>
      </c>
      <c r="AL243" s="2">
        <f t="shared" si="561"/>
        <v>0</v>
      </c>
      <c r="AM243" s="2">
        <f t="shared" si="561"/>
        <v>0</v>
      </c>
      <c r="AN243" s="2">
        <f t="shared" si="561"/>
        <v>246000</v>
      </c>
      <c r="AO243" s="2">
        <f t="shared" si="561"/>
        <v>0</v>
      </c>
      <c r="AP243" s="2"/>
      <c r="AQ243" s="61" t="str">
        <f>E$1&amp;$A243&amp;"*      """</f>
        <v>E243*      "</v>
      </c>
      <c r="AS243" s="2">
        <f>SUM(AT243:AY243)</f>
        <v>0</v>
      </c>
      <c r="AT243" s="2">
        <f t="shared" si="562"/>
        <v>0</v>
      </c>
      <c r="AU243" s="2">
        <f t="shared" si="562"/>
        <v>0</v>
      </c>
      <c r="AV243" s="2">
        <f t="shared" si="562"/>
        <v>0</v>
      </c>
      <c r="AW243" s="2">
        <f t="shared" si="562"/>
        <v>0</v>
      </c>
      <c r="AX243" s="2">
        <f t="shared" si="562"/>
        <v>0</v>
      </c>
      <c r="AY243" s="2">
        <f t="shared" si="562"/>
        <v>0</v>
      </c>
      <c r="BA243" s="2">
        <f>SUM(BB243:BG243)</f>
        <v>0</v>
      </c>
      <c r="BB243" s="2">
        <f t="shared" si="563"/>
        <v>0</v>
      </c>
      <c r="BC243" s="2">
        <f t="shared" si="563"/>
        <v>0</v>
      </c>
      <c r="BD243" s="2">
        <f t="shared" si="563"/>
        <v>0</v>
      </c>
      <c r="BE243" s="2">
        <f t="shared" si="563"/>
        <v>0</v>
      </c>
      <c r="BF243" s="2">
        <f t="shared" si="563"/>
        <v>0</v>
      </c>
      <c r="BG243" s="2">
        <f t="shared" si="563"/>
        <v>0</v>
      </c>
      <c r="BI243" s="2">
        <f>SUM(BJ243:BO243)</f>
        <v>246000</v>
      </c>
      <c r="BJ243" s="2">
        <f t="shared" si="564"/>
        <v>241115.26241041056</v>
      </c>
      <c r="BK243" s="2">
        <f t="shared" si="564"/>
        <v>4826.1216670834538</v>
      </c>
      <c r="BL243" s="2">
        <f t="shared" si="564"/>
        <v>0</v>
      </c>
      <c r="BM243" s="2">
        <f t="shared" si="564"/>
        <v>4.5267742133349698</v>
      </c>
      <c r="BN243" s="2">
        <f t="shared" si="564"/>
        <v>54.089148292669115</v>
      </c>
      <c r="BO243" s="2">
        <f t="shared" si="564"/>
        <v>0</v>
      </c>
      <c r="BQ243" s="28" t="s">
        <v>349</v>
      </c>
      <c r="BR243" s="23">
        <v>21805.556647827496</v>
      </c>
      <c r="BS243" s="14">
        <f t="shared" si="565"/>
        <v>0</v>
      </c>
      <c r="BT243" s="14">
        <f t="shared" si="565"/>
        <v>0</v>
      </c>
      <c r="BU243" s="14">
        <f t="shared" si="565"/>
        <v>0</v>
      </c>
      <c r="BV243" s="14">
        <f t="shared" si="566"/>
        <v>0</v>
      </c>
      <c r="BW243" s="14">
        <f t="shared" si="566"/>
        <v>0</v>
      </c>
      <c r="BX243" s="14">
        <f t="shared" si="566"/>
        <v>0</v>
      </c>
      <c r="BY243" s="14">
        <f t="shared" si="566"/>
        <v>0</v>
      </c>
      <c r="BZ243" s="14">
        <f t="shared" si="566"/>
        <v>0</v>
      </c>
      <c r="CA243" s="14">
        <f t="shared" si="566"/>
        <v>0</v>
      </c>
      <c r="CB243" s="14">
        <f t="shared" si="566"/>
        <v>0</v>
      </c>
      <c r="CC243" s="14">
        <f t="shared" si="567"/>
        <v>1</v>
      </c>
      <c r="CD243" s="14">
        <f t="shared" si="567"/>
        <v>0</v>
      </c>
      <c r="CE243" s="14">
        <f t="shared" si="567"/>
        <v>0</v>
      </c>
      <c r="CF243" s="14">
        <f t="shared" si="567"/>
        <v>0</v>
      </c>
      <c r="CG243" s="14">
        <f t="shared" si="567"/>
        <v>0</v>
      </c>
      <c r="CH243" s="14">
        <f t="shared" si="567"/>
        <v>0</v>
      </c>
      <c r="CI243" s="14">
        <f t="shared" si="567"/>
        <v>0</v>
      </c>
      <c r="CJ243" s="14"/>
      <c r="CK243" s="112" t="str">
        <f>F243</f>
        <v>Input - 100% Cust</v>
      </c>
      <c r="CL243" s="76">
        <f t="shared" si="570"/>
        <v>0</v>
      </c>
      <c r="CM243" s="2">
        <f t="shared" si="568"/>
        <v>21372.571191650404</v>
      </c>
      <c r="CN243" s="2">
        <f t="shared" si="568"/>
        <v>427.78971301177199</v>
      </c>
      <c r="CO243" s="2">
        <f t="shared" si="568"/>
        <v>0</v>
      </c>
      <c r="CP243" s="2">
        <f t="shared" si="568"/>
        <v>0.40125541276748139</v>
      </c>
      <c r="CQ243" s="2">
        <f t="shared" si="568"/>
        <v>4.7944877525550336</v>
      </c>
      <c r="CR243" s="2">
        <f t="shared" si="568"/>
        <v>0</v>
      </c>
    </row>
    <row r="244" spans="1:97">
      <c r="A244" s="50">
        <f t="shared" si="434"/>
        <v>244</v>
      </c>
      <c r="D244" s="52" t="s">
        <v>29</v>
      </c>
      <c r="E244" s="4">
        <f>SUM(E238:E243)</f>
        <v>899000</v>
      </c>
      <c r="F244" s="62"/>
      <c r="G244" s="62"/>
      <c r="H244" s="4">
        <f>IF(ROUND(SUM(H238:H243),3)&lt;&gt;ROUND(SUM(I244:N244),3),#VALUE!,SUM(H238:H243))</f>
        <v>899000</v>
      </c>
      <c r="I244" s="4">
        <f t="shared" ref="I244:N244" si="571">SUM(I238:I243)</f>
        <v>881148.86547544354</v>
      </c>
      <c r="J244" s="4">
        <f t="shared" si="571"/>
        <v>17636.924303691158</v>
      </c>
      <c r="K244" s="4">
        <f t="shared" si="571"/>
        <v>0</v>
      </c>
      <c r="L244" s="4">
        <f t="shared" si="571"/>
        <v>16.542967551984301</v>
      </c>
      <c r="M244" s="4">
        <f t="shared" si="571"/>
        <v>197.66725331345339</v>
      </c>
      <c r="N244" s="4">
        <f t="shared" si="571"/>
        <v>0</v>
      </c>
      <c r="O244" s="5"/>
      <c r="P244" s="61" t="str">
        <f>$A238&amp;":"&amp;$A243</f>
        <v>238:243</v>
      </c>
      <c r="Q244" s="61"/>
      <c r="R244" s="16">
        <f t="shared" ref="R244:AH244" si="572">SUMPRODUCT($E$239:$E$243,R$239:R$243)/$E244</f>
        <v>0</v>
      </c>
      <c r="S244" s="16">
        <f t="shared" si="572"/>
        <v>0</v>
      </c>
      <c r="T244" s="16">
        <f t="shared" si="572"/>
        <v>0</v>
      </c>
      <c r="U244" s="16">
        <f t="shared" si="572"/>
        <v>0</v>
      </c>
      <c r="V244" s="16">
        <f t="shared" si="572"/>
        <v>0</v>
      </c>
      <c r="W244" s="16">
        <f t="shared" si="572"/>
        <v>0</v>
      </c>
      <c r="X244" s="16">
        <f t="shared" si="572"/>
        <v>0</v>
      </c>
      <c r="Y244" s="16">
        <f t="shared" si="572"/>
        <v>0</v>
      </c>
      <c r="Z244" s="16">
        <f t="shared" si="572"/>
        <v>0</v>
      </c>
      <c r="AA244" s="16">
        <f t="shared" si="572"/>
        <v>0</v>
      </c>
      <c r="AB244" s="16">
        <f t="shared" si="572"/>
        <v>1</v>
      </c>
      <c r="AC244" s="16">
        <f t="shared" si="572"/>
        <v>0</v>
      </c>
      <c r="AD244" s="16">
        <f t="shared" si="572"/>
        <v>0</v>
      </c>
      <c r="AE244" s="16">
        <f t="shared" si="572"/>
        <v>0</v>
      </c>
      <c r="AF244" s="16">
        <f t="shared" si="572"/>
        <v>0</v>
      </c>
      <c r="AG244" s="16">
        <f t="shared" si="572"/>
        <v>0</v>
      </c>
      <c r="AH244" s="16">
        <f t="shared" si="572"/>
        <v>0</v>
      </c>
      <c r="AI244" s="76">
        <f t="shared" si="569"/>
        <v>0</v>
      </c>
      <c r="AK244" s="4">
        <f>IF(ROUND(SUM(AK238:AK243),3)&lt;&gt;ROUND(SUM(AL244:AO244),3),#VALUE!,SUM(AK238:AK243))</f>
        <v>899000</v>
      </c>
      <c r="AL244" s="4">
        <f>SUM(AL238:AL243)</f>
        <v>0</v>
      </c>
      <c r="AM244" s="4">
        <f>SUM(AM238:AM243)</f>
        <v>0</v>
      </c>
      <c r="AN244" s="4">
        <f>SUM(AN238:AN243)</f>
        <v>899000</v>
      </c>
      <c r="AO244" s="4">
        <f>SUM(AO238:AO243)</f>
        <v>0</v>
      </c>
      <c r="AP244" s="5"/>
      <c r="AQ244" s="61" t="str">
        <f>$A238&amp;":"&amp;$A243</f>
        <v>238:243</v>
      </c>
      <c r="AS244" s="4">
        <f>IF(ROUND(SUM(AS238:AS243),3)&lt;&gt;ROUND(SUM(AT244:AY244),3),#VALUE!,SUM(AS238:AS243))</f>
        <v>0</v>
      </c>
      <c r="AT244" s="4">
        <f t="shared" ref="AT244:AY244" si="573">SUM(AT238:AT243)</f>
        <v>0</v>
      </c>
      <c r="AU244" s="4">
        <f t="shared" si="573"/>
        <v>0</v>
      </c>
      <c r="AV244" s="4">
        <f t="shared" si="573"/>
        <v>0</v>
      </c>
      <c r="AW244" s="4">
        <f t="shared" si="573"/>
        <v>0</v>
      </c>
      <c r="AX244" s="4">
        <f t="shared" si="573"/>
        <v>0</v>
      </c>
      <c r="AY244" s="4">
        <f t="shared" si="573"/>
        <v>0</v>
      </c>
      <c r="BA244" s="4">
        <f>IF(ROUND(SUM(BA238:BA243),3)&lt;&gt;ROUND(SUM(BB244:BG244),3),#VALUE!,SUM(BA238:BA243))</f>
        <v>0</v>
      </c>
      <c r="BB244" s="4">
        <f t="shared" ref="BB244:BG244" si="574">SUM(BB238:BB243)</f>
        <v>0</v>
      </c>
      <c r="BC244" s="4">
        <f t="shared" si="574"/>
        <v>0</v>
      </c>
      <c r="BD244" s="4">
        <f t="shared" si="574"/>
        <v>0</v>
      </c>
      <c r="BE244" s="4">
        <f t="shared" si="574"/>
        <v>0</v>
      </c>
      <c r="BF244" s="4">
        <f t="shared" si="574"/>
        <v>0</v>
      </c>
      <c r="BG244" s="4">
        <f t="shared" si="574"/>
        <v>0</v>
      </c>
      <c r="BI244" s="4">
        <f>IF(ROUND(SUM(BI238:BI243),3)&lt;&gt;ROUND(SUM(BJ244:BO244),3),#VALUE!,SUM(BI238:BI243))</f>
        <v>899000</v>
      </c>
      <c r="BJ244" s="4">
        <f t="shared" ref="BJ244:BO244" si="575">SUM(BJ238:BJ243)</f>
        <v>881148.86547544354</v>
      </c>
      <c r="BK244" s="4">
        <f t="shared" si="575"/>
        <v>17636.924303691158</v>
      </c>
      <c r="BL244" s="4">
        <f t="shared" si="575"/>
        <v>0</v>
      </c>
      <c r="BM244" s="4">
        <f t="shared" si="575"/>
        <v>16.542967551984301</v>
      </c>
      <c r="BN244" s="4">
        <f t="shared" si="575"/>
        <v>197.66725331345339</v>
      </c>
      <c r="BO244" s="4">
        <f t="shared" si="575"/>
        <v>0</v>
      </c>
      <c r="BQ244" s="52" t="s">
        <v>29</v>
      </c>
      <c r="BR244" s="48">
        <f>IF(ROUND(SUM(BR238:BR243),3)&lt;&gt;ROUND(SUM(CM244:CR244),3),#VALUE!,SUM(BR238:BR243))</f>
        <v>179698.64529919808</v>
      </c>
      <c r="BS244" s="16">
        <f>SUMPRODUCT($BR$239:$BR$243,BS$239:BS$243)/SUM($BR$239:$BR$243)</f>
        <v>0</v>
      </c>
      <c r="BT244" s="16">
        <f t="shared" ref="BT244:CI244" si="576">SUMPRODUCT($BR$239:$BR$243,BT$239:BT$243)/SUM($BR$239:$BR$243)</f>
        <v>0</v>
      </c>
      <c r="BU244" s="16">
        <f t="shared" si="576"/>
        <v>0</v>
      </c>
      <c r="BV244" s="16">
        <f t="shared" si="576"/>
        <v>0</v>
      </c>
      <c r="BW244" s="16">
        <f t="shared" si="576"/>
        <v>0</v>
      </c>
      <c r="BX244" s="16">
        <f t="shared" si="576"/>
        <v>0</v>
      </c>
      <c r="BY244" s="16">
        <f t="shared" si="576"/>
        <v>0</v>
      </c>
      <c r="BZ244" s="16">
        <f t="shared" si="576"/>
        <v>0</v>
      </c>
      <c r="CA244" s="16">
        <f t="shared" si="576"/>
        <v>0</v>
      </c>
      <c r="CB244" s="16">
        <f t="shared" si="576"/>
        <v>0</v>
      </c>
      <c r="CC244" s="16">
        <f t="shared" si="576"/>
        <v>1</v>
      </c>
      <c r="CD244" s="16">
        <f t="shared" si="576"/>
        <v>0</v>
      </c>
      <c r="CE244" s="16">
        <f t="shared" si="576"/>
        <v>0</v>
      </c>
      <c r="CF244" s="16">
        <f t="shared" si="576"/>
        <v>0</v>
      </c>
      <c r="CG244" s="16">
        <f t="shared" si="576"/>
        <v>0</v>
      </c>
      <c r="CH244" s="16">
        <f t="shared" si="576"/>
        <v>0</v>
      </c>
      <c r="CI244" s="16">
        <f t="shared" si="576"/>
        <v>0</v>
      </c>
      <c r="CJ244" s="42"/>
      <c r="CK244" s="42"/>
      <c r="CL244" s="76">
        <f t="shared" si="570"/>
        <v>0</v>
      </c>
      <c r="CM244" s="4">
        <f t="shared" ref="CM244:CR244" si="577">SUM(CM238:CM243)</f>
        <v>176130.43095980256</v>
      </c>
      <c r="CN244" s="4">
        <f>SUM(CN238:CN243)</f>
        <v>3525.3964456260328</v>
      </c>
      <c r="CO244" s="4">
        <f t="shared" si="577"/>
        <v>0</v>
      </c>
      <c r="CP244" s="4">
        <f t="shared" si="577"/>
        <v>3.3067284297221016</v>
      </c>
      <c r="CQ244" s="4">
        <f t="shared" si="577"/>
        <v>39.511165339756396</v>
      </c>
      <c r="CR244" s="4">
        <f t="shared" si="577"/>
        <v>0</v>
      </c>
    </row>
    <row r="245" spans="1:97">
      <c r="A245" s="50">
        <f t="shared" si="434"/>
        <v>245</v>
      </c>
      <c r="D245" s="10"/>
      <c r="E245" s="2"/>
      <c r="F245" s="60"/>
      <c r="G245" s="60"/>
      <c r="P245" s="61"/>
      <c r="Q245" s="61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76">
        <f t="shared" si="569"/>
        <v>0</v>
      </c>
      <c r="AQ245" s="61"/>
      <c r="BQ245" s="10"/>
      <c r="CL245" s="76">
        <f t="shared" si="570"/>
        <v>0</v>
      </c>
    </row>
    <row r="246" spans="1:97">
      <c r="A246" s="50">
        <f t="shared" si="434"/>
        <v>246</v>
      </c>
      <c r="D246" t="s">
        <v>30</v>
      </c>
      <c r="E246" s="2"/>
      <c r="F246" s="60"/>
      <c r="G246" s="60"/>
      <c r="P246" s="61"/>
      <c r="Q246" s="61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76">
        <f t="shared" si="569"/>
        <v>0</v>
      </c>
      <c r="AQ246" s="61"/>
      <c r="BQ246" t="s">
        <v>30</v>
      </c>
      <c r="CL246" s="76">
        <f t="shared" si="570"/>
        <v>0</v>
      </c>
    </row>
    <row r="247" spans="1:97">
      <c r="A247" s="50">
        <f t="shared" si="434"/>
        <v>247</v>
      </c>
      <c r="B247" t="s">
        <v>31</v>
      </c>
      <c r="C247" s="36" t="s">
        <v>156</v>
      </c>
      <c r="D247" s="28" t="s">
        <v>13</v>
      </c>
      <c r="E247" s="373">
        <f>PROFORMA!AY112</f>
        <v>1000</v>
      </c>
      <c r="F247" s="60" t="s">
        <v>450</v>
      </c>
      <c r="G247" s="60"/>
      <c r="H247" s="2">
        <f>SUM(I247:N247)</f>
        <v>1000.0000000000001</v>
      </c>
      <c r="I247" s="2">
        <f t="shared" ref="I247:N250" si="578">$E247*SUMPRODUCT($R247:$AH247,INDEX(AllocFactors,I$4,0))</f>
        <v>980.14334313175027</v>
      </c>
      <c r="J247" s="2">
        <f t="shared" si="578"/>
        <v>19.618380760501843</v>
      </c>
      <c r="K247" s="2">
        <f t="shared" si="578"/>
        <v>0</v>
      </c>
      <c r="L247" s="2">
        <f t="shared" si="578"/>
        <v>1.8401521192418575E-2</v>
      </c>
      <c r="M247" s="2">
        <f t="shared" si="578"/>
        <v>0.21987458655556552</v>
      </c>
      <c r="N247" s="2">
        <f t="shared" si="578"/>
        <v>0</v>
      </c>
      <c r="O247" s="2"/>
      <c r="P247" s="61" t="str">
        <f>E$1&amp;$A247&amp;"* Sum["&amp;$R$1&amp;$A247&amp;":"&amp;$AH$1&amp;$A247&amp;"* "&amp;Factors!D$1&amp;Factors!$A$58&amp;":"&amp;Factors!S$1&amp;Factors!$A$64&amp;"]"</f>
        <v>E247* Sum[R247:AH247* D1042:S1048]</v>
      </c>
      <c r="Q247" s="61"/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76">
        <f t="shared" si="569"/>
        <v>0</v>
      </c>
      <c r="AK247" s="2">
        <f>SUM(AL247:AO247)</f>
        <v>1000</v>
      </c>
      <c r="AL247" s="2">
        <f t="shared" ref="AL247:AO250" si="579">SUMIF($R$4:$AH$4,AL$5,$R247:$AH247)*$E247</f>
        <v>0</v>
      </c>
      <c r="AM247" s="2">
        <f t="shared" si="579"/>
        <v>0</v>
      </c>
      <c r="AN247" s="2">
        <f t="shared" si="579"/>
        <v>1000</v>
      </c>
      <c r="AO247" s="2">
        <f t="shared" si="579"/>
        <v>0</v>
      </c>
      <c r="AP247" s="2"/>
      <c r="AQ247" s="61" t="str">
        <f>E$1&amp;$A247&amp;"*["&amp;R$1&amp;$A247&amp;":"&amp;$AH$1&amp;$A247&amp;" when "&amp;R$1&amp;$A$4&amp;":"&amp;$AH$1&amp;$A$4&amp;" = E,D,C,or R]"</f>
        <v>E247*[R247:AH247 when R4:AH4 = E,D,C,or R]</v>
      </c>
      <c r="AS247" s="2">
        <f>SUM(AT247:AY247)</f>
        <v>0</v>
      </c>
      <c r="AT247" s="2">
        <f t="shared" ref="AT247:AY250" si="580">$E247*SUMPRODUCT($R247:$V247,INDEX(AllocFactors_E,AT$4,0))</f>
        <v>0</v>
      </c>
      <c r="AU247" s="2">
        <f t="shared" si="580"/>
        <v>0</v>
      </c>
      <c r="AV247" s="2">
        <f t="shared" si="580"/>
        <v>0</v>
      </c>
      <c r="AW247" s="2">
        <f t="shared" si="580"/>
        <v>0</v>
      </c>
      <c r="AX247" s="2">
        <f t="shared" si="580"/>
        <v>0</v>
      </c>
      <c r="AY247" s="2">
        <f t="shared" si="580"/>
        <v>0</v>
      </c>
      <c r="BA247" s="2">
        <f>SUM(BB247:BG247)</f>
        <v>0</v>
      </c>
      <c r="BB247" s="2">
        <f t="shared" ref="BB247:BG250" si="581">$E247*SUMPRODUCT($W247:$AA247,INDEX(AllocFactors_D,BB$4,0))</f>
        <v>0</v>
      </c>
      <c r="BC247" s="2">
        <f t="shared" si="581"/>
        <v>0</v>
      </c>
      <c r="BD247" s="2">
        <f t="shared" si="581"/>
        <v>0</v>
      </c>
      <c r="BE247" s="2">
        <f t="shared" si="581"/>
        <v>0</v>
      </c>
      <c r="BF247" s="2">
        <f t="shared" si="581"/>
        <v>0</v>
      </c>
      <c r="BG247" s="2">
        <f t="shared" si="581"/>
        <v>0</v>
      </c>
      <c r="BI247" s="2">
        <f>SUM(BJ247:BO247)</f>
        <v>1000.0000000000001</v>
      </c>
      <c r="BJ247" s="2">
        <f t="shared" ref="BJ247:BO250" si="582">$E247*SUMPRODUCT($AB247:$AG247,INDEX(AllocFactors_C,BJ$4,0))</f>
        <v>980.14334313175027</v>
      </c>
      <c r="BK247" s="2">
        <f t="shared" si="582"/>
        <v>19.618380760501843</v>
      </c>
      <c r="BL247" s="2">
        <f t="shared" si="582"/>
        <v>0</v>
      </c>
      <c r="BM247" s="2">
        <f t="shared" si="582"/>
        <v>1.8401521192418575E-2</v>
      </c>
      <c r="BN247" s="2">
        <f t="shared" si="582"/>
        <v>0.21987458655556552</v>
      </c>
      <c r="BO247" s="2">
        <f t="shared" si="582"/>
        <v>0</v>
      </c>
      <c r="BQ247" s="28" t="s">
        <v>13</v>
      </c>
      <c r="BR247" s="23">
        <v>0</v>
      </c>
      <c r="BS247" s="14">
        <f t="shared" ref="BS247:BU250" si="583">R247</f>
        <v>0</v>
      </c>
      <c r="BT247" s="14">
        <f t="shared" si="583"/>
        <v>0</v>
      </c>
      <c r="BU247" s="14">
        <f t="shared" si="583"/>
        <v>0</v>
      </c>
      <c r="BV247" s="14">
        <f t="shared" ref="BV247:CB250" si="584">U247</f>
        <v>0</v>
      </c>
      <c r="BW247" s="14">
        <f t="shared" si="584"/>
        <v>0</v>
      </c>
      <c r="BX247" s="14">
        <f t="shared" si="584"/>
        <v>0</v>
      </c>
      <c r="BY247" s="14">
        <f t="shared" si="584"/>
        <v>0</v>
      </c>
      <c r="BZ247" s="14">
        <f t="shared" si="584"/>
        <v>0</v>
      </c>
      <c r="CA247" s="14">
        <f t="shared" si="584"/>
        <v>0</v>
      </c>
      <c r="CB247" s="14">
        <f t="shared" si="584"/>
        <v>0</v>
      </c>
      <c r="CC247" s="14">
        <f t="shared" ref="CC247:CF250" si="585">AB247</f>
        <v>1</v>
      </c>
      <c r="CD247" s="14">
        <f t="shared" si="585"/>
        <v>0</v>
      </c>
      <c r="CE247" s="14">
        <f t="shared" si="585"/>
        <v>0</v>
      </c>
      <c r="CF247" s="14">
        <f t="shared" si="585"/>
        <v>0</v>
      </c>
      <c r="CG247" s="14">
        <f t="shared" ref="CG247:CI250" si="586">AF247</f>
        <v>0</v>
      </c>
      <c r="CH247" s="14">
        <f t="shared" si="586"/>
        <v>0</v>
      </c>
      <c r="CI247" s="14">
        <f t="shared" si="586"/>
        <v>0</v>
      </c>
      <c r="CJ247" s="14"/>
      <c r="CK247" s="112" t="str">
        <f>F247</f>
        <v>Input - 100% Cust</v>
      </c>
      <c r="CL247" s="76">
        <f t="shared" si="570"/>
        <v>0</v>
      </c>
      <c r="CM247" s="2">
        <f>$BR247*SUMPRODUCT($BS247:$CI247,INDEX(AllocFactors,CM$172,0))</f>
        <v>0</v>
      </c>
      <c r="CN247" s="2">
        <f t="shared" ref="CM247:CR250" si="587">$BR247*SUMPRODUCT($BS247:$CI247,INDEX(AllocFactors,CN$172,0))</f>
        <v>0</v>
      </c>
      <c r="CO247" s="2">
        <f t="shared" si="587"/>
        <v>0</v>
      </c>
      <c r="CP247" s="2">
        <f t="shared" si="587"/>
        <v>0</v>
      </c>
      <c r="CQ247" s="2">
        <f t="shared" si="587"/>
        <v>0</v>
      </c>
      <c r="CR247" s="2">
        <f t="shared" si="587"/>
        <v>0</v>
      </c>
    </row>
    <row r="248" spans="1:97">
      <c r="A248" s="50">
        <f t="shared" si="434"/>
        <v>248</v>
      </c>
      <c r="B248" t="s">
        <v>32</v>
      </c>
      <c r="C248" s="38" t="s">
        <v>156</v>
      </c>
      <c r="D248" s="28" t="s">
        <v>33</v>
      </c>
      <c r="E248" s="373">
        <f>PROFORMA!AY113</f>
        <v>0</v>
      </c>
      <c r="F248" s="60" t="s">
        <v>450</v>
      </c>
      <c r="G248" s="60"/>
      <c r="H248" s="2">
        <f>SUM(I248:N248)</f>
        <v>0</v>
      </c>
      <c r="I248" s="2">
        <f t="shared" si="578"/>
        <v>0</v>
      </c>
      <c r="J248" s="2">
        <f t="shared" si="578"/>
        <v>0</v>
      </c>
      <c r="K248" s="2">
        <f t="shared" si="578"/>
        <v>0</v>
      </c>
      <c r="L248" s="2">
        <f t="shared" si="578"/>
        <v>0</v>
      </c>
      <c r="M248" s="2">
        <f t="shared" si="578"/>
        <v>0</v>
      </c>
      <c r="N248" s="2">
        <f t="shared" si="578"/>
        <v>0</v>
      </c>
      <c r="O248" s="2"/>
      <c r="P248" s="61" t="str">
        <f>E$1&amp;$A248&amp;"*     """</f>
        <v>E248*     "</v>
      </c>
      <c r="Q248" s="61"/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76">
        <f t="shared" si="569"/>
        <v>0</v>
      </c>
      <c r="AK248" s="2">
        <f>SUM(AL248:AO248)</f>
        <v>0</v>
      </c>
      <c r="AL248" s="2">
        <f t="shared" si="579"/>
        <v>0</v>
      </c>
      <c r="AM248" s="2">
        <f t="shared" si="579"/>
        <v>0</v>
      </c>
      <c r="AN248" s="2">
        <f t="shared" si="579"/>
        <v>0</v>
      </c>
      <c r="AO248" s="2">
        <f t="shared" si="579"/>
        <v>0</v>
      </c>
      <c r="AP248" s="2"/>
      <c r="AQ248" s="61" t="str">
        <f>E$1&amp;$A248&amp;"*      """</f>
        <v>E248*      "</v>
      </c>
      <c r="AS248" s="2">
        <f>SUM(AT248:AY248)</f>
        <v>0</v>
      </c>
      <c r="AT248" s="2">
        <f t="shared" si="580"/>
        <v>0</v>
      </c>
      <c r="AU248" s="2">
        <f t="shared" si="580"/>
        <v>0</v>
      </c>
      <c r="AV248" s="2">
        <f t="shared" si="580"/>
        <v>0</v>
      </c>
      <c r="AW248" s="2">
        <f t="shared" si="580"/>
        <v>0</v>
      </c>
      <c r="AX248" s="2">
        <f t="shared" si="580"/>
        <v>0</v>
      </c>
      <c r="AY248" s="2">
        <f t="shared" si="580"/>
        <v>0</v>
      </c>
      <c r="BA248" s="2">
        <f>SUM(BB248:BG248)</f>
        <v>0</v>
      </c>
      <c r="BB248" s="2">
        <f t="shared" si="581"/>
        <v>0</v>
      </c>
      <c r="BC248" s="2">
        <f t="shared" si="581"/>
        <v>0</v>
      </c>
      <c r="BD248" s="2">
        <f t="shared" si="581"/>
        <v>0</v>
      </c>
      <c r="BE248" s="2">
        <f t="shared" si="581"/>
        <v>0</v>
      </c>
      <c r="BF248" s="2">
        <f t="shared" si="581"/>
        <v>0</v>
      </c>
      <c r="BG248" s="2">
        <f t="shared" si="581"/>
        <v>0</v>
      </c>
      <c r="BI248" s="2">
        <f>SUM(BJ248:BO248)</f>
        <v>0</v>
      </c>
      <c r="BJ248" s="2">
        <f t="shared" si="582"/>
        <v>0</v>
      </c>
      <c r="BK248" s="2">
        <f t="shared" si="582"/>
        <v>0</v>
      </c>
      <c r="BL248" s="2">
        <f t="shared" si="582"/>
        <v>0</v>
      </c>
      <c r="BM248" s="2">
        <f t="shared" si="582"/>
        <v>0</v>
      </c>
      <c r="BN248" s="2">
        <f t="shared" si="582"/>
        <v>0</v>
      </c>
      <c r="BO248" s="2">
        <f t="shared" si="582"/>
        <v>0</v>
      </c>
      <c r="BQ248" s="28" t="s">
        <v>33</v>
      </c>
      <c r="BR248" s="23">
        <v>0.4</v>
      </c>
      <c r="BS248" s="14">
        <f t="shared" si="583"/>
        <v>0</v>
      </c>
      <c r="BT248" s="14">
        <f t="shared" si="583"/>
        <v>0</v>
      </c>
      <c r="BU248" s="14">
        <f t="shared" si="583"/>
        <v>0</v>
      </c>
      <c r="BV248" s="14">
        <f t="shared" si="584"/>
        <v>0</v>
      </c>
      <c r="BW248" s="14">
        <f t="shared" si="584"/>
        <v>0</v>
      </c>
      <c r="BX248" s="14">
        <f t="shared" si="584"/>
        <v>0</v>
      </c>
      <c r="BY248" s="14">
        <f t="shared" si="584"/>
        <v>0</v>
      </c>
      <c r="BZ248" s="14">
        <f t="shared" si="584"/>
        <v>0</v>
      </c>
      <c r="CA248" s="14">
        <f t="shared" si="584"/>
        <v>0</v>
      </c>
      <c r="CB248" s="14">
        <f t="shared" si="584"/>
        <v>0</v>
      </c>
      <c r="CC248" s="14">
        <f t="shared" si="585"/>
        <v>1</v>
      </c>
      <c r="CD248" s="14">
        <f t="shared" si="585"/>
        <v>0</v>
      </c>
      <c r="CE248" s="14">
        <f t="shared" si="585"/>
        <v>0</v>
      </c>
      <c r="CF248" s="14">
        <f t="shared" si="585"/>
        <v>0</v>
      </c>
      <c r="CG248" s="14">
        <f t="shared" si="586"/>
        <v>0</v>
      </c>
      <c r="CH248" s="14">
        <f t="shared" si="586"/>
        <v>0</v>
      </c>
      <c r="CI248" s="14">
        <f t="shared" si="586"/>
        <v>0</v>
      </c>
      <c r="CJ248" s="14"/>
      <c r="CK248" s="112" t="str">
        <f>F248</f>
        <v>Input - 100% Cust</v>
      </c>
      <c r="CL248" s="76">
        <f t="shared" si="570"/>
        <v>0</v>
      </c>
      <c r="CM248" s="2">
        <f>$BR248*SUMPRODUCT($BS248:$CI248,INDEX(AllocFactors,CM$172,0))</f>
        <v>0.39205733725270009</v>
      </c>
      <c r="CN248" s="2">
        <f>$BR248*SUMPRODUCT($BS248:$CI248,INDEX(AllocFactors,CN$172,0))</f>
        <v>7.8473523042007377E-3</v>
      </c>
      <c r="CO248" s="2">
        <f t="shared" si="587"/>
        <v>0</v>
      </c>
      <c r="CP248" s="2">
        <f t="shared" si="587"/>
        <v>7.3606084769674303E-6</v>
      </c>
      <c r="CQ248" s="2">
        <f t="shared" si="587"/>
        <v>8.7949834622226211E-5</v>
      </c>
      <c r="CR248" s="2">
        <f t="shared" si="587"/>
        <v>0</v>
      </c>
    </row>
    <row r="249" spans="1:97">
      <c r="A249" s="50">
        <f t="shared" si="434"/>
        <v>249</v>
      </c>
      <c r="B249" t="s">
        <v>34</v>
      </c>
      <c r="C249" s="36" t="s">
        <v>156</v>
      </c>
      <c r="D249" s="28" t="s">
        <v>35</v>
      </c>
      <c r="E249" s="373">
        <f>PROFORMA!AY114</f>
        <v>0</v>
      </c>
      <c r="F249" s="60" t="s">
        <v>450</v>
      </c>
      <c r="G249" s="60"/>
      <c r="H249" s="2">
        <f>SUM(I249:N249)</f>
        <v>0</v>
      </c>
      <c r="I249" s="2">
        <f t="shared" si="578"/>
        <v>0</v>
      </c>
      <c r="J249" s="2">
        <f t="shared" si="578"/>
        <v>0</v>
      </c>
      <c r="K249" s="2">
        <f t="shared" si="578"/>
        <v>0</v>
      </c>
      <c r="L249" s="2">
        <f t="shared" si="578"/>
        <v>0</v>
      </c>
      <c r="M249" s="2">
        <f t="shared" si="578"/>
        <v>0</v>
      </c>
      <c r="N249" s="2">
        <f t="shared" si="578"/>
        <v>0</v>
      </c>
      <c r="O249" s="2"/>
      <c r="P249" s="61" t="str">
        <f>E$1&amp;$A249&amp;"*     """</f>
        <v>E249*     "</v>
      </c>
      <c r="Q249" s="61"/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76">
        <f t="shared" si="569"/>
        <v>0</v>
      </c>
      <c r="AK249" s="2">
        <f>SUM(AL249:AO249)</f>
        <v>0</v>
      </c>
      <c r="AL249" s="2">
        <f t="shared" si="579"/>
        <v>0</v>
      </c>
      <c r="AM249" s="2">
        <f t="shared" si="579"/>
        <v>0</v>
      </c>
      <c r="AN249" s="2">
        <f t="shared" si="579"/>
        <v>0</v>
      </c>
      <c r="AO249" s="2">
        <f t="shared" si="579"/>
        <v>0</v>
      </c>
      <c r="AP249" s="2"/>
      <c r="AQ249" s="61" t="str">
        <f>E$1&amp;$A249&amp;"*      """</f>
        <v>E249*      "</v>
      </c>
      <c r="AS249" s="2">
        <f>SUM(AT249:AY249)</f>
        <v>0</v>
      </c>
      <c r="AT249" s="2">
        <f t="shared" si="580"/>
        <v>0</v>
      </c>
      <c r="AU249" s="2">
        <f t="shared" si="580"/>
        <v>0</v>
      </c>
      <c r="AV249" s="2">
        <f t="shared" si="580"/>
        <v>0</v>
      </c>
      <c r="AW249" s="2">
        <f t="shared" si="580"/>
        <v>0</v>
      </c>
      <c r="AX249" s="2">
        <f t="shared" si="580"/>
        <v>0</v>
      </c>
      <c r="AY249" s="2">
        <f t="shared" si="580"/>
        <v>0</v>
      </c>
      <c r="BA249" s="2">
        <f>SUM(BB249:BG249)</f>
        <v>0</v>
      </c>
      <c r="BB249" s="2">
        <f t="shared" si="581"/>
        <v>0</v>
      </c>
      <c r="BC249" s="2">
        <f t="shared" si="581"/>
        <v>0</v>
      </c>
      <c r="BD249" s="2">
        <f t="shared" si="581"/>
        <v>0</v>
      </c>
      <c r="BE249" s="2">
        <f t="shared" si="581"/>
        <v>0</v>
      </c>
      <c r="BF249" s="2">
        <f t="shared" si="581"/>
        <v>0</v>
      </c>
      <c r="BG249" s="2">
        <f t="shared" si="581"/>
        <v>0</v>
      </c>
      <c r="BI249" s="2">
        <f>SUM(BJ249:BO249)</f>
        <v>0</v>
      </c>
      <c r="BJ249" s="2">
        <f t="shared" si="582"/>
        <v>0</v>
      </c>
      <c r="BK249" s="2">
        <f t="shared" si="582"/>
        <v>0</v>
      </c>
      <c r="BL249" s="2">
        <f t="shared" si="582"/>
        <v>0</v>
      </c>
      <c r="BM249" s="2">
        <f t="shared" si="582"/>
        <v>0</v>
      </c>
      <c r="BN249" s="2">
        <f t="shared" si="582"/>
        <v>0</v>
      </c>
      <c r="BO249" s="2">
        <f t="shared" si="582"/>
        <v>0</v>
      </c>
      <c r="BQ249" s="28" t="s">
        <v>35</v>
      </c>
      <c r="BR249" s="23">
        <v>0</v>
      </c>
      <c r="BS249" s="14">
        <f t="shared" si="583"/>
        <v>0</v>
      </c>
      <c r="BT249" s="14">
        <f t="shared" si="583"/>
        <v>0</v>
      </c>
      <c r="BU249" s="14">
        <f t="shared" si="583"/>
        <v>0</v>
      </c>
      <c r="BV249" s="14">
        <f t="shared" si="584"/>
        <v>0</v>
      </c>
      <c r="BW249" s="14">
        <f t="shared" si="584"/>
        <v>0</v>
      </c>
      <c r="BX249" s="14">
        <f t="shared" si="584"/>
        <v>0</v>
      </c>
      <c r="BY249" s="14">
        <f t="shared" si="584"/>
        <v>0</v>
      </c>
      <c r="BZ249" s="14">
        <f t="shared" si="584"/>
        <v>0</v>
      </c>
      <c r="CA249" s="14">
        <f t="shared" si="584"/>
        <v>0</v>
      </c>
      <c r="CB249" s="14">
        <f t="shared" si="584"/>
        <v>0</v>
      </c>
      <c r="CC249" s="14">
        <f t="shared" si="585"/>
        <v>1</v>
      </c>
      <c r="CD249" s="14">
        <f t="shared" si="585"/>
        <v>0</v>
      </c>
      <c r="CE249" s="14">
        <f t="shared" si="585"/>
        <v>0</v>
      </c>
      <c r="CF249" s="14">
        <f t="shared" si="585"/>
        <v>0</v>
      </c>
      <c r="CG249" s="14">
        <f t="shared" si="586"/>
        <v>0</v>
      </c>
      <c r="CH249" s="14">
        <f t="shared" si="586"/>
        <v>0</v>
      </c>
      <c r="CI249" s="14">
        <f t="shared" si="586"/>
        <v>0</v>
      </c>
      <c r="CJ249" s="14"/>
      <c r="CK249" s="112" t="str">
        <f>F249</f>
        <v>Input - 100% Cust</v>
      </c>
      <c r="CL249" s="76">
        <f t="shared" si="570"/>
        <v>0</v>
      </c>
      <c r="CM249" s="2">
        <f t="shared" si="587"/>
        <v>0</v>
      </c>
      <c r="CN249" s="2">
        <f t="shared" si="587"/>
        <v>0</v>
      </c>
      <c r="CO249" s="2">
        <f t="shared" si="587"/>
        <v>0</v>
      </c>
      <c r="CP249" s="2">
        <f t="shared" si="587"/>
        <v>0</v>
      </c>
      <c r="CQ249" s="2">
        <f t="shared" si="587"/>
        <v>0</v>
      </c>
      <c r="CR249" s="2">
        <f t="shared" si="587"/>
        <v>0</v>
      </c>
    </row>
    <row r="250" spans="1:97">
      <c r="A250" s="50">
        <f t="shared" si="434"/>
        <v>250</v>
      </c>
      <c r="B250" t="s">
        <v>36</v>
      </c>
      <c r="C250" s="36" t="s">
        <v>156</v>
      </c>
      <c r="D250" s="28" t="s">
        <v>37</v>
      </c>
      <c r="E250" s="373">
        <f>PROFORMA!AY115</f>
        <v>0</v>
      </c>
      <c r="F250" s="60" t="s">
        <v>450</v>
      </c>
      <c r="G250" s="60"/>
      <c r="H250" s="2">
        <f>SUM(I250:N250)</f>
        <v>0</v>
      </c>
      <c r="I250" s="2">
        <f t="shared" si="578"/>
        <v>0</v>
      </c>
      <c r="J250" s="2">
        <f t="shared" si="578"/>
        <v>0</v>
      </c>
      <c r="K250" s="2">
        <f t="shared" si="578"/>
        <v>0</v>
      </c>
      <c r="L250" s="2">
        <f t="shared" si="578"/>
        <v>0</v>
      </c>
      <c r="M250" s="2">
        <f t="shared" si="578"/>
        <v>0</v>
      </c>
      <c r="N250" s="2">
        <f t="shared" si="578"/>
        <v>0</v>
      </c>
      <c r="O250" s="2"/>
      <c r="P250" s="61" t="str">
        <f>E$1&amp;$A250&amp;"*     """</f>
        <v>E250*     "</v>
      </c>
      <c r="Q250" s="61"/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1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76">
        <f t="shared" si="569"/>
        <v>0</v>
      </c>
      <c r="AK250" s="2">
        <f>SUM(AL250:AO250)</f>
        <v>0</v>
      </c>
      <c r="AL250" s="2">
        <f t="shared" si="579"/>
        <v>0</v>
      </c>
      <c r="AM250" s="2">
        <f t="shared" si="579"/>
        <v>0</v>
      </c>
      <c r="AN250" s="2">
        <f t="shared" si="579"/>
        <v>0</v>
      </c>
      <c r="AO250" s="2">
        <f t="shared" si="579"/>
        <v>0</v>
      </c>
      <c r="AP250" s="2"/>
      <c r="AQ250" s="61" t="str">
        <f>E$1&amp;$A250&amp;"*      """</f>
        <v>E250*      "</v>
      </c>
      <c r="AS250" s="2">
        <f>SUM(AT250:AY250)</f>
        <v>0</v>
      </c>
      <c r="AT250" s="2">
        <f t="shared" si="580"/>
        <v>0</v>
      </c>
      <c r="AU250" s="2">
        <f t="shared" si="580"/>
        <v>0</v>
      </c>
      <c r="AV250" s="2">
        <f t="shared" si="580"/>
        <v>0</v>
      </c>
      <c r="AW250" s="2">
        <f t="shared" si="580"/>
        <v>0</v>
      </c>
      <c r="AX250" s="2">
        <f t="shared" si="580"/>
        <v>0</v>
      </c>
      <c r="AY250" s="2">
        <f t="shared" si="580"/>
        <v>0</v>
      </c>
      <c r="BA250" s="2">
        <f>SUM(BB250:BG250)</f>
        <v>0</v>
      </c>
      <c r="BB250" s="2">
        <f t="shared" si="581"/>
        <v>0</v>
      </c>
      <c r="BC250" s="2">
        <f t="shared" si="581"/>
        <v>0</v>
      </c>
      <c r="BD250" s="2">
        <f t="shared" si="581"/>
        <v>0</v>
      </c>
      <c r="BE250" s="2">
        <f t="shared" si="581"/>
        <v>0</v>
      </c>
      <c r="BF250" s="2">
        <f t="shared" si="581"/>
        <v>0</v>
      </c>
      <c r="BG250" s="2">
        <f t="shared" si="581"/>
        <v>0</v>
      </c>
      <c r="BI250" s="2">
        <f>SUM(BJ250:BO250)</f>
        <v>0</v>
      </c>
      <c r="BJ250" s="2">
        <f t="shared" si="582"/>
        <v>0</v>
      </c>
      <c r="BK250" s="2">
        <f t="shared" si="582"/>
        <v>0</v>
      </c>
      <c r="BL250" s="2">
        <f t="shared" si="582"/>
        <v>0</v>
      </c>
      <c r="BM250" s="2">
        <f t="shared" si="582"/>
        <v>0</v>
      </c>
      <c r="BN250" s="2">
        <f t="shared" si="582"/>
        <v>0</v>
      </c>
      <c r="BO250" s="2">
        <f t="shared" si="582"/>
        <v>0</v>
      </c>
      <c r="BQ250" s="28" t="s">
        <v>37</v>
      </c>
      <c r="BR250" s="23">
        <v>0</v>
      </c>
      <c r="BS250" s="14">
        <f t="shared" si="583"/>
        <v>0</v>
      </c>
      <c r="BT250" s="14">
        <f t="shared" si="583"/>
        <v>0</v>
      </c>
      <c r="BU250" s="14">
        <f t="shared" si="583"/>
        <v>0</v>
      </c>
      <c r="BV250" s="14">
        <f t="shared" si="584"/>
        <v>0</v>
      </c>
      <c r="BW250" s="14">
        <f t="shared" si="584"/>
        <v>0</v>
      </c>
      <c r="BX250" s="14">
        <f t="shared" si="584"/>
        <v>0</v>
      </c>
      <c r="BY250" s="14">
        <f t="shared" si="584"/>
        <v>0</v>
      </c>
      <c r="BZ250" s="14">
        <f t="shared" si="584"/>
        <v>0</v>
      </c>
      <c r="CA250" s="14">
        <f t="shared" si="584"/>
        <v>0</v>
      </c>
      <c r="CB250" s="14">
        <f t="shared" si="584"/>
        <v>0</v>
      </c>
      <c r="CC250" s="14">
        <f t="shared" si="585"/>
        <v>1</v>
      </c>
      <c r="CD250" s="14">
        <f t="shared" si="585"/>
        <v>0</v>
      </c>
      <c r="CE250" s="14">
        <f t="shared" si="585"/>
        <v>0</v>
      </c>
      <c r="CF250" s="14">
        <f t="shared" si="585"/>
        <v>0</v>
      </c>
      <c r="CG250" s="14">
        <f t="shared" si="586"/>
        <v>0</v>
      </c>
      <c r="CH250" s="14">
        <f t="shared" si="586"/>
        <v>0</v>
      </c>
      <c r="CI250" s="14">
        <f t="shared" si="586"/>
        <v>0</v>
      </c>
      <c r="CJ250" s="14"/>
      <c r="CK250" s="112" t="str">
        <f>F250</f>
        <v>Input - 100% Cust</v>
      </c>
      <c r="CL250" s="76">
        <f t="shared" si="570"/>
        <v>0</v>
      </c>
      <c r="CM250" s="2">
        <f t="shared" si="587"/>
        <v>0</v>
      </c>
      <c r="CN250" s="2">
        <f t="shared" si="587"/>
        <v>0</v>
      </c>
      <c r="CO250" s="2">
        <f t="shared" si="587"/>
        <v>0</v>
      </c>
      <c r="CP250" s="2">
        <f t="shared" si="587"/>
        <v>0</v>
      </c>
      <c r="CQ250" s="2">
        <f t="shared" si="587"/>
        <v>0</v>
      </c>
      <c r="CR250" s="2">
        <f t="shared" si="587"/>
        <v>0</v>
      </c>
    </row>
    <row r="251" spans="1:97">
      <c r="A251" s="50">
        <f t="shared" si="434"/>
        <v>251</v>
      </c>
      <c r="D251" s="52" t="s">
        <v>38</v>
      </c>
      <c r="E251" s="4">
        <f>SUM(E246:E250)</f>
        <v>1000</v>
      </c>
      <c r="F251" s="62"/>
      <c r="G251" s="62"/>
      <c r="H251" s="4">
        <f>IF(ROUND(SUM(H246:H250),3)&lt;&gt;ROUND(SUM(I251:N251),3),#VALUE!,SUM(H246:H250))</f>
        <v>1000.0000000000001</v>
      </c>
      <c r="I251" s="4">
        <f t="shared" ref="I251:N251" si="588">SUM(I246:I250)</f>
        <v>980.14334313175027</v>
      </c>
      <c r="J251" s="4">
        <f t="shared" si="588"/>
        <v>19.618380760501843</v>
      </c>
      <c r="K251" s="4">
        <f t="shared" si="588"/>
        <v>0</v>
      </c>
      <c r="L251" s="4">
        <f t="shared" si="588"/>
        <v>1.8401521192418575E-2</v>
      </c>
      <c r="M251" s="4">
        <f t="shared" si="588"/>
        <v>0.21987458655556552</v>
      </c>
      <c r="N251" s="4">
        <f t="shared" si="588"/>
        <v>0</v>
      </c>
      <c r="O251" s="5"/>
      <c r="P251" s="61" t="str">
        <f>$A246&amp;":"&amp;$A250</f>
        <v>246:250</v>
      </c>
      <c r="Q251" s="61"/>
      <c r="R251" s="16">
        <f t="shared" ref="R251:AH251" si="589">SUMPRODUCT($E$247:$E$250,R$247:R$250)/$E251</f>
        <v>0</v>
      </c>
      <c r="S251" s="16">
        <f>SUMPRODUCT($E$247:$E$250,S$247:S$250)/$E251</f>
        <v>0</v>
      </c>
      <c r="T251" s="16">
        <f t="shared" si="589"/>
        <v>0</v>
      </c>
      <c r="U251" s="16">
        <f t="shared" si="589"/>
        <v>0</v>
      </c>
      <c r="V251" s="16">
        <f t="shared" si="589"/>
        <v>0</v>
      </c>
      <c r="W251" s="16">
        <f t="shared" si="589"/>
        <v>0</v>
      </c>
      <c r="X251" s="16">
        <f t="shared" si="589"/>
        <v>0</v>
      </c>
      <c r="Y251" s="16">
        <f t="shared" si="589"/>
        <v>0</v>
      </c>
      <c r="Z251" s="16">
        <f t="shared" si="589"/>
        <v>0</v>
      </c>
      <c r="AA251" s="16">
        <f t="shared" si="589"/>
        <v>0</v>
      </c>
      <c r="AB251" s="16">
        <f t="shared" si="589"/>
        <v>1</v>
      </c>
      <c r="AC251" s="16">
        <f t="shared" si="589"/>
        <v>0</v>
      </c>
      <c r="AD251" s="16">
        <f t="shared" si="589"/>
        <v>0</v>
      </c>
      <c r="AE251" s="16">
        <f t="shared" si="589"/>
        <v>0</v>
      </c>
      <c r="AF251" s="16">
        <f t="shared" si="589"/>
        <v>0</v>
      </c>
      <c r="AG251" s="16">
        <f t="shared" si="589"/>
        <v>0</v>
      </c>
      <c r="AH251" s="16">
        <f t="shared" si="589"/>
        <v>0</v>
      </c>
      <c r="AI251" s="76">
        <f t="shared" si="569"/>
        <v>0</v>
      </c>
      <c r="AK251" s="4">
        <f>IF(ROUND(SUM(AK246:AK250),3)&lt;&gt;ROUND(SUM(AL251:AO251),3),#VALUE!,SUM(AK246:AK250))</f>
        <v>1000</v>
      </c>
      <c r="AL251" s="4">
        <f>SUM(AL246:AL250)</f>
        <v>0</v>
      </c>
      <c r="AM251" s="4">
        <f>SUM(AM246:AM250)</f>
        <v>0</v>
      </c>
      <c r="AN251" s="4">
        <f>SUM(AN246:AN250)</f>
        <v>1000</v>
      </c>
      <c r="AO251" s="4">
        <f>SUM(AO246:AO250)</f>
        <v>0</v>
      </c>
      <c r="AP251" s="5"/>
      <c r="AQ251" s="61" t="str">
        <f>$A246&amp;":"&amp;$A250</f>
        <v>246:250</v>
      </c>
      <c r="AS251" s="4">
        <f>IF(ROUND(SUM(AS246:AS250),3)&lt;&gt;ROUND(SUM(AT251:AY251),3),#VALUE!,SUM(AS246:AS250))</f>
        <v>0</v>
      </c>
      <c r="AT251" s="4">
        <f t="shared" ref="AT251:AY251" si="590">SUM(AT246:AT250)</f>
        <v>0</v>
      </c>
      <c r="AU251" s="4">
        <f t="shared" si="590"/>
        <v>0</v>
      </c>
      <c r="AV251" s="4">
        <f t="shared" si="590"/>
        <v>0</v>
      </c>
      <c r="AW251" s="4">
        <f t="shared" si="590"/>
        <v>0</v>
      </c>
      <c r="AX251" s="4">
        <f t="shared" si="590"/>
        <v>0</v>
      </c>
      <c r="AY251" s="4">
        <f t="shared" si="590"/>
        <v>0</v>
      </c>
      <c r="BA251" s="4">
        <f>IF(ROUND(SUM(BA246:BA250),3)&lt;&gt;ROUND(SUM(BB251:BG251),3),#VALUE!,SUM(BA246:BA250))</f>
        <v>0</v>
      </c>
      <c r="BB251" s="4">
        <f t="shared" ref="BB251:BG251" si="591">SUM(BB246:BB250)</f>
        <v>0</v>
      </c>
      <c r="BC251" s="4">
        <f t="shared" si="591"/>
        <v>0</v>
      </c>
      <c r="BD251" s="4">
        <f t="shared" si="591"/>
        <v>0</v>
      </c>
      <c r="BE251" s="4">
        <f t="shared" si="591"/>
        <v>0</v>
      </c>
      <c r="BF251" s="4">
        <f t="shared" si="591"/>
        <v>0</v>
      </c>
      <c r="BG251" s="4">
        <f t="shared" si="591"/>
        <v>0</v>
      </c>
      <c r="BI251" s="4">
        <f>IF(ROUND(SUM(BI246:BI250),3)&lt;&gt;ROUND(SUM(BJ251:BO251),3),#VALUE!,SUM(BI246:BI250))</f>
        <v>1000.0000000000001</v>
      </c>
      <c r="BJ251" s="4">
        <f t="shared" ref="BJ251:BO251" si="592">SUM(BJ246:BJ250)</f>
        <v>980.14334313175027</v>
      </c>
      <c r="BK251" s="4">
        <f t="shared" si="592"/>
        <v>19.618380760501843</v>
      </c>
      <c r="BL251" s="4">
        <f t="shared" si="592"/>
        <v>0</v>
      </c>
      <c r="BM251" s="4">
        <f t="shared" si="592"/>
        <v>1.8401521192418575E-2</v>
      </c>
      <c r="BN251" s="4">
        <f t="shared" si="592"/>
        <v>0.21987458655556552</v>
      </c>
      <c r="BO251" s="4">
        <f t="shared" si="592"/>
        <v>0</v>
      </c>
      <c r="BQ251" s="52" t="s">
        <v>38</v>
      </c>
      <c r="BR251" s="48">
        <f>IF(ROUND(SUM(BR246:BR250),3)&lt;&gt;ROUND(SUM(CM251:CR251),3),#VALUE!,SUM(BR246:BR250))</f>
        <v>0.4</v>
      </c>
      <c r="BS251" s="16">
        <f>SUMPRODUCT($BR$247:$BR$250,BS$247:BS$250)/SUM($BR$247:$BR$250)</f>
        <v>0</v>
      </c>
      <c r="BT251" s="16">
        <f t="shared" ref="BT251:CI251" si="593">SUMPRODUCT($BR$247:$BR$250,BT$247:BT$250)/SUM($BR$247:$BR$250)</f>
        <v>0</v>
      </c>
      <c r="BU251" s="16">
        <f t="shared" si="593"/>
        <v>0</v>
      </c>
      <c r="BV251" s="16">
        <f t="shared" si="593"/>
        <v>0</v>
      </c>
      <c r="BW251" s="16">
        <f t="shared" si="593"/>
        <v>0</v>
      </c>
      <c r="BX251" s="16">
        <f t="shared" si="593"/>
        <v>0</v>
      </c>
      <c r="BY251" s="16">
        <f t="shared" si="593"/>
        <v>0</v>
      </c>
      <c r="BZ251" s="16">
        <f t="shared" si="593"/>
        <v>0</v>
      </c>
      <c r="CA251" s="16">
        <f t="shared" si="593"/>
        <v>0</v>
      </c>
      <c r="CB251" s="16">
        <f t="shared" si="593"/>
        <v>0</v>
      </c>
      <c r="CC251" s="16">
        <f t="shared" si="593"/>
        <v>1</v>
      </c>
      <c r="CD251" s="16">
        <f t="shared" si="593"/>
        <v>0</v>
      </c>
      <c r="CE251" s="16">
        <f t="shared" si="593"/>
        <v>0</v>
      </c>
      <c r="CF251" s="16">
        <f t="shared" si="593"/>
        <v>0</v>
      </c>
      <c r="CG251" s="16">
        <f t="shared" si="593"/>
        <v>0</v>
      </c>
      <c r="CH251" s="16">
        <f t="shared" si="593"/>
        <v>0</v>
      </c>
      <c r="CI251" s="16">
        <f t="shared" si="593"/>
        <v>0</v>
      </c>
      <c r="CJ251" s="42"/>
      <c r="CK251" s="42"/>
      <c r="CL251" s="76">
        <f t="shared" si="570"/>
        <v>0</v>
      </c>
      <c r="CM251" s="4">
        <f t="shared" ref="CM251:CR251" si="594">SUM(CM246:CM250)</f>
        <v>0.39205733725270009</v>
      </c>
      <c r="CN251" s="4">
        <f t="shared" si="594"/>
        <v>7.8473523042007377E-3</v>
      </c>
      <c r="CO251" s="4">
        <f t="shared" si="594"/>
        <v>0</v>
      </c>
      <c r="CP251" s="4">
        <f t="shared" si="594"/>
        <v>7.3606084769674303E-6</v>
      </c>
      <c r="CQ251" s="4">
        <f t="shared" si="594"/>
        <v>8.7949834622226211E-5</v>
      </c>
      <c r="CR251" s="4">
        <f t="shared" si="594"/>
        <v>0</v>
      </c>
    </row>
    <row r="252" spans="1:97">
      <c r="A252" s="50">
        <f t="shared" si="434"/>
        <v>252</v>
      </c>
      <c r="E252" s="2"/>
      <c r="F252" s="60"/>
      <c r="G252" s="60"/>
      <c r="P252" s="61"/>
      <c r="Q252" s="61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76">
        <f t="shared" si="569"/>
        <v>0</v>
      </c>
      <c r="AQ252" s="61"/>
      <c r="CL252" s="76">
        <f t="shared" si="570"/>
        <v>0</v>
      </c>
    </row>
    <row r="253" spans="1:97" ht="13.5">
      <c r="A253" s="50">
        <f t="shared" si="434"/>
        <v>253</v>
      </c>
      <c r="D253" t="s">
        <v>39</v>
      </c>
      <c r="E253" s="21">
        <f>E180+E204+E228+E236+E244+E251</f>
        <v>22405000</v>
      </c>
      <c r="F253" s="63" t="str">
        <f>"("&amp;A$180&amp;"+"&amp;A$204&amp;"+"&amp;A$228&amp;"+"&amp;A$236&amp;"+"&amp;A$244&amp;"+"&amp;A$251&amp;")"</f>
        <v>(180+204+228+236+244+251)</v>
      </c>
      <c r="G253" s="60"/>
      <c r="H253" s="21">
        <f t="shared" ref="H253:N253" si="595">H180+H204+H228+H236+H244+H251</f>
        <v>22405000</v>
      </c>
      <c r="I253" s="21">
        <f t="shared" si="595"/>
        <v>18402363.118347831</v>
      </c>
      <c r="J253" s="21">
        <f t="shared" si="595"/>
        <v>3275336.2633363218</v>
      </c>
      <c r="K253" s="21">
        <f t="shared" si="595"/>
        <v>0</v>
      </c>
      <c r="L253" s="21">
        <f t="shared" si="595"/>
        <v>82715.643645689575</v>
      </c>
      <c r="M253" s="21">
        <f t="shared" si="595"/>
        <v>644584.97467015556</v>
      </c>
      <c r="N253" s="21">
        <f t="shared" si="595"/>
        <v>0</v>
      </c>
      <c r="O253" s="21"/>
      <c r="P253" s="61" t="str">
        <f>"Sum("&amp;$A180&amp;","&amp;$A204&amp;","&amp;$A228&amp;","&amp;$A236&amp;","&amp;$A244&amp;","&amp;$A251&amp;")"</f>
        <v>Sum(180,204,228,236,244,251)</v>
      </c>
      <c r="Q253" s="61"/>
      <c r="R253" s="14">
        <f>($E$180*R$180+$E$204*R$204+$E$228*R$228+$E$236*R$236+$E$244*R$244+$E$251*R$251)/SUM($E$180,$E$204,$E$228,$E$236,$E$244,$E$251)</f>
        <v>0.10254744177144501</v>
      </c>
      <c r="S253" s="14">
        <f>($E$180*S$180+$E$204*S$204+$E$228*S$228+$E$236*S$236+$E$244*S$244+$E$251*S$251)/SUM($E$180,$E$204,$E$228,$E$236,$E$244,$E$251)</f>
        <v>3.0553938852934615E-2</v>
      </c>
      <c r="T253" s="14">
        <f t="shared" ref="T253:AH253" si="596">($E$180*T$180+$E$204*T$204+$E$228*T$228+$E$236*T$236+$E$244*T$244+$E$251*T$251)/SUM($E$180,$E$204,$E$228,$E$236,$E$244,$E$251)</f>
        <v>1.3339433162240571E-2</v>
      </c>
      <c r="U253" s="14">
        <f t="shared" si="596"/>
        <v>8.9271591162686903E-2</v>
      </c>
      <c r="V253" s="14">
        <f t="shared" si="596"/>
        <v>3.9723276054452134E-3</v>
      </c>
      <c r="W253" s="14">
        <f t="shared" si="596"/>
        <v>0.15188666120191632</v>
      </c>
      <c r="X253" s="14">
        <f t="shared" si="596"/>
        <v>0</v>
      </c>
      <c r="Y253" s="14">
        <f t="shared" si="596"/>
        <v>0</v>
      </c>
      <c r="Z253" s="14">
        <f t="shared" si="596"/>
        <v>0</v>
      </c>
      <c r="AA253" s="14">
        <f t="shared" si="596"/>
        <v>0</v>
      </c>
      <c r="AB253" s="14">
        <f t="shared" si="596"/>
        <v>0.32183812507108317</v>
      </c>
      <c r="AC253" s="14">
        <f t="shared" si="596"/>
        <v>0.18080880842421732</v>
      </c>
      <c r="AD253" s="14">
        <f t="shared" si="596"/>
        <v>8.8019006786505413E-2</v>
      </c>
      <c r="AE253" s="14">
        <f t="shared" si="596"/>
        <v>0</v>
      </c>
      <c r="AF253" s="14">
        <f t="shared" si="596"/>
        <v>1.2931279119829371E-3</v>
      </c>
      <c r="AG253" s="14">
        <f t="shared" si="596"/>
        <v>0</v>
      </c>
      <c r="AH253" s="14">
        <f t="shared" si="596"/>
        <v>1.6469538049542511E-2</v>
      </c>
      <c r="AI253" s="76">
        <f t="shared" si="569"/>
        <v>0</v>
      </c>
      <c r="AK253" s="21">
        <f>AK180+AK204+AK228+AK236+AK244+AK251</f>
        <v>22405000</v>
      </c>
      <c r="AL253" s="21">
        <f>AL180+AL204+AL228+AL236+AL244+AL251</f>
        <v>5370136.432889225</v>
      </c>
      <c r="AM253" s="21">
        <f>AM180+AM204+AM228+AM236+AM244+AM251</f>
        <v>3403020.6442289352</v>
      </c>
      <c r="AN253" s="21">
        <f>AN180+AN204+AN228+AN236+AN244+AN251</f>
        <v>13262842.92288184</v>
      </c>
      <c r="AO253" s="21">
        <f>AO180+AO204+AO228+AO236+AO244+AO251</f>
        <v>369000</v>
      </c>
      <c r="AP253" s="21"/>
      <c r="AQ253" s="61" t="str">
        <f>"Sum("&amp;$A180&amp;","&amp;$A204&amp;","&amp;$A228&amp;","&amp;$A236&amp;","&amp;$A244&amp;","&amp;$A251&amp;")"</f>
        <v>Sum(180,204,228,236,244,251)</v>
      </c>
      <c r="AS253" s="21">
        <f t="shared" ref="AS253:AY253" si="597">AS180+AS204+AS228+AS236+AS244+AS251</f>
        <v>5370136.4328892268</v>
      </c>
      <c r="AT253" s="21">
        <f t="shared" si="597"/>
        <v>3479649.9442033148</v>
      </c>
      <c r="AU253" s="21">
        <f t="shared" si="597"/>
        <v>1496909.7706321715</v>
      </c>
      <c r="AV253" s="21">
        <f t="shared" si="597"/>
        <v>0</v>
      </c>
      <c r="AW253" s="21">
        <f t="shared" si="597"/>
        <v>52531.209535514863</v>
      </c>
      <c r="AX253" s="21">
        <f t="shared" si="597"/>
        <v>341045.50851822481</v>
      </c>
      <c r="AY253" s="21">
        <f t="shared" si="597"/>
        <v>0</v>
      </c>
      <c r="BA253" s="21">
        <f t="shared" ref="BA253:BG253" si="598">BA180+BA204+BA228+BA236+BA244+BA251</f>
        <v>3403020.6442289343</v>
      </c>
      <c r="BB253" s="21">
        <f t="shared" si="598"/>
        <v>1923902.7274686957</v>
      </c>
      <c r="BC253" s="21">
        <f t="shared" si="598"/>
        <v>1187339.9829229047</v>
      </c>
      <c r="BD253" s="21">
        <f t="shared" si="598"/>
        <v>0</v>
      </c>
      <c r="BE253" s="21">
        <f t="shared" si="598"/>
        <v>25583.228509792207</v>
      </c>
      <c r="BF253" s="21">
        <f t="shared" si="598"/>
        <v>266194.70532754151</v>
      </c>
      <c r="BG253" s="21">
        <f t="shared" si="598"/>
        <v>0</v>
      </c>
      <c r="BI253" s="21">
        <f>BI180+BI204+BI228+BI236+BI244+BI251</f>
        <v>13262842.922881838</v>
      </c>
      <c r="BJ253" s="21">
        <f t="shared" ref="BJ253:BO253" si="599">BJ180+BJ204+BJ228+BJ236+BJ244+BJ251</f>
        <v>12712867.057762651</v>
      </c>
      <c r="BK253" s="21">
        <f t="shared" si="599"/>
        <v>520906.907919552</v>
      </c>
      <c r="BL253" s="21">
        <f t="shared" si="599"/>
        <v>0</v>
      </c>
      <c r="BM253" s="21">
        <f t="shared" si="599"/>
        <v>2718.5408494219723</v>
      </c>
      <c r="BN253" s="21">
        <f t="shared" si="599"/>
        <v>26350.416350216274</v>
      </c>
      <c r="BO253" s="21">
        <f t="shared" si="599"/>
        <v>0</v>
      </c>
      <c r="BQ253" t="s">
        <v>39</v>
      </c>
      <c r="BR253" s="21">
        <f>BR180+BR204+BR228+BR236+BR244+BR251</f>
        <v>11660365.372307828</v>
      </c>
      <c r="BS253" s="14">
        <f>($BR$180*BS$180+$BR$204*BS$204+$BR$228*BS$228+$BR$236*BS$236+$BR$244*BS$244+$BR$251*BS$251)/SUM($BR$180,$BR$204,$BR$228,$BR$236,$BR$244,$BR$251)</f>
        <v>0.11266249758986899</v>
      </c>
      <c r="BT253" s="14">
        <f t="shared" ref="BT253:CI253" si="600">($BR$180*BT$180+$BR$204*BT$204+$BR$228*BT$228+$BR$236*BT$236+$BR$244*BT$244+$BR$251*BT$251)/SUM($BR$180,$BR$204,$BR$228,$BR$236,$BR$244,$BR$251)</f>
        <v>4.2495219435986539E-2</v>
      </c>
      <c r="BU253" s="14">
        <f t="shared" si="600"/>
        <v>1.1148878774308109E-10</v>
      </c>
      <c r="BV253" s="14">
        <f t="shared" si="600"/>
        <v>7.4611727181908105E-10</v>
      </c>
      <c r="BW253" s="14">
        <f t="shared" si="600"/>
        <v>0</v>
      </c>
      <c r="BX253" s="14">
        <f t="shared" si="600"/>
        <v>0.16308605842269661</v>
      </c>
      <c r="BY253" s="14">
        <f t="shared" si="600"/>
        <v>0</v>
      </c>
      <c r="BZ253" s="14">
        <f t="shared" si="600"/>
        <v>0</v>
      </c>
      <c r="CA253" s="14">
        <f t="shared" si="600"/>
        <v>0</v>
      </c>
      <c r="CB253" s="14">
        <f t="shared" si="600"/>
        <v>0</v>
      </c>
      <c r="CC253" s="14">
        <f t="shared" si="600"/>
        <v>0.36279949967909314</v>
      </c>
      <c r="CD253" s="14">
        <f t="shared" si="600"/>
        <v>0.18625875972916531</v>
      </c>
      <c r="CE253" s="14">
        <f t="shared" si="600"/>
        <v>0.13086738467468059</v>
      </c>
      <c r="CF253" s="14">
        <f t="shared" si="600"/>
        <v>0</v>
      </c>
      <c r="CG253" s="14">
        <f t="shared" si="600"/>
        <v>1.8305796109029054E-3</v>
      </c>
      <c r="CH253" s="14">
        <f t="shared" si="600"/>
        <v>0</v>
      </c>
      <c r="CI253" s="14">
        <f t="shared" si="600"/>
        <v>0</v>
      </c>
      <c r="CJ253" s="14"/>
      <c r="CK253" s="14"/>
      <c r="CL253" s="76">
        <f>SUM(CM253:CR253)</f>
        <v>11660365.37230783</v>
      </c>
      <c r="CM253" s="21">
        <f t="shared" ref="CM253:CR253" si="601">CM180+CM204+CM228+CM236+CM244+CM251</f>
        <v>9732592.7037723828</v>
      </c>
      <c r="CN253" s="21">
        <f t="shared" si="601"/>
        <v>1545481.0522918249</v>
      </c>
      <c r="CO253" s="21">
        <f t="shared" si="601"/>
        <v>0</v>
      </c>
      <c r="CP253" s="21">
        <f t="shared" si="601"/>
        <v>37740.371943184982</v>
      </c>
      <c r="CQ253" s="21">
        <f t="shared" si="601"/>
        <v>344551.24430043588</v>
      </c>
      <c r="CR253" s="21">
        <f t="shared" si="601"/>
        <v>0</v>
      </c>
    </row>
    <row r="254" spans="1:97" ht="13.5">
      <c r="A254" s="50">
        <f t="shared" si="434"/>
        <v>254</v>
      </c>
      <c r="D254" t="s">
        <v>439</v>
      </c>
      <c r="E254" s="2">
        <f>E253-E177-E178-E234</f>
        <v>21947000</v>
      </c>
      <c r="F254" s="63" t="str">
        <f>"("&amp;A$253&amp;"-"&amp;A$177&amp;"-"&amp;A$178&amp;"-"&amp;A$234&amp;")"</f>
        <v>(253-177-178-234)</v>
      </c>
      <c r="G254" s="60" t="s">
        <v>440</v>
      </c>
      <c r="H254" s="2">
        <f>H253-H177-H178-H234</f>
        <v>21947000</v>
      </c>
      <c r="I254" s="2">
        <f t="shared" ref="I254:N254" si="602">I253-I177-I178-I234</f>
        <v>18053007.846357998</v>
      </c>
      <c r="J254" s="2">
        <f t="shared" si="602"/>
        <v>3180315.9668234605</v>
      </c>
      <c r="K254" s="2">
        <f t="shared" si="602"/>
        <v>0</v>
      </c>
      <c r="L254" s="2">
        <f t="shared" si="602"/>
        <v>80085.556622556149</v>
      </c>
      <c r="M254" s="2">
        <f t="shared" si="602"/>
        <v>633590.6301959824</v>
      </c>
      <c r="N254" s="2">
        <f t="shared" si="602"/>
        <v>0</v>
      </c>
      <c r="O254" s="2"/>
      <c r="P254" s="61" t="str">
        <f>$A253&amp;"-Sum("&amp;A$177&amp;","&amp;A$178&amp;","&amp;A$234&amp;")"</f>
        <v>253-Sum(177,178,234)</v>
      </c>
      <c r="Q254" s="61"/>
      <c r="R254" s="14">
        <f>($E253*R$253-($E$177*R$177+$E$178*R$178+$E$234*R$234))/$E$254</f>
        <v>0.10468744853005994</v>
      </c>
      <c r="S254" s="14">
        <f t="shared" ref="S254:AH254" si="603">($E253*S$253-($E$177*S$177+$E$178*S$178+$E$234*S$234))/$E$254</f>
        <v>3.1191552376178978E-2</v>
      </c>
      <c r="T254" s="14">
        <f t="shared" si="603"/>
        <v>1.3617806533922631E-2</v>
      </c>
      <c r="U254" s="14">
        <f t="shared" si="603"/>
        <v>9.1134551419328386E-2</v>
      </c>
      <c r="V254" s="14">
        <f t="shared" si="603"/>
        <v>0</v>
      </c>
      <c r="W254" s="14">
        <f t="shared" si="603"/>
        <v>0.15505630128167563</v>
      </c>
      <c r="X254" s="14">
        <f t="shared" si="603"/>
        <v>0</v>
      </c>
      <c r="Y254" s="14">
        <f t="shared" si="603"/>
        <v>0</v>
      </c>
      <c r="Z254" s="14">
        <f t="shared" si="603"/>
        <v>0</v>
      </c>
      <c r="AA254" s="14">
        <f t="shared" si="603"/>
        <v>0</v>
      </c>
      <c r="AB254" s="14">
        <f t="shared" si="603"/>
        <v>0.32855438976705781</v>
      </c>
      <c r="AC254" s="14">
        <f t="shared" si="603"/>
        <v>0.18458200905566086</v>
      </c>
      <c r="AD254" s="14">
        <f t="shared" si="603"/>
        <v>8.9855827541424974E-2</v>
      </c>
      <c r="AE254" s="14">
        <f t="shared" si="603"/>
        <v>0</v>
      </c>
      <c r="AF254" s="14">
        <f t="shared" si="603"/>
        <v>1.3201134946907416E-3</v>
      </c>
      <c r="AG254" s="14">
        <f t="shared" si="603"/>
        <v>0</v>
      </c>
      <c r="AH254" s="14">
        <f t="shared" si="603"/>
        <v>-2.652192140769463E-18</v>
      </c>
      <c r="AI254" s="76">
        <f t="shared" si="569"/>
        <v>0</v>
      </c>
      <c r="AP254" s="2"/>
      <c r="AQ254" s="61"/>
      <c r="AS254" s="2"/>
      <c r="AT254" s="2"/>
      <c r="AU254" s="2"/>
      <c r="AV254" s="2"/>
      <c r="AW254" s="2"/>
      <c r="AX254" s="2"/>
      <c r="AY254" s="2"/>
      <c r="BA254" s="2"/>
      <c r="BB254" s="2"/>
      <c r="BC254" s="2"/>
      <c r="BD254" s="2"/>
      <c r="BE254" s="2"/>
      <c r="BF254" s="2"/>
      <c r="BG254" s="2"/>
      <c r="BI254" s="2"/>
      <c r="BJ254" s="2"/>
      <c r="BK254" s="2"/>
      <c r="BL254" s="2"/>
      <c r="BM254" s="2"/>
      <c r="BN254" s="2"/>
      <c r="BO254" s="2"/>
      <c r="BQ254" t="s">
        <v>439</v>
      </c>
      <c r="BR254" s="21">
        <f>BR253-BR177-BR178-BR234</f>
        <v>11660365.372307828</v>
      </c>
      <c r="BS254" s="14">
        <f>($BR253*BS$253-($BR$177*BS$177+$BR$178*BS$178+$BR$234*BS$234))/$BR$254</f>
        <v>0.11266249758986899</v>
      </c>
      <c r="BT254" s="14">
        <f t="shared" ref="BT254:CI254" si="604">($BR253*BT$253-($BR$177*BT$177+$BR$178*BT$178+$BR$234*BT$234))/$BR$254</f>
        <v>4.2495219435986539E-2</v>
      </c>
      <c r="BU254" s="14">
        <f t="shared" si="604"/>
        <v>1.1148878774308109E-10</v>
      </c>
      <c r="BV254" s="14">
        <f t="shared" si="604"/>
        <v>7.4611727181908105E-10</v>
      </c>
      <c r="BW254" s="14">
        <f t="shared" si="604"/>
        <v>0</v>
      </c>
      <c r="BX254" s="14">
        <f t="shared" si="604"/>
        <v>0.16308605842269661</v>
      </c>
      <c r="BY254" s="14">
        <f t="shared" si="604"/>
        <v>0</v>
      </c>
      <c r="BZ254" s="14">
        <f t="shared" si="604"/>
        <v>0</v>
      </c>
      <c r="CA254" s="14">
        <f t="shared" si="604"/>
        <v>0</v>
      </c>
      <c r="CB254" s="14">
        <f t="shared" si="604"/>
        <v>0</v>
      </c>
      <c r="CC254" s="14">
        <f t="shared" si="604"/>
        <v>0.36279949967909314</v>
      </c>
      <c r="CD254" s="14">
        <f t="shared" si="604"/>
        <v>0.18625875972916531</v>
      </c>
      <c r="CE254" s="14">
        <f t="shared" si="604"/>
        <v>0.13086738467468059</v>
      </c>
      <c r="CF254" s="14">
        <f t="shared" si="604"/>
        <v>0</v>
      </c>
      <c r="CG254" s="14">
        <f t="shared" si="604"/>
        <v>1.8305796109029054E-3</v>
      </c>
      <c r="CH254" s="14">
        <f t="shared" si="604"/>
        <v>0</v>
      </c>
      <c r="CI254" s="14">
        <f t="shared" si="604"/>
        <v>0</v>
      </c>
      <c r="CJ254" s="14"/>
      <c r="CK254" s="14"/>
      <c r="CL254" s="76">
        <f>SUM(CM254:CR254)</f>
        <v>11660365.37230783</v>
      </c>
      <c r="CM254" s="2">
        <f t="shared" ref="CM254:CR254" si="605">CM253-CM177-CM178-CM234</f>
        <v>9732592.7037723828</v>
      </c>
      <c r="CN254" s="2">
        <f t="shared" si="605"/>
        <v>1545481.0522918249</v>
      </c>
      <c r="CO254" s="2">
        <f t="shared" si="605"/>
        <v>0</v>
      </c>
      <c r="CP254" s="2">
        <f t="shared" si="605"/>
        <v>37740.371943184982</v>
      </c>
      <c r="CQ254" s="2">
        <f t="shared" si="605"/>
        <v>344551.24430043588</v>
      </c>
      <c r="CR254" s="2">
        <f t="shared" si="605"/>
        <v>0</v>
      </c>
    </row>
    <row r="255" spans="1:97" ht="13.5">
      <c r="D255" t="s">
        <v>992</v>
      </c>
      <c r="E255" s="2">
        <f>BR254</f>
        <v>11660365.372307828</v>
      </c>
      <c r="F255" s="63"/>
      <c r="G255" s="60"/>
      <c r="H255" s="2"/>
      <c r="I255" s="2"/>
      <c r="J255" s="2"/>
      <c r="K255" s="2"/>
      <c r="L255" s="2"/>
      <c r="M255" s="2"/>
      <c r="N255" s="2"/>
      <c r="O255" s="2"/>
      <c r="P255" s="417" t="s">
        <v>991</v>
      </c>
      <c r="Q255" s="61"/>
      <c r="R255" s="14">
        <f>($E253*R$253-($E$177*R$177+$E$178*R$178+$E$234*R$234+$E$255*BS$254))/($E$254-$E$255)</f>
        <v>9.5647369897431708E-2</v>
      </c>
      <c r="S255" s="14">
        <f>($E253*S$253-($E$177*S$177+$E$178*S$178+$E$234*S$234+$E$255*BT$254))/($E$254-$E$255)</f>
        <v>1.8378334765683613E-2</v>
      </c>
      <c r="T255" s="14">
        <f t="shared" ref="T255:AH255" si="606">($E253*T$253-($E$177*T$177+$E$178*T$178+$E$234*T$234+$E$255*BU$254))/($E$254-$E$255)</f>
        <v>2.9054205725886864E-2</v>
      </c>
      <c r="U255" s="14">
        <f t="shared" si="606"/>
        <v>0.19443968447324286</v>
      </c>
      <c r="V255" s="14">
        <f t="shared" si="606"/>
        <v>0</v>
      </c>
      <c r="W255" s="14">
        <f t="shared" si="606"/>
        <v>0.14595420856583777</v>
      </c>
      <c r="X255" s="14">
        <f t="shared" si="606"/>
        <v>0</v>
      </c>
      <c r="Y255" s="14">
        <f t="shared" si="606"/>
        <v>0</v>
      </c>
      <c r="Z255" s="14">
        <f t="shared" si="606"/>
        <v>0</v>
      </c>
      <c r="AA255" s="14">
        <f t="shared" si="606"/>
        <v>0</v>
      </c>
      <c r="AB255" s="14">
        <f t="shared" si="606"/>
        <v>0.28973600958329909</v>
      </c>
      <c r="AC255" s="14">
        <f t="shared" si="606"/>
        <v>0.1826813363673658</v>
      </c>
      <c r="AD255" s="14">
        <f t="shared" si="606"/>
        <v>4.3367373545628154E-2</v>
      </c>
      <c r="AE255" s="14">
        <f t="shared" si="606"/>
        <v>0</v>
      </c>
      <c r="AF255" s="14">
        <f t="shared" si="606"/>
        <v>7.4147707562389922E-4</v>
      </c>
      <c r="AG255" s="14">
        <f t="shared" si="606"/>
        <v>0</v>
      </c>
      <c r="AH255" s="14">
        <f t="shared" si="606"/>
        <v>-5.6585718284159976E-18</v>
      </c>
      <c r="AI255" s="76"/>
      <c r="AP255" s="2"/>
      <c r="AQ255" s="61"/>
      <c r="AS255" s="2"/>
      <c r="AT255" s="2"/>
      <c r="AU255" s="2"/>
      <c r="AV255" s="2"/>
      <c r="AW255" s="2"/>
      <c r="AX255" s="2"/>
      <c r="AY255" s="2"/>
      <c r="BA255" s="2"/>
      <c r="BB255" s="2"/>
      <c r="BC255" s="2"/>
      <c r="BD255" s="2"/>
      <c r="BE255" s="2"/>
      <c r="BF255" s="2"/>
      <c r="BG255" s="2"/>
      <c r="BI255" s="2"/>
      <c r="BJ255" s="2"/>
      <c r="BK255" s="2"/>
      <c r="BL255" s="2"/>
      <c r="BM255" s="2"/>
      <c r="BN255" s="2"/>
      <c r="BO255" s="2"/>
      <c r="BR255" s="21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76"/>
      <c r="CM255" s="2"/>
      <c r="CN255" s="2"/>
      <c r="CO255" s="2"/>
      <c r="CP255" s="2"/>
      <c r="CQ255" s="2"/>
      <c r="CR255" s="2"/>
    </row>
    <row r="256" spans="1:97">
      <c r="A256" s="50">
        <f t="shared" si="434"/>
        <v>256</v>
      </c>
      <c r="D256" s="10"/>
      <c r="E256" s="2"/>
      <c r="F256" s="60"/>
      <c r="G256" s="60"/>
      <c r="H256" s="21"/>
      <c r="I256" s="21"/>
      <c r="J256" s="21"/>
      <c r="K256" s="21"/>
      <c r="L256" s="21"/>
      <c r="M256" s="21"/>
      <c r="N256" s="21"/>
      <c r="P256" s="61"/>
      <c r="Q256" s="61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76">
        <f t="shared" ref="AI256:AI287" si="607">IF(SUM(R256:AH256)&lt;&gt;0,(ROUND(SUM(R256:AH256),8)&lt;&gt;1)+0,0)</f>
        <v>0</v>
      </c>
      <c r="AQ256" s="61"/>
      <c r="BQ256" s="10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76">
        <f t="shared" si="570"/>
        <v>0</v>
      </c>
      <c r="CM256" s="21">
        <f>CM254/$BR254</f>
        <v>0.83467304780056828</v>
      </c>
      <c r="CN256" s="21"/>
      <c r="CO256" s="21"/>
      <c r="CP256" s="21"/>
      <c r="CQ256" s="21"/>
      <c r="CR256" s="21"/>
    </row>
    <row r="257" spans="1:96">
      <c r="A257" s="50">
        <f t="shared" si="434"/>
        <v>257</v>
      </c>
      <c r="D257" t="s">
        <v>40</v>
      </c>
      <c r="E257" s="9"/>
      <c r="F257" s="60"/>
      <c r="G257" s="60"/>
      <c r="H257" s="21"/>
      <c r="I257" s="21"/>
      <c r="J257" s="21"/>
      <c r="K257" s="21"/>
      <c r="L257" s="21"/>
      <c r="M257" s="21"/>
      <c r="N257" s="21"/>
      <c r="P257" s="61"/>
      <c r="Q257" s="61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76">
        <f t="shared" si="607"/>
        <v>0</v>
      </c>
      <c r="AQ257" s="61"/>
      <c r="BQ257" t="s">
        <v>40</v>
      </c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76">
        <f t="shared" si="570"/>
        <v>0</v>
      </c>
      <c r="CM257" s="21"/>
      <c r="CN257" s="21"/>
      <c r="CO257" s="21"/>
      <c r="CP257" s="21"/>
      <c r="CQ257" s="21"/>
      <c r="CR257" s="21"/>
    </row>
    <row r="258" spans="1:96">
      <c r="A258" s="50">
        <f t="shared" si="434"/>
        <v>258</v>
      </c>
      <c r="B258" t="s">
        <v>41</v>
      </c>
      <c r="D258" t="s">
        <v>42</v>
      </c>
      <c r="E258" s="2"/>
      <c r="F258" s="60"/>
      <c r="G258" s="60"/>
      <c r="H258" s="80"/>
      <c r="I258" s="80"/>
      <c r="J258" s="80"/>
      <c r="K258" s="80"/>
      <c r="L258" s="80"/>
      <c r="M258" s="80"/>
      <c r="N258" s="80"/>
      <c r="P258" s="61"/>
      <c r="Q258" s="61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76">
        <f t="shared" si="607"/>
        <v>0</v>
      </c>
      <c r="AQ258" s="61"/>
      <c r="BQ258" t="s">
        <v>42</v>
      </c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80"/>
      <c r="CL258" s="76">
        <f t="shared" si="570"/>
        <v>0</v>
      </c>
      <c r="CM258" s="80"/>
      <c r="CN258" s="80"/>
      <c r="CO258" s="80"/>
      <c r="CP258" s="80"/>
      <c r="CQ258" s="80"/>
      <c r="CR258" s="80"/>
    </row>
    <row r="259" spans="1:96">
      <c r="A259" s="50">
        <f t="shared" si="434"/>
        <v>259</v>
      </c>
      <c r="C259" s="36" t="s">
        <v>151</v>
      </c>
      <c r="D259" s="56" t="s">
        <v>147</v>
      </c>
      <c r="E259" s="373">
        <f>PROFORMA!AY128</f>
        <v>7631000</v>
      </c>
      <c r="F259" s="61" t="s">
        <v>996</v>
      </c>
      <c r="G259" s="60"/>
      <c r="H259" s="2">
        <f t="shared" ref="H259:H264" si="608">SUM(I259:N259)</f>
        <v>7631000</v>
      </c>
      <c r="I259" s="2">
        <f t="shared" ref="I259:N263" si="609">$E259*SUMPRODUCT($R259:$AH259,INDEX(AllocFactors,I$4,0))</f>
        <v>6423174.2284580329</v>
      </c>
      <c r="J259" s="2">
        <f t="shared" si="609"/>
        <v>974746.8407085581</v>
      </c>
      <c r="K259" s="2">
        <f t="shared" si="609"/>
        <v>0</v>
      </c>
      <c r="L259" s="2">
        <f t="shared" si="609"/>
        <v>23522.987738763157</v>
      </c>
      <c r="M259" s="2">
        <f t="shared" si="609"/>
        <v>209555.94309464551</v>
      </c>
      <c r="N259" s="2">
        <f t="shared" si="609"/>
        <v>0</v>
      </c>
      <c r="O259" s="2"/>
      <c r="P259" s="61" t="s">
        <v>997</v>
      </c>
      <c r="Q259" s="61"/>
      <c r="R259" s="14">
        <f t="shared" ref="R259:AA259" si="610">(R$116*0.25)+(R$255*0.25)+(BS$254*0.25)</f>
        <v>9.9370957155623774E-2</v>
      </c>
      <c r="S259" s="14">
        <f t="shared" si="610"/>
        <v>1.5218388550417537E-2</v>
      </c>
      <c r="T259" s="14">
        <f t="shared" si="610"/>
        <v>8.699877677308605E-3</v>
      </c>
      <c r="U259" s="14">
        <f t="shared" si="610"/>
        <v>5.822225830198835E-2</v>
      </c>
      <c r="V259" s="14">
        <f t="shared" si="610"/>
        <v>0</v>
      </c>
      <c r="W259" s="14">
        <f t="shared" si="610"/>
        <v>0.15327818313927072</v>
      </c>
      <c r="X259" s="14">
        <f t="shared" si="610"/>
        <v>0</v>
      </c>
      <c r="Y259" s="14">
        <f t="shared" si="610"/>
        <v>0</v>
      </c>
      <c r="Z259" s="14">
        <f t="shared" si="610"/>
        <v>0</v>
      </c>
      <c r="AA259" s="14">
        <f t="shared" si="610"/>
        <v>0</v>
      </c>
      <c r="AB259" s="14">
        <f>(AB$116*0.25)+(AB$255*0.25)+(CC$254*0.25)+0.25</f>
        <v>0.41313387731559803</v>
      </c>
      <c r="AC259" s="14">
        <f t="shared" ref="AC259:AH259" si="611">(AC$116*0.25)+(AC$255*0.25)+(CD$254*0.25)</f>
        <v>0.17108548237195526</v>
      </c>
      <c r="AD259" s="14">
        <f t="shared" si="611"/>
        <v>7.9473703927617212E-2</v>
      </c>
      <c r="AE259" s="14">
        <f t="shared" si="611"/>
        <v>0</v>
      </c>
      <c r="AF259" s="14">
        <f t="shared" si="611"/>
        <v>1.5172715602204624E-3</v>
      </c>
      <c r="AG259" s="14">
        <f t="shared" si="611"/>
        <v>0</v>
      </c>
      <c r="AH259" s="14">
        <f t="shared" si="611"/>
        <v>-1.4146429571039994E-18</v>
      </c>
      <c r="AI259" s="76">
        <f t="shared" si="607"/>
        <v>0</v>
      </c>
      <c r="AK259" s="2">
        <f t="shared" ref="AK259:AK264" si="612">SUM(AL259:AO259)</f>
        <v>7631000</v>
      </c>
      <c r="AL259" s="2">
        <f t="shared" ref="AL259:AO264" si="613">SUMIF($R$4:$AH$4,AL$5,$R259:$AH259)*$E259</f>
        <v>1385114.1167408163</v>
      </c>
      <c r="AM259" s="2">
        <f t="shared" si="613"/>
        <v>1169665.8155357749</v>
      </c>
      <c r="AN259" s="2">
        <f t="shared" si="613"/>
        <v>5076220.0677234083</v>
      </c>
      <c r="AO259" s="2">
        <f t="shared" si="613"/>
        <v>-1.079514040566062E-11</v>
      </c>
      <c r="AP259" s="2"/>
      <c r="AQ259" s="61" t="str">
        <f>E$1&amp;$A259&amp;"*["&amp;R$1&amp;$A259&amp;":"&amp;$AH$1&amp;$A259&amp;" when "&amp;R$1&amp;$A$4&amp;":"&amp;$AH$1&amp;$A$4&amp;" = E,D,C,or R]"</f>
        <v>E259*[R259:AH259 when R4:AH4 = E,D,C,or R]</v>
      </c>
      <c r="AS259" s="2">
        <f t="shared" ref="AS259:AS264" si="614">SUM(AT259:AY259)</f>
        <v>1385114.1167408165</v>
      </c>
      <c r="AT259" s="2">
        <f t="shared" ref="AT259:AY264" si="615">$E259*SUMPRODUCT($R259:$V259,INDEX(AllocFactors_E,AT$4,0))</f>
        <v>877394.25122568919</v>
      </c>
      <c r="AU259" s="2">
        <f t="shared" si="615"/>
        <v>384427.21735948051</v>
      </c>
      <c r="AV259" s="2">
        <f t="shared" si="615"/>
        <v>0</v>
      </c>
      <c r="AW259" s="2">
        <f t="shared" si="615"/>
        <v>13848.105782588451</v>
      </c>
      <c r="AX259" s="2">
        <f t="shared" si="615"/>
        <v>109444.54237305842</v>
      </c>
      <c r="AY259" s="2">
        <f t="shared" si="615"/>
        <v>0</v>
      </c>
      <c r="BA259" s="2">
        <f t="shared" ref="BA259:BA264" si="616">SUM(BB259:BG259)</f>
        <v>1169665.8155357747</v>
      </c>
      <c r="BB259" s="2">
        <f t="shared" ref="BB259:BG264" si="617">$E259*SUMPRODUCT($W259:$AA259,INDEX(AllocFactors_D,BB$4,0))</f>
        <v>661272.28953265958</v>
      </c>
      <c r="BC259" s="2">
        <f t="shared" si="617"/>
        <v>408105.36715343036</v>
      </c>
      <c r="BD259" s="2">
        <f t="shared" si="617"/>
        <v>0</v>
      </c>
      <c r="BE259" s="2">
        <f t="shared" si="617"/>
        <v>8793.3136373095404</v>
      </c>
      <c r="BF259" s="2">
        <f t="shared" si="617"/>
        <v>91494.845212375294</v>
      </c>
      <c r="BG259" s="2">
        <f t="shared" si="617"/>
        <v>0</v>
      </c>
      <c r="BI259" s="2">
        <f t="shared" ref="BI259:BI264" si="618">SUM(BJ259:BO259)</f>
        <v>5076220.0677234093</v>
      </c>
      <c r="BJ259" s="2">
        <f t="shared" ref="BJ259:BO264" si="619">$E259*SUMPRODUCT($AB259:$AG259,INDEX(AllocFactors_C,BJ$4,0))</f>
        <v>4884507.6876996849</v>
      </c>
      <c r="BK259" s="2">
        <f t="shared" si="619"/>
        <v>182214.25619564732</v>
      </c>
      <c r="BL259" s="2">
        <f t="shared" si="619"/>
        <v>0</v>
      </c>
      <c r="BM259" s="2">
        <f t="shared" si="619"/>
        <v>881.56831886516329</v>
      </c>
      <c r="BN259" s="2">
        <f t="shared" si="619"/>
        <v>8616.5555092118357</v>
      </c>
      <c r="BO259" s="2">
        <f t="shared" si="619"/>
        <v>0</v>
      </c>
      <c r="BQ259" s="28" t="s">
        <v>351</v>
      </c>
      <c r="BR259" s="23">
        <v>5298236.2211984694</v>
      </c>
      <c r="BS259" s="14">
        <f t="shared" ref="BS259:BU260" si="620">R259</f>
        <v>9.9370957155623774E-2</v>
      </c>
      <c r="BT259" s="14">
        <f t="shared" si="620"/>
        <v>1.5218388550417537E-2</v>
      </c>
      <c r="BU259" s="14">
        <f t="shared" si="620"/>
        <v>8.699877677308605E-3</v>
      </c>
      <c r="BV259" s="14">
        <f t="shared" ref="BV259:CE260" si="621">U259</f>
        <v>5.822225830198835E-2</v>
      </c>
      <c r="BW259" s="14">
        <f t="shared" si="621"/>
        <v>0</v>
      </c>
      <c r="BX259" s="14">
        <f t="shared" si="621"/>
        <v>0.15327818313927072</v>
      </c>
      <c r="BY259" s="14">
        <f t="shared" si="621"/>
        <v>0</v>
      </c>
      <c r="BZ259" s="14">
        <f t="shared" si="621"/>
        <v>0</v>
      </c>
      <c r="CA259" s="14">
        <f t="shared" si="621"/>
        <v>0</v>
      </c>
      <c r="CB259" s="14">
        <f t="shared" si="621"/>
        <v>0</v>
      </c>
      <c r="CC259" s="14">
        <f t="shared" si="621"/>
        <v>0.41313387731559803</v>
      </c>
      <c r="CD259" s="14">
        <f t="shared" si="621"/>
        <v>0.17108548237195526</v>
      </c>
      <c r="CE259" s="14">
        <f t="shared" si="621"/>
        <v>7.9473703927617212E-2</v>
      </c>
      <c r="CF259" s="14">
        <f>AE259</f>
        <v>0</v>
      </c>
      <c r="CG259" s="14">
        <f t="shared" ref="CG259:CI260" si="622">AF259</f>
        <v>1.5172715602204624E-3</v>
      </c>
      <c r="CH259" s="14">
        <f t="shared" si="622"/>
        <v>0</v>
      </c>
      <c r="CI259" s="14">
        <f t="shared" si="622"/>
        <v>-1.4146429571039994E-18</v>
      </c>
      <c r="CJ259" s="14"/>
      <c r="CK259" s="112" t="str">
        <f t="shared" ref="CK259:CK264" si="623">F259</f>
        <v>4-Factor</v>
      </c>
      <c r="CL259" s="76">
        <f t="shared" si="570"/>
        <v>0</v>
      </c>
      <c r="CM259" s="2">
        <f t="shared" ref="CM259:CR263" si="624">$BR259*SUMPRODUCT($BS259:$CI259,INDEX(AllocFactors,CM$172,0))</f>
        <v>4459637.5772880204</v>
      </c>
      <c r="CN259" s="2">
        <f t="shared" si="624"/>
        <v>676770.93669779284</v>
      </c>
      <c r="CO259" s="2">
        <f t="shared" si="624"/>
        <v>0</v>
      </c>
      <c r="CP259" s="2">
        <f t="shared" si="624"/>
        <v>16332.111868473652</v>
      </c>
      <c r="CQ259" s="2">
        <f t="shared" si="624"/>
        <v>145495.59534418242</v>
      </c>
      <c r="CR259" s="2">
        <f t="shared" si="624"/>
        <v>0</v>
      </c>
    </row>
    <row r="260" spans="1:96">
      <c r="A260" s="50">
        <f t="shared" si="434"/>
        <v>260</v>
      </c>
      <c r="C260" s="36" t="s">
        <v>151</v>
      </c>
      <c r="D260" s="56" t="s">
        <v>352</v>
      </c>
      <c r="E260" s="135">
        <v>0</v>
      </c>
      <c r="F260" s="442" t="s">
        <v>444</v>
      </c>
      <c r="G260" s="60"/>
      <c r="H260" s="2">
        <f t="shared" si="608"/>
        <v>0</v>
      </c>
      <c r="I260" s="2">
        <f t="shared" si="609"/>
        <v>0</v>
      </c>
      <c r="J260" s="2">
        <f t="shared" si="609"/>
        <v>0</v>
      </c>
      <c r="K260" s="2">
        <f t="shared" si="609"/>
        <v>0</v>
      </c>
      <c r="L260" s="2">
        <f t="shared" si="609"/>
        <v>0</v>
      </c>
      <c r="M260" s="2">
        <f t="shared" si="609"/>
        <v>0</v>
      </c>
      <c r="N260" s="2">
        <f t="shared" si="609"/>
        <v>0</v>
      </c>
      <c r="O260" s="2"/>
      <c r="P260" s="61" t="str">
        <f>E$1&amp;$A260&amp;"*     """</f>
        <v>E260*     "</v>
      </c>
      <c r="Q260" s="61"/>
      <c r="R260" s="441">
        <v>1</v>
      </c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>
        <f>(AH$116*0.25)+(AH$255*0.25)+(CI$254*0.25)</f>
        <v>-1.4146429571039994E-18</v>
      </c>
      <c r="AI260" s="76">
        <f t="shared" si="607"/>
        <v>0</v>
      </c>
      <c r="AK260" s="2">
        <f t="shared" si="612"/>
        <v>0</v>
      </c>
      <c r="AL260" s="2">
        <f t="shared" si="613"/>
        <v>0</v>
      </c>
      <c r="AM260" s="2">
        <f t="shared" si="613"/>
        <v>0</v>
      </c>
      <c r="AN260" s="2">
        <f t="shared" si="613"/>
        <v>0</v>
      </c>
      <c r="AO260" s="2">
        <f t="shared" si="613"/>
        <v>0</v>
      </c>
      <c r="AP260" s="2"/>
      <c r="AQ260" s="61" t="str">
        <f>E$1&amp;$A260&amp;"*      """</f>
        <v>E260*      "</v>
      </c>
      <c r="AS260" s="2">
        <f t="shared" si="614"/>
        <v>0</v>
      </c>
      <c r="AT260" s="2">
        <f t="shared" si="615"/>
        <v>0</v>
      </c>
      <c r="AU260" s="2">
        <f t="shared" si="615"/>
        <v>0</v>
      </c>
      <c r="AV260" s="2">
        <f t="shared" si="615"/>
        <v>0</v>
      </c>
      <c r="AW260" s="2">
        <f t="shared" si="615"/>
        <v>0</v>
      </c>
      <c r="AX260" s="2">
        <f t="shared" si="615"/>
        <v>0</v>
      </c>
      <c r="AY260" s="2">
        <f t="shared" si="615"/>
        <v>0</v>
      </c>
      <c r="BA260" s="2">
        <f t="shared" si="616"/>
        <v>0</v>
      </c>
      <c r="BB260" s="2">
        <f t="shared" si="617"/>
        <v>0</v>
      </c>
      <c r="BC260" s="2">
        <f t="shared" si="617"/>
        <v>0</v>
      </c>
      <c r="BD260" s="2">
        <f t="shared" si="617"/>
        <v>0</v>
      </c>
      <c r="BE260" s="2">
        <f t="shared" si="617"/>
        <v>0</v>
      </c>
      <c r="BF260" s="2">
        <f t="shared" si="617"/>
        <v>0</v>
      </c>
      <c r="BG260" s="2">
        <f t="shared" si="617"/>
        <v>0</v>
      </c>
      <c r="BI260" s="2">
        <f t="shared" si="618"/>
        <v>0</v>
      </c>
      <c r="BJ260" s="2">
        <f t="shared" si="619"/>
        <v>0</v>
      </c>
      <c r="BK260" s="2">
        <f t="shared" si="619"/>
        <v>0</v>
      </c>
      <c r="BL260" s="2">
        <f t="shared" si="619"/>
        <v>0</v>
      </c>
      <c r="BM260" s="2">
        <f t="shared" si="619"/>
        <v>0</v>
      </c>
      <c r="BN260" s="2">
        <f t="shared" si="619"/>
        <v>0</v>
      </c>
      <c r="BO260" s="2">
        <f t="shared" si="619"/>
        <v>0</v>
      </c>
      <c r="BQ260" s="28" t="s">
        <v>352</v>
      </c>
      <c r="BR260" s="23">
        <v>0</v>
      </c>
      <c r="BS260" s="14">
        <f t="shared" si="620"/>
        <v>1</v>
      </c>
      <c r="BT260" s="14">
        <f t="shared" si="620"/>
        <v>0</v>
      </c>
      <c r="BU260" s="14">
        <f t="shared" si="620"/>
        <v>0</v>
      </c>
      <c r="BV260" s="14">
        <f t="shared" si="621"/>
        <v>0</v>
      </c>
      <c r="BW260" s="14">
        <f t="shared" si="621"/>
        <v>0</v>
      </c>
      <c r="BX260" s="14">
        <f t="shared" si="621"/>
        <v>0</v>
      </c>
      <c r="BY260" s="14">
        <f t="shared" si="621"/>
        <v>0</v>
      </c>
      <c r="BZ260" s="14">
        <f t="shared" si="621"/>
        <v>0</v>
      </c>
      <c r="CA260" s="14">
        <f t="shared" si="621"/>
        <v>0</v>
      </c>
      <c r="CB260" s="14">
        <f t="shared" si="621"/>
        <v>0</v>
      </c>
      <c r="CC260" s="14">
        <f t="shared" si="621"/>
        <v>0</v>
      </c>
      <c r="CD260" s="14">
        <f t="shared" si="621"/>
        <v>0</v>
      </c>
      <c r="CE260" s="14">
        <f t="shared" si="621"/>
        <v>0</v>
      </c>
      <c r="CF260" s="14">
        <f>AE260</f>
        <v>0</v>
      </c>
      <c r="CG260" s="14">
        <f t="shared" si="622"/>
        <v>0</v>
      </c>
      <c r="CH260" s="14">
        <f t="shared" si="622"/>
        <v>0</v>
      </c>
      <c r="CI260" s="14">
        <f t="shared" si="622"/>
        <v>-1.4146429571039994E-18</v>
      </c>
      <c r="CJ260" s="14"/>
      <c r="CK260" s="112" t="str">
        <f t="shared" si="623"/>
        <v>Input - 100% Throughput</v>
      </c>
      <c r="CL260" s="76">
        <f t="shared" si="570"/>
        <v>0</v>
      </c>
      <c r="CM260" s="2">
        <f t="shared" si="624"/>
        <v>0</v>
      </c>
      <c r="CN260" s="2">
        <f t="shared" si="624"/>
        <v>0</v>
      </c>
      <c r="CO260" s="2">
        <f t="shared" si="624"/>
        <v>0</v>
      </c>
      <c r="CP260" s="2">
        <f t="shared" si="624"/>
        <v>0</v>
      </c>
      <c r="CQ260" s="2">
        <f t="shared" si="624"/>
        <v>0</v>
      </c>
      <c r="CR260" s="2">
        <f t="shared" si="624"/>
        <v>0</v>
      </c>
    </row>
    <row r="261" spans="1:96">
      <c r="A261" s="50">
        <f t="shared" si="434"/>
        <v>261</v>
      </c>
      <c r="C261" s="36" t="s">
        <v>151</v>
      </c>
      <c r="D261" s="28" t="s">
        <v>353</v>
      </c>
      <c r="E261" s="23">
        <v>0</v>
      </c>
      <c r="F261" s="60" t="str">
        <f>"as Plant in Service ("&amp;A$58&amp;")"</f>
        <v>as Plant in Service (58)</v>
      </c>
      <c r="G261" s="60"/>
      <c r="H261" s="2">
        <f t="shared" si="608"/>
        <v>0</v>
      </c>
      <c r="I261" s="2">
        <f t="shared" si="609"/>
        <v>0</v>
      </c>
      <c r="J261" s="2">
        <f t="shared" si="609"/>
        <v>0</v>
      </c>
      <c r="K261" s="2">
        <f t="shared" si="609"/>
        <v>0</v>
      </c>
      <c r="L261" s="2">
        <f t="shared" si="609"/>
        <v>0</v>
      </c>
      <c r="M261" s="2">
        <f t="shared" si="609"/>
        <v>0</v>
      </c>
      <c r="N261" s="2">
        <f t="shared" si="609"/>
        <v>0</v>
      </c>
      <c r="O261" s="2"/>
      <c r="P261" s="61" t="str">
        <f>E$1&amp;$A261&amp;"*     """</f>
        <v>E261*     "</v>
      </c>
      <c r="Q261" s="61"/>
      <c r="R261" s="14">
        <f>R$58</f>
        <v>0.16904766890389558</v>
      </c>
      <c r="S261" s="14">
        <f t="shared" ref="S261:AH261" si="625">S$58</f>
        <v>2.676215166561764E-3</v>
      </c>
      <c r="T261" s="14">
        <f t="shared" si="625"/>
        <v>6.7778250216338808E-3</v>
      </c>
      <c r="U261" s="14">
        <f t="shared" si="625"/>
        <v>4.5359290529395975E-2</v>
      </c>
      <c r="V261" s="14">
        <f t="shared" si="625"/>
        <v>0</v>
      </c>
      <c r="W261" s="14">
        <f t="shared" si="625"/>
        <v>0.27058822771397795</v>
      </c>
      <c r="X261" s="14">
        <f t="shared" si="625"/>
        <v>0</v>
      </c>
      <c r="Y261" s="14">
        <f t="shared" si="625"/>
        <v>0</v>
      </c>
      <c r="Z261" s="14">
        <f t="shared" si="625"/>
        <v>0</v>
      </c>
      <c r="AA261" s="14">
        <f t="shared" si="625"/>
        <v>0</v>
      </c>
      <c r="AB261" s="14">
        <f t="shared" si="625"/>
        <v>7.2651262952682066E-2</v>
      </c>
      <c r="AC261" s="14">
        <f t="shared" si="625"/>
        <v>0.31137572086955634</v>
      </c>
      <c r="AD261" s="14">
        <f t="shared" si="625"/>
        <v>0.11759557901028445</v>
      </c>
      <c r="AE261" s="14">
        <f t="shared" si="625"/>
        <v>0</v>
      </c>
      <c r="AF261" s="14">
        <f t="shared" si="625"/>
        <v>3.9282098320119977E-3</v>
      </c>
      <c r="AG261" s="14">
        <f t="shared" si="625"/>
        <v>0</v>
      </c>
      <c r="AH261" s="14">
        <f t="shared" si="625"/>
        <v>-2.4244162456526846E-19</v>
      </c>
      <c r="AI261" s="76">
        <f t="shared" si="607"/>
        <v>0</v>
      </c>
      <c r="AK261" s="2">
        <f t="shared" si="612"/>
        <v>0</v>
      </c>
      <c r="AL261" s="2">
        <f t="shared" si="613"/>
        <v>0</v>
      </c>
      <c r="AM261" s="2">
        <f t="shared" si="613"/>
        <v>0</v>
      </c>
      <c r="AN261" s="2">
        <f t="shared" si="613"/>
        <v>0</v>
      </c>
      <c r="AO261" s="2">
        <f t="shared" si="613"/>
        <v>0</v>
      </c>
      <c r="AP261" s="2"/>
      <c r="AQ261" s="61" t="str">
        <f>E$1&amp;$A261&amp;"*      """</f>
        <v>E261*      "</v>
      </c>
      <c r="AS261" s="2">
        <f t="shared" si="614"/>
        <v>0</v>
      </c>
      <c r="AT261" s="2">
        <f t="shared" si="615"/>
        <v>0</v>
      </c>
      <c r="AU261" s="2">
        <f t="shared" si="615"/>
        <v>0</v>
      </c>
      <c r="AV261" s="2">
        <f t="shared" si="615"/>
        <v>0</v>
      </c>
      <c r="AW261" s="2">
        <f t="shared" si="615"/>
        <v>0</v>
      </c>
      <c r="AX261" s="2">
        <f t="shared" si="615"/>
        <v>0</v>
      </c>
      <c r="AY261" s="2">
        <f t="shared" si="615"/>
        <v>0</v>
      </c>
      <c r="BA261" s="2">
        <f t="shared" si="616"/>
        <v>0</v>
      </c>
      <c r="BB261" s="2">
        <f t="shared" si="617"/>
        <v>0</v>
      </c>
      <c r="BC261" s="2">
        <f t="shared" si="617"/>
        <v>0</v>
      </c>
      <c r="BD261" s="2">
        <f t="shared" si="617"/>
        <v>0</v>
      </c>
      <c r="BE261" s="2">
        <f t="shared" si="617"/>
        <v>0</v>
      </c>
      <c r="BF261" s="2">
        <f t="shared" si="617"/>
        <v>0</v>
      </c>
      <c r="BG261" s="2">
        <f t="shared" si="617"/>
        <v>0</v>
      </c>
      <c r="BI261" s="2">
        <f t="shared" si="618"/>
        <v>0</v>
      </c>
      <c r="BJ261" s="2">
        <f t="shared" si="619"/>
        <v>0</v>
      </c>
      <c r="BK261" s="2">
        <f t="shared" si="619"/>
        <v>0</v>
      </c>
      <c r="BL261" s="2">
        <f t="shared" si="619"/>
        <v>0</v>
      </c>
      <c r="BM261" s="2">
        <f t="shared" si="619"/>
        <v>0</v>
      </c>
      <c r="BN261" s="2">
        <f t="shared" si="619"/>
        <v>0</v>
      </c>
      <c r="BO261" s="2">
        <f t="shared" si="619"/>
        <v>0</v>
      </c>
      <c r="BQ261" s="28" t="s">
        <v>353</v>
      </c>
      <c r="BR261" s="23">
        <v>0</v>
      </c>
      <c r="BS261" s="14">
        <f>R$58</f>
        <v>0.16904766890389558</v>
      </c>
      <c r="BT261" s="14">
        <f>S$58</f>
        <v>2.676215166561764E-3</v>
      </c>
      <c r="BU261" s="14">
        <f>T$58</f>
        <v>6.7778250216338808E-3</v>
      </c>
      <c r="BV261" s="14">
        <f t="shared" ref="BV261:CI261" si="626">U$58</f>
        <v>4.5359290529395975E-2</v>
      </c>
      <c r="BW261" s="14">
        <f t="shared" si="626"/>
        <v>0</v>
      </c>
      <c r="BX261" s="14">
        <f t="shared" si="626"/>
        <v>0.27058822771397795</v>
      </c>
      <c r="BY261" s="14">
        <f t="shared" si="626"/>
        <v>0</v>
      </c>
      <c r="BZ261" s="14">
        <f t="shared" si="626"/>
        <v>0</v>
      </c>
      <c r="CA261" s="14">
        <f t="shared" si="626"/>
        <v>0</v>
      </c>
      <c r="CB261" s="14">
        <f t="shared" si="626"/>
        <v>0</v>
      </c>
      <c r="CC261" s="14">
        <f t="shared" si="626"/>
        <v>7.2651262952682066E-2</v>
      </c>
      <c r="CD261" s="14">
        <f t="shared" si="626"/>
        <v>0.31137572086955634</v>
      </c>
      <c r="CE261" s="14">
        <f t="shared" si="626"/>
        <v>0.11759557901028445</v>
      </c>
      <c r="CF261" s="14">
        <f>AE$58</f>
        <v>0</v>
      </c>
      <c r="CG261" s="14">
        <f t="shared" si="626"/>
        <v>3.9282098320119977E-3</v>
      </c>
      <c r="CH261" s="14">
        <f t="shared" si="626"/>
        <v>0</v>
      </c>
      <c r="CI261" s="14">
        <f t="shared" si="626"/>
        <v>-2.4244162456526846E-19</v>
      </c>
      <c r="CJ261" s="14"/>
      <c r="CK261" s="112" t="str">
        <f t="shared" si="623"/>
        <v>as Plant in Service (58)</v>
      </c>
      <c r="CL261" s="76">
        <f t="shared" si="570"/>
        <v>0</v>
      </c>
      <c r="CM261" s="2">
        <f t="shared" si="624"/>
        <v>0</v>
      </c>
      <c r="CN261" s="2">
        <f t="shared" si="624"/>
        <v>0</v>
      </c>
      <c r="CO261" s="2">
        <f t="shared" si="624"/>
        <v>0</v>
      </c>
      <c r="CP261" s="2">
        <f t="shared" si="624"/>
        <v>0</v>
      </c>
      <c r="CQ261" s="2">
        <f t="shared" si="624"/>
        <v>0</v>
      </c>
      <c r="CR261" s="2">
        <f t="shared" si="624"/>
        <v>0</v>
      </c>
    </row>
    <row r="262" spans="1:96">
      <c r="A262" s="50">
        <f t="shared" si="434"/>
        <v>262</v>
      </c>
      <c r="C262" s="36" t="s">
        <v>156</v>
      </c>
      <c r="D262" s="28" t="s">
        <v>354</v>
      </c>
      <c r="E262" s="23">
        <v>0</v>
      </c>
      <c r="F262" s="60" t="s">
        <v>450</v>
      </c>
      <c r="G262" s="60"/>
      <c r="H262" s="2">
        <f t="shared" si="608"/>
        <v>0</v>
      </c>
      <c r="I262" s="2">
        <f t="shared" si="609"/>
        <v>0</v>
      </c>
      <c r="J262" s="2">
        <f t="shared" si="609"/>
        <v>0</v>
      </c>
      <c r="K262" s="2">
        <f t="shared" si="609"/>
        <v>0</v>
      </c>
      <c r="L262" s="2">
        <f t="shared" si="609"/>
        <v>0</v>
      </c>
      <c r="M262" s="2">
        <f t="shared" si="609"/>
        <v>0</v>
      </c>
      <c r="N262" s="2">
        <f t="shared" si="609"/>
        <v>0</v>
      </c>
      <c r="O262" s="2"/>
      <c r="P262" s="61" t="str">
        <f>E$1&amp;$A262&amp;"*     """</f>
        <v>E262*     "</v>
      </c>
      <c r="Q262" s="61"/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76">
        <f t="shared" si="607"/>
        <v>0</v>
      </c>
      <c r="AK262" s="2">
        <f t="shared" si="612"/>
        <v>0</v>
      </c>
      <c r="AL262" s="2">
        <f t="shared" si="613"/>
        <v>0</v>
      </c>
      <c r="AM262" s="2">
        <f t="shared" si="613"/>
        <v>0</v>
      </c>
      <c r="AN262" s="2">
        <f t="shared" si="613"/>
        <v>0</v>
      </c>
      <c r="AO262" s="2">
        <f t="shared" si="613"/>
        <v>0</v>
      </c>
      <c r="AP262" s="2"/>
      <c r="AQ262" s="61" t="str">
        <f>E$1&amp;$A262&amp;"*      """</f>
        <v>E262*      "</v>
      </c>
      <c r="AS262" s="2">
        <f t="shared" si="614"/>
        <v>0</v>
      </c>
      <c r="AT262" s="2">
        <f t="shared" si="615"/>
        <v>0</v>
      </c>
      <c r="AU262" s="2">
        <f t="shared" si="615"/>
        <v>0</v>
      </c>
      <c r="AV262" s="2">
        <f t="shared" si="615"/>
        <v>0</v>
      </c>
      <c r="AW262" s="2">
        <f t="shared" si="615"/>
        <v>0</v>
      </c>
      <c r="AX262" s="2">
        <f t="shared" si="615"/>
        <v>0</v>
      </c>
      <c r="AY262" s="2">
        <f t="shared" si="615"/>
        <v>0</v>
      </c>
      <c r="BA262" s="2">
        <f t="shared" si="616"/>
        <v>0</v>
      </c>
      <c r="BB262" s="2">
        <f t="shared" si="617"/>
        <v>0</v>
      </c>
      <c r="BC262" s="2">
        <f t="shared" si="617"/>
        <v>0</v>
      </c>
      <c r="BD262" s="2">
        <f t="shared" si="617"/>
        <v>0</v>
      </c>
      <c r="BE262" s="2">
        <f t="shared" si="617"/>
        <v>0</v>
      </c>
      <c r="BF262" s="2">
        <f t="shared" si="617"/>
        <v>0</v>
      </c>
      <c r="BG262" s="2">
        <f t="shared" si="617"/>
        <v>0</v>
      </c>
      <c r="BI262" s="2">
        <f t="shared" si="618"/>
        <v>0</v>
      </c>
      <c r="BJ262" s="2">
        <f t="shared" si="619"/>
        <v>0</v>
      </c>
      <c r="BK262" s="2">
        <f t="shared" si="619"/>
        <v>0</v>
      </c>
      <c r="BL262" s="2">
        <f t="shared" si="619"/>
        <v>0</v>
      </c>
      <c r="BM262" s="2">
        <f t="shared" si="619"/>
        <v>0</v>
      </c>
      <c r="BN262" s="2">
        <f t="shared" si="619"/>
        <v>0</v>
      </c>
      <c r="BO262" s="2">
        <f t="shared" si="619"/>
        <v>0</v>
      </c>
      <c r="BQ262" s="28" t="s">
        <v>354</v>
      </c>
      <c r="BR262" s="23">
        <v>0</v>
      </c>
      <c r="BS262" s="14">
        <f t="shared" ref="BS262:BU263" si="627">R262</f>
        <v>0</v>
      </c>
      <c r="BT262" s="14">
        <f t="shared" si="627"/>
        <v>0</v>
      </c>
      <c r="BU262" s="14">
        <f t="shared" si="627"/>
        <v>0</v>
      </c>
      <c r="BV262" s="14">
        <f t="shared" ref="BV262:CB263" si="628">U262</f>
        <v>0</v>
      </c>
      <c r="BW262" s="14">
        <f t="shared" si="628"/>
        <v>0</v>
      </c>
      <c r="BX262" s="14">
        <f t="shared" si="628"/>
        <v>0</v>
      </c>
      <c r="BY262" s="14">
        <f t="shared" si="628"/>
        <v>0</v>
      </c>
      <c r="BZ262" s="14">
        <f t="shared" si="628"/>
        <v>0</v>
      </c>
      <c r="CA262" s="14">
        <f t="shared" si="628"/>
        <v>0</v>
      </c>
      <c r="CB262" s="14">
        <f t="shared" si="628"/>
        <v>0</v>
      </c>
      <c r="CC262" s="14">
        <f t="shared" ref="CC262:CF263" si="629">AB262</f>
        <v>1</v>
      </c>
      <c r="CD262" s="14">
        <f t="shared" si="629"/>
        <v>0</v>
      </c>
      <c r="CE262" s="14">
        <f t="shared" si="629"/>
        <v>0</v>
      </c>
      <c r="CF262" s="14">
        <f t="shared" si="629"/>
        <v>0</v>
      </c>
      <c r="CG262" s="14">
        <f t="shared" ref="CG262:CI263" si="630">AF262</f>
        <v>0</v>
      </c>
      <c r="CH262" s="14">
        <f t="shared" si="630"/>
        <v>0</v>
      </c>
      <c r="CI262" s="14">
        <f t="shared" si="630"/>
        <v>0</v>
      </c>
      <c r="CJ262" s="14"/>
      <c r="CK262" s="112" t="str">
        <f t="shared" si="623"/>
        <v>Input - 100% Cust</v>
      </c>
      <c r="CL262" s="76">
        <f t="shared" si="570"/>
        <v>0</v>
      </c>
      <c r="CM262" s="2">
        <f t="shared" si="624"/>
        <v>0</v>
      </c>
      <c r="CN262" s="2">
        <f t="shared" si="624"/>
        <v>0</v>
      </c>
      <c r="CO262" s="2">
        <f t="shared" si="624"/>
        <v>0</v>
      </c>
      <c r="CP262" s="2">
        <f t="shared" si="624"/>
        <v>0</v>
      </c>
      <c r="CQ262" s="2">
        <f t="shared" si="624"/>
        <v>0</v>
      </c>
      <c r="CR262" s="2">
        <f t="shared" si="624"/>
        <v>0</v>
      </c>
    </row>
    <row r="263" spans="1:96">
      <c r="A263" s="50">
        <f t="shared" si="434"/>
        <v>263</v>
      </c>
      <c r="C263" s="36" t="s">
        <v>155</v>
      </c>
      <c r="D263" s="28" t="s">
        <v>350</v>
      </c>
      <c r="E263" s="23">
        <v>0</v>
      </c>
      <c r="F263" s="60" t="s">
        <v>451</v>
      </c>
      <c r="G263" s="60"/>
      <c r="H263" s="2">
        <f t="shared" si="608"/>
        <v>0</v>
      </c>
      <c r="I263" s="2">
        <f t="shared" si="609"/>
        <v>0</v>
      </c>
      <c r="J263" s="2">
        <f t="shared" si="609"/>
        <v>0</v>
      </c>
      <c r="K263" s="2">
        <f t="shared" si="609"/>
        <v>0</v>
      </c>
      <c r="L263" s="2">
        <f t="shared" si="609"/>
        <v>0</v>
      </c>
      <c r="M263" s="2">
        <f t="shared" si="609"/>
        <v>0</v>
      </c>
      <c r="N263" s="2">
        <f t="shared" si="609"/>
        <v>0</v>
      </c>
      <c r="O263" s="2"/>
      <c r="P263" s="61" t="str">
        <f>E$1&amp;$A263&amp;"*     """</f>
        <v>E263*     "</v>
      </c>
      <c r="Q263" s="61"/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76">
        <f t="shared" si="607"/>
        <v>0</v>
      </c>
      <c r="AK263" s="2">
        <f t="shared" si="612"/>
        <v>0</v>
      </c>
      <c r="AL263" s="2">
        <f t="shared" si="613"/>
        <v>0</v>
      </c>
      <c r="AM263" s="2">
        <f t="shared" si="613"/>
        <v>0</v>
      </c>
      <c r="AN263" s="2">
        <f t="shared" si="613"/>
        <v>0</v>
      </c>
      <c r="AO263" s="2">
        <f t="shared" si="613"/>
        <v>0</v>
      </c>
      <c r="AP263" s="2"/>
      <c r="AQ263" s="61" t="str">
        <f>E$1&amp;$A263&amp;"*      """</f>
        <v>E263*      "</v>
      </c>
      <c r="AS263" s="2">
        <f t="shared" si="614"/>
        <v>0</v>
      </c>
      <c r="AT263" s="2">
        <f t="shared" si="615"/>
        <v>0</v>
      </c>
      <c r="AU263" s="2">
        <f t="shared" si="615"/>
        <v>0</v>
      </c>
      <c r="AV263" s="2">
        <f t="shared" si="615"/>
        <v>0</v>
      </c>
      <c r="AW263" s="2">
        <f t="shared" si="615"/>
        <v>0</v>
      </c>
      <c r="AX263" s="2">
        <f t="shared" si="615"/>
        <v>0</v>
      </c>
      <c r="AY263" s="2">
        <f t="shared" si="615"/>
        <v>0</v>
      </c>
      <c r="BA263" s="2">
        <f t="shared" si="616"/>
        <v>0</v>
      </c>
      <c r="BB263" s="2">
        <f t="shared" si="617"/>
        <v>0</v>
      </c>
      <c r="BC263" s="2">
        <f t="shared" si="617"/>
        <v>0</v>
      </c>
      <c r="BD263" s="2">
        <f t="shared" si="617"/>
        <v>0</v>
      </c>
      <c r="BE263" s="2">
        <f t="shared" si="617"/>
        <v>0</v>
      </c>
      <c r="BF263" s="2">
        <f t="shared" si="617"/>
        <v>0</v>
      </c>
      <c r="BG263" s="2">
        <f t="shared" si="617"/>
        <v>0</v>
      </c>
      <c r="BI263" s="2">
        <f t="shared" si="618"/>
        <v>0</v>
      </c>
      <c r="BJ263" s="2">
        <f t="shared" si="619"/>
        <v>0</v>
      </c>
      <c r="BK263" s="2">
        <f t="shared" si="619"/>
        <v>0</v>
      </c>
      <c r="BL263" s="2">
        <f t="shared" si="619"/>
        <v>0</v>
      </c>
      <c r="BM263" s="2">
        <f t="shared" si="619"/>
        <v>0</v>
      </c>
      <c r="BN263" s="2">
        <f t="shared" si="619"/>
        <v>0</v>
      </c>
      <c r="BO263" s="2">
        <f t="shared" si="619"/>
        <v>0</v>
      </c>
      <c r="BQ263" s="28" t="s">
        <v>350</v>
      </c>
      <c r="BR263" s="23">
        <v>0</v>
      </c>
      <c r="BS263" s="14">
        <f t="shared" si="627"/>
        <v>0</v>
      </c>
      <c r="BT263" s="14">
        <f t="shared" si="627"/>
        <v>0</v>
      </c>
      <c r="BU263" s="14">
        <f t="shared" si="627"/>
        <v>0</v>
      </c>
      <c r="BV263" s="14">
        <f t="shared" si="628"/>
        <v>0</v>
      </c>
      <c r="BW263" s="14">
        <f t="shared" si="628"/>
        <v>0</v>
      </c>
      <c r="BX263" s="14">
        <f t="shared" si="628"/>
        <v>0</v>
      </c>
      <c r="BY263" s="14">
        <f t="shared" si="628"/>
        <v>0</v>
      </c>
      <c r="BZ263" s="14">
        <f t="shared" si="628"/>
        <v>0</v>
      </c>
      <c r="CA263" s="14">
        <f t="shared" si="628"/>
        <v>0</v>
      </c>
      <c r="CB263" s="14">
        <f t="shared" si="628"/>
        <v>0</v>
      </c>
      <c r="CC263" s="14">
        <f t="shared" si="629"/>
        <v>0</v>
      </c>
      <c r="CD263" s="14">
        <f t="shared" si="629"/>
        <v>0</v>
      </c>
      <c r="CE263" s="14">
        <f t="shared" si="629"/>
        <v>0</v>
      </c>
      <c r="CF263" s="14">
        <f t="shared" si="629"/>
        <v>0</v>
      </c>
      <c r="CG263" s="14">
        <f t="shared" si="630"/>
        <v>0</v>
      </c>
      <c r="CH263" s="14">
        <f t="shared" si="630"/>
        <v>0</v>
      </c>
      <c r="CI263" s="14">
        <f t="shared" si="630"/>
        <v>1</v>
      </c>
      <c r="CJ263" s="14"/>
      <c r="CK263" s="112" t="str">
        <f t="shared" si="623"/>
        <v>Input - 100% Rev</v>
      </c>
      <c r="CL263" s="76">
        <f t="shared" si="570"/>
        <v>0</v>
      </c>
      <c r="CM263" s="2">
        <f t="shared" si="624"/>
        <v>0</v>
      </c>
      <c r="CN263" s="2">
        <f t="shared" si="624"/>
        <v>0</v>
      </c>
      <c r="CO263" s="2">
        <f t="shared" si="624"/>
        <v>0</v>
      </c>
      <c r="CP263" s="2">
        <f t="shared" si="624"/>
        <v>0</v>
      </c>
      <c r="CQ263" s="2">
        <f t="shared" si="624"/>
        <v>0</v>
      </c>
      <c r="CR263" s="2">
        <f t="shared" si="624"/>
        <v>0</v>
      </c>
    </row>
    <row r="264" spans="1:96">
      <c r="A264" s="50">
        <f t="shared" si="434"/>
        <v>264</v>
      </c>
      <c r="C264" s="36" t="s">
        <v>151</v>
      </c>
      <c r="D264" s="28" t="s">
        <v>355</v>
      </c>
      <c r="E264" s="23">
        <v>0</v>
      </c>
      <c r="F264" s="60" t="str">
        <f>"as Labor O&amp;M Exp. ("&amp;BS$1&amp;A$344&amp;")"</f>
        <v>as Labor O&amp;M Exp. (BS344)</v>
      </c>
      <c r="G264" s="60"/>
      <c r="H264" s="2">
        <f t="shared" si="608"/>
        <v>0</v>
      </c>
      <c r="I264" s="21">
        <f t="shared" ref="I264:N264" si="631">$E264*CM$344/$BR$344</f>
        <v>0</v>
      </c>
      <c r="J264" s="21">
        <f t="shared" si="631"/>
        <v>0</v>
      </c>
      <c r="K264" s="21">
        <f t="shared" si="631"/>
        <v>0</v>
      </c>
      <c r="L264" s="21">
        <f t="shared" si="631"/>
        <v>0</v>
      </c>
      <c r="M264" s="21">
        <f t="shared" si="631"/>
        <v>0</v>
      </c>
      <c r="N264" s="21">
        <f t="shared" si="631"/>
        <v>0</v>
      </c>
      <c r="O264" s="2"/>
      <c r="P264" s="61" t="str">
        <f>E$1&amp;$A264&amp;"* "&amp;CM$1&amp;A$344&amp;" / "&amp;BR$1&amp;A$344</f>
        <v>E264* CM344 / BR344</v>
      </c>
      <c r="Q264" s="61"/>
      <c r="R264" s="14">
        <f>BS$344</f>
        <v>0.10913184265939331</v>
      </c>
      <c r="S264" s="14">
        <f>BT$344</f>
        <v>3.3021876247189427E-2</v>
      </c>
      <c r="T264" s="14">
        <f t="shared" ref="T264:AH264" si="632">BU$344</f>
        <v>2.9366713079939091E-3</v>
      </c>
      <c r="U264" s="14">
        <f t="shared" si="632"/>
        <v>1.9653107984266921E-2</v>
      </c>
      <c r="V264" s="14">
        <f t="shared" si="632"/>
        <v>0</v>
      </c>
      <c r="W264" s="14">
        <f t="shared" si="632"/>
        <v>0.16142462055819431</v>
      </c>
      <c r="X264" s="14">
        <f t="shared" si="632"/>
        <v>0</v>
      </c>
      <c r="Y264" s="14">
        <f t="shared" si="632"/>
        <v>0</v>
      </c>
      <c r="Z264" s="14">
        <f t="shared" si="632"/>
        <v>0</v>
      </c>
      <c r="AA264" s="14">
        <f t="shared" si="632"/>
        <v>0</v>
      </c>
      <c r="AB264" s="14">
        <f t="shared" si="632"/>
        <v>0.37507244202834572</v>
      </c>
      <c r="AC264" s="14">
        <f t="shared" si="632"/>
        <v>0.18309838925091035</v>
      </c>
      <c r="AD264" s="14">
        <f t="shared" si="632"/>
        <v>0.11390268710509913</v>
      </c>
      <c r="AE264" s="14">
        <f t="shared" si="632"/>
        <v>0</v>
      </c>
      <c r="AF264" s="14">
        <f t="shared" si="632"/>
        <v>1.7583628586068862E-3</v>
      </c>
      <c r="AG264" s="14">
        <f t="shared" si="632"/>
        <v>0</v>
      </c>
      <c r="AH264" s="14">
        <f t="shared" si="632"/>
        <v>-4.5942138576433119E-19</v>
      </c>
      <c r="AI264" s="76">
        <f t="shared" si="607"/>
        <v>0</v>
      </c>
      <c r="AK264" s="2">
        <f t="shared" si="612"/>
        <v>0</v>
      </c>
      <c r="AL264" s="2">
        <f t="shared" si="613"/>
        <v>0</v>
      </c>
      <c r="AM264" s="2">
        <f t="shared" si="613"/>
        <v>0</v>
      </c>
      <c r="AN264" s="2">
        <f t="shared" si="613"/>
        <v>0</v>
      </c>
      <c r="AO264" s="2">
        <f t="shared" si="613"/>
        <v>0</v>
      </c>
      <c r="AP264" s="2"/>
      <c r="AQ264" s="61" t="str">
        <f>E$1&amp;$A264&amp;"*      """</f>
        <v>E264*      "</v>
      </c>
      <c r="AS264" s="2">
        <f t="shared" si="614"/>
        <v>0</v>
      </c>
      <c r="AT264" s="2">
        <f t="shared" si="615"/>
        <v>0</v>
      </c>
      <c r="AU264" s="2">
        <f t="shared" si="615"/>
        <v>0</v>
      </c>
      <c r="AV264" s="2">
        <f t="shared" si="615"/>
        <v>0</v>
      </c>
      <c r="AW264" s="2">
        <f t="shared" si="615"/>
        <v>0</v>
      </c>
      <c r="AX264" s="2">
        <f t="shared" si="615"/>
        <v>0</v>
      </c>
      <c r="AY264" s="2">
        <f t="shared" si="615"/>
        <v>0</v>
      </c>
      <c r="BA264" s="2">
        <f t="shared" si="616"/>
        <v>0</v>
      </c>
      <c r="BB264" s="2">
        <f t="shared" si="617"/>
        <v>0</v>
      </c>
      <c r="BC264" s="2">
        <f t="shared" si="617"/>
        <v>0</v>
      </c>
      <c r="BD264" s="2">
        <f t="shared" si="617"/>
        <v>0</v>
      </c>
      <c r="BE264" s="2">
        <f t="shared" si="617"/>
        <v>0</v>
      </c>
      <c r="BF264" s="2">
        <f t="shared" si="617"/>
        <v>0</v>
      </c>
      <c r="BG264" s="2">
        <f t="shared" si="617"/>
        <v>0</v>
      </c>
      <c r="BI264" s="2">
        <f t="shared" si="618"/>
        <v>0</v>
      </c>
      <c r="BJ264" s="2">
        <f t="shared" si="619"/>
        <v>0</v>
      </c>
      <c r="BK264" s="2">
        <f t="shared" si="619"/>
        <v>0</v>
      </c>
      <c r="BL264" s="2">
        <f t="shared" si="619"/>
        <v>0</v>
      </c>
      <c r="BM264" s="2">
        <f t="shared" si="619"/>
        <v>0</v>
      </c>
      <c r="BN264" s="2">
        <f t="shared" si="619"/>
        <v>0</v>
      </c>
      <c r="BO264" s="2">
        <f t="shared" si="619"/>
        <v>0</v>
      </c>
      <c r="BQ264" s="28" t="s">
        <v>355</v>
      </c>
      <c r="BR264" s="23">
        <v>0</v>
      </c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112" t="str">
        <f t="shared" si="623"/>
        <v>as Labor O&amp;M Exp. (BS344)</v>
      </c>
      <c r="CL264" s="76">
        <f t="shared" si="570"/>
        <v>0</v>
      </c>
      <c r="CM264" s="2"/>
      <c r="CN264" s="2"/>
      <c r="CO264" s="2"/>
      <c r="CP264" s="2"/>
      <c r="CQ264" s="2"/>
      <c r="CR264" s="2"/>
    </row>
    <row r="265" spans="1:96">
      <c r="A265" s="50">
        <f t="shared" si="434"/>
        <v>265</v>
      </c>
      <c r="B265" t="s">
        <v>43</v>
      </c>
      <c r="D265" t="s">
        <v>44</v>
      </c>
      <c r="E265" s="2"/>
      <c r="F265" s="60"/>
      <c r="G265" s="60"/>
      <c r="P265" s="61"/>
      <c r="Q265" s="61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76">
        <f t="shared" si="607"/>
        <v>0</v>
      </c>
      <c r="AQ265" s="61"/>
      <c r="BQ265" t="s">
        <v>44</v>
      </c>
      <c r="CK265" s="112"/>
      <c r="CL265" s="76">
        <f t="shared" si="570"/>
        <v>0</v>
      </c>
    </row>
    <row r="266" spans="1:96">
      <c r="A266" s="50">
        <f t="shared" si="434"/>
        <v>266</v>
      </c>
      <c r="C266" s="36" t="s">
        <v>151</v>
      </c>
      <c r="D266" s="56" t="s">
        <v>147</v>
      </c>
      <c r="E266" s="373">
        <f>PROFORMA!AY129</f>
        <v>846000</v>
      </c>
      <c r="F266" s="61" t="s">
        <v>996</v>
      </c>
      <c r="G266" s="60"/>
      <c r="H266" s="2">
        <f t="shared" ref="H266:H271" si="633">SUM(I266:N266)</f>
        <v>846000.00000000012</v>
      </c>
      <c r="I266" s="2">
        <f t="shared" ref="I266:N270" si="634">$E266*SUMPRODUCT($R266:$AH266,INDEX(AllocFactors,I$4,0))</f>
        <v>712096.10762357444</v>
      </c>
      <c r="J266" s="2">
        <f t="shared" si="634"/>
        <v>108063.9270396331</v>
      </c>
      <c r="K266" s="2">
        <f t="shared" si="634"/>
        <v>0</v>
      </c>
      <c r="L266" s="2">
        <f t="shared" si="634"/>
        <v>2607.8426978107232</v>
      </c>
      <c r="M266" s="2">
        <f t="shared" si="634"/>
        <v>23232.1226389818</v>
      </c>
      <c r="N266" s="2">
        <f t="shared" si="634"/>
        <v>0</v>
      </c>
      <c r="O266" s="2"/>
      <c r="P266" s="61" t="s">
        <v>997</v>
      </c>
      <c r="Q266" s="61"/>
      <c r="R266" s="14">
        <f>R$259</f>
        <v>9.9370957155623774E-2</v>
      </c>
      <c r="S266" s="14">
        <f t="shared" ref="S266:AH266" si="635">S$259</f>
        <v>1.5218388550417537E-2</v>
      </c>
      <c r="T266" s="14">
        <f t="shared" si="635"/>
        <v>8.699877677308605E-3</v>
      </c>
      <c r="U266" s="14">
        <f t="shared" si="635"/>
        <v>5.822225830198835E-2</v>
      </c>
      <c r="V266" s="14">
        <f t="shared" si="635"/>
        <v>0</v>
      </c>
      <c r="W266" s="14">
        <f t="shared" si="635"/>
        <v>0.15327818313927072</v>
      </c>
      <c r="X266" s="14">
        <f t="shared" si="635"/>
        <v>0</v>
      </c>
      <c r="Y266" s="14">
        <f t="shared" si="635"/>
        <v>0</v>
      </c>
      <c r="Z266" s="14">
        <f t="shared" si="635"/>
        <v>0</v>
      </c>
      <c r="AA266" s="14">
        <f t="shared" si="635"/>
        <v>0</v>
      </c>
      <c r="AB266" s="14">
        <f t="shared" si="635"/>
        <v>0.41313387731559803</v>
      </c>
      <c r="AC266" s="14">
        <f t="shared" si="635"/>
        <v>0.17108548237195526</v>
      </c>
      <c r="AD266" s="14">
        <f t="shared" si="635"/>
        <v>7.9473703927617212E-2</v>
      </c>
      <c r="AE266" s="14">
        <f t="shared" si="635"/>
        <v>0</v>
      </c>
      <c r="AF266" s="14">
        <f t="shared" si="635"/>
        <v>1.5172715602204624E-3</v>
      </c>
      <c r="AG266" s="14">
        <f t="shared" si="635"/>
        <v>0</v>
      </c>
      <c r="AH266" s="14">
        <f t="shared" si="635"/>
        <v>-1.4146429571039994E-18</v>
      </c>
      <c r="AI266" s="76">
        <f t="shared" si="607"/>
        <v>0</v>
      </c>
      <c r="AK266" s="2">
        <f t="shared" ref="AK266:AK271" si="636">SUM(AL266:AO266)</f>
        <v>845999.99999999988</v>
      </c>
      <c r="AL266" s="2">
        <f t="shared" ref="AL266:AO271" si="637">SUMIF($R$4:$AH$4,AL$5,$R266:$AH266)*$E266</f>
        <v>153558.71350579616</v>
      </c>
      <c r="AM266" s="2">
        <f t="shared" si="637"/>
        <v>129673.34293582302</v>
      </c>
      <c r="AN266" s="2">
        <f t="shared" si="637"/>
        <v>562767.94355838071</v>
      </c>
      <c r="AO266" s="2">
        <f t="shared" si="637"/>
        <v>-1.1967879417099834E-12</v>
      </c>
      <c r="AP266" s="2"/>
      <c r="AQ266" s="61" t="str">
        <f>E$1&amp;$A266&amp;"*["&amp;R$1&amp;$A266&amp;":"&amp;$AH$1&amp;$A266&amp;" when "&amp;R$1&amp;$A$4&amp;":"&amp;$AH$1&amp;$A$4&amp;" = E,D,C,or R]"</f>
        <v>E266*[R266:AH266 when R4:AH4 = E,D,C,or R]</v>
      </c>
      <c r="AS266" s="2">
        <f t="shared" ref="AS266:AS271" si="638">SUM(AT266:AY266)</f>
        <v>153558.71350579619</v>
      </c>
      <c r="AT266" s="2">
        <f t="shared" ref="AT266:AY271" si="639">$E266*SUMPRODUCT($R266:$V266,INDEX(AllocFactors_E,AT$4,0))</f>
        <v>97271.070179128947</v>
      </c>
      <c r="AU266" s="2">
        <f t="shared" si="639"/>
        <v>42618.978624835603</v>
      </c>
      <c r="AV266" s="2">
        <f t="shared" si="639"/>
        <v>0</v>
      </c>
      <c r="AW266" s="2">
        <f t="shared" si="639"/>
        <v>1535.2506214218097</v>
      </c>
      <c r="AX266" s="2">
        <f t="shared" si="639"/>
        <v>12133.41408040983</v>
      </c>
      <c r="AY266" s="2">
        <f t="shared" si="639"/>
        <v>0</v>
      </c>
      <c r="BA266" s="2">
        <f t="shared" ref="BA266:BA271" si="640">SUM(BB266:BG266)</f>
        <v>129673.34293582301</v>
      </c>
      <c r="BB266" s="2">
        <f t="shared" ref="BB266:BG271" si="641">$E266*SUMPRODUCT($W266:$AA266,INDEX(AllocFactors_D,BB$4,0))</f>
        <v>73311.015193897256</v>
      </c>
      <c r="BC266" s="2">
        <f t="shared" si="641"/>
        <v>45244.023143991886</v>
      </c>
      <c r="BD266" s="2">
        <f t="shared" si="641"/>
        <v>0</v>
      </c>
      <c r="BE266" s="2">
        <f t="shared" si="641"/>
        <v>974.85825411661267</v>
      </c>
      <c r="BF266" s="2">
        <f t="shared" si="641"/>
        <v>10143.446343817259</v>
      </c>
      <c r="BG266" s="2">
        <f t="shared" si="641"/>
        <v>0</v>
      </c>
      <c r="BI266" s="2">
        <f t="shared" ref="BI266:BI271" si="642">SUM(BJ266:BO266)</f>
        <v>562767.94355838071</v>
      </c>
      <c r="BJ266" s="2">
        <f t="shared" ref="BJ266:BO271" si="643">$E266*SUMPRODUCT($AB266:$AG266,INDEX(AllocFactors_C,BJ$4,0))</f>
        <v>541514.02225054812</v>
      </c>
      <c r="BK266" s="2">
        <f t="shared" si="643"/>
        <v>20200.925270805612</v>
      </c>
      <c r="BL266" s="2">
        <f t="shared" si="643"/>
        <v>0</v>
      </c>
      <c r="BM266" s="2">
        <f t="shared" si="643"/>
        <v>97.733822272300898</v>
      </c>
      <c r="BN266" s="2">
        <f t="shared" si="643"/>
        <v>955.26221475471277</v>
      </c>
      <c r="BO266" s="2">
        <f t="shared" si="643"/>
        <v>0</v>
      </c>
      <c r="BQ266" s="28" t="s">
        <v>351</v>
      </c>
      <c r="BR266" s="23">
        <v>42732</v>
      </c>
      <c r="BS266" s="14">
        <f t="shared" ref="BS266:BU267" si="644">R266</f>
        <v>9.9370957155623774E-2</v>
      </c>
      <c r="BT266" s="14">
        <f t="shared" si="644"/>
        <v>1.5218388550417537E-2</v>
      </c>
      <c r="BU266" s="14">
        <f t="shared" si="644"/>
        <v>8.699877677308605E-3</v>
      </c>
      <c r="BV266" s="14">
        <f t="shared" ref="BV266:CE267" si="645">U266</f>
        <v>5.822225830198835E-2</v>
      </c>
      <c r="BW266" s="14">
        <f t="shared" si="645"/>
        <v>0</v>
      </c>
      <c r="BX266" s="14">
        <f t="shared" si="645"/>
        <v>0.15327818313927072</v>
      </c>
      <c r="BY266" s="14">
        <f t="shared" si="645"/>
        <v>0</v>
      </c>
      <c r="BZ266" s="14">
        <f t="shared" si="645"/>
        <v>0</v>
      </c>
      <c r="CA266" s="14">
        <f t="shared" si="645"/>
        <v>0</v>
      </c>
      <c r="CB266" s="14">
        <f t="shared" si="645"/>
        <v>0</v>
      </c>
      <c r="CC266" s="14">
        <f t="shared" si="645"/>
        <v>0.41313387731559803</v>
      </c>
      <c r="CD266" s="14">
        <f t="shared" si="645"/>
        <v>0.17108548237195526</v>
      </c>
      <c r="CE266" s="14">
        <f t="shared" si="645"/>
        <v>7.9473703927617212E-2</v>
      </c>
      <c r="CF266" s="14">
        <f>AE266</f>
        <v>0</v>
      </c>
      <c r="CG266" s="14">
        <f t="shared" ref="CG266:CI267" si="646">AF266</f>
        <v>1.5172715602204624E-3</v>
      </c>
      <c r="CH266" s="14">
        <f t="shared" si="646"/>
        <v>0</v>
      </c>
      <c r="CI266" s="14">
        <f t="shared" si="646"/>
        <v>-1.4146429571039994E-18</v>
      </c>
      <c r="CJ266" s="14"/>
      <c r="CK266" s="112" t="str">
        <f t="shared" ref="CK266:CK271" si="647">F266</f>
        <v>4-Factor</v>
      </c>
      <c r="CL266" s="76">
        <f t="shared" si="570"/>
        <v>0</v>
      </c>
      <c r="CM266" s="2">
        <f t="shared" ref="CM266:CR270" si="648">$BR266*SUMPRODUCT($BS266:$CI266,INDEX(AllocFactors,CM$172,0))</f>
        <v>35968.428925497145</v>
      </c>
      <c r="CN266" s="2">
        <f t="shared" si="648"/>
        <v>5458.3779317465742</v>
      </c>
      <c r="CO266" s="2">
        <f t="shared" si="648"/>
        <v>0</v>
      </c>
      <c r="CP266" s="2">
        <f t="shared" si="648"/>
        <v>131.72379924686504</v>
      </c>
      <c r="CQ266" s="2">
        <f t="shared" si="648"/>
        <v>1173.4693435094212</v>
      </c>
      <c r="CR266" s="2">
        <f t="shared" si="648"/>
        <v>0</v>
      </c>
    </row>
    <row r="267" spans="1:96">
      <c r="A267" s="50">
        <f t="shared" si="434"/>
        <v>267</v>
      </c>
      <c r="C267" s="36" t="s">
        <v>151</v>
      </c>
      <c r="D267" s="56" t="s">
        <v>352</v>
      </c>
      <c r="E267" s="135">
        <v>0</v>
      </c>
      <c r="F267" s="442" t="s">
        <v>444</v>
      </c>
      <c r="G267" s="60"/>
      <c r="H267" s="2">
        <f t="shared" si="633"/>
        <v>0</v>
      </c>
      <c r="I267" s="2">
        <f t="shared" si="634"/>
        <v>0</v>
      </c>
      <c r="J267" s="2">
        <f t="shared" si="634"/>
        <v>0</v>
      </c>
      <c r="K267" s="2">
        <f t="shared" si="634"/>
        <v>0</v>
      </c>
      <c r="L267" s="2">
        <f t="shared" si="634"/>
        <v>0</v>
      </c>
      <c r="M267" s="2">
        <f t="shared" si="634"/>
        <v>0</v>
      </c>
      <c r="N267" s="2">
        <f t="shared" si="634"/>
        <v>0</v>
      </c>
      <c r="O267" s="2"/>
      <c r="P267" s="61" t="str">
        <f>E$1&amp;$A267&amp;"*     """</f>
        <v>E267*     "</v>
      </c>
      <c r="Q267" s="61"/>
      <c r="R267" s="441">
        <v>1</v>
      </c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76">
        <f t="shared" si="607"/>
        <v>0</v>
      </c>
      <c r="AK267" s="2">
        <f t="shared" si="636"/>
        <v>0</v>
      </c>
      <c r="AL267" s="2">
        <f t="shared" si="637"/>
        <v>0</v>
      </c>
      <c r="AM267" s="2">
        <f t="shared" si="637"/>
        <v>0</v>
      </c>
      <c r="AN267" s="2">
        <f t="shared" si="637"/>
        <v>0</v>
      </c>
      <c r="AO267" s="2">
        <f t="shared" si="637"/>
        <v>0</v>
      </c>
      <c r="AP267" s="2"/>
      <c r="AQ267" s="61" t="str">
        <f>E$1&amp;$A267&amp;"*      """</f>
        <v>E267*      "</v>
      </c>
      <c r="AS267" s="2">
        <f t="shared" si="638"/>
        <v>0</v>
      </c>
      <c r="AT267" s="2">
        <f t="shared" si="639"/>
        <v>0</v>
      </c>
      <c r="AU267" s="2">
        <f t="shared" si="639"/>
        <v>0</v>
      </c>
      <c r="AV267" s="2">
        <f t="shared" si="639"/>
        <v>0</v>
      </c>
      <c r="AW267" s="2">
        <f t="shared" si="639"/>
        <v>0</v>
      </c>
      <c r="AX267" s="2">
        <f t="shared" si="639"/>
        <v>0</v>
      </c>
      <c r="AY267" s="2">
        <f t="shared" si="639"/>
        <v>0</v>
      </c>
      <c r="BA267" s="2">
        <f t="shared" si="640"/>
        <v>0</v>
      </c>
      <c r="BB267" s="2">
        <f t="shared" si="641"/>
        <v>0</v>
      </c>
      <c r="BC267" s="2">
        <f t="shared" si="641"/>
        <v>0</v>
      </c>
      <c r="BD267" s="2">
        <f t="shared" si="641"/>
        <v>0</v>
      </c>
      <c r="BE267" s="2">
        <f t="shared" si="641"/>
        <v>0</v>
      </c>
      <c r="BF267" s="2">
        <f t="shared" si="641"/>
        <v>0</v>
      </c>
      <c r="BG267" s="2">
        <f t="shared" si="641"/>
        <v>0</v>
      </c>
      <c r="BI267" s="2">
        <f t="shared" si="642"/>
        <v>0</v>
      </c>
      <c r="BJ267" s="2">
        <f t="shared" si="643"/>
        <v>0</v>
      </c>
      <c r="BK267" s="2">
        <f t="shared" si="643"/>
        <v>0</v>
      </c>
      <c r="BL267" s="2">
        <f t="shared" si="643"/>
        <v>0</v>
      </c>
      <c r="BM267" s="2">
        <f t="shared" si="643"/>
        <v>0</v>
      </c>
      <c r="BN267" s="2">
        <f t="shared" si="643"/>
        <v>0</v>
      </c>
      <c r="BO267" s="2">
        <f t="shared" si="643"/>
        <v>0</v>
      </c>
      <c r="BQ267" s="28" t="s">
        <v>352</v>
      </c>
      <c r="BR267" s="23">
        <v>0</v>
      </c>
      <c r="BS267" s="14">
        <f t="shared" si="644"/>
        <v>1</v>
      </c>
      <c r="BT267" s="14">
        <f t="shared" si="644"/>
        <v>0</v>
      </c>
      <c r="BU267" s="14">
        <f t="shared" si="644"/>
        <v>0</v>
      </c>
      <c r="BV267" s="14">
        <f t="shared" si="645"/>
        <v>0</v>
      </c>
      <c r="BW267" s="14">
        <f t="shared" si="645"/>
        <v>0</v>
      </c>
      <c r="BX267" s="14">
        <f t="shared" si="645"/>
        <v>0</v>
      </c>
      <c r="BY267" s="14">
        <f t="shared" si="645"/>
        <v>0</v>
      </c>
      <c r="BZ267" s="14">
        <f t="shared" si="645"/>
        <v>0</v>
      </c>
      <c r="CA267" s="14">
        <f t="shared" si="645"/>
        <v>0</v>
      </c>
      <c r="CB267" s="14">
        <f t="shared" si="645"/>
        <v>0</v>
      </c>
      <c r="CC267" s="14">
        <f t="shared" si="645"/>
        <v>0</v>
      </c>
      <c r="CD267" s="14">
        <f t="shared" si="645"/>
        <v>0</v>
      </c>
      <c r="CE267" s="14">
        <f t="shared" si="645"/>
        <v>0</v>
      </c>
      <c r="CF267" s="14">
        <f>AE267</f>
        <v>0</v>
      </c>
      <c r="CG267" s="14">
        <f t="shared" si="646"/>
        <v>0</v>
      </c>
      <c r="CH267" s="14">
        <f t="shared" si="646"/>
        <v>0</v>
      </c>
      <c r="CI267" s="14">
        <f t="shared" si="646"/>
        <v>0</v>
      </c>
      <c r="CJ267" s="14"/>
      <c r="CK267" s="112" t="str">
        <f t="shared" si="647"/>
        <v>Input - 100% Throughput</v>
      </c>
      <c r="CL267" s="76">
        <f t="shared" si="570"/>
        <v>0</v>
      </c>
      <c r="CM267" s="2">
        <f t="shared" si="648"/>
        <v>0</v>
      </c>
      <c r="CN267" s="2">
        <f t="shared" si="648"/>
        <v>0</v>
      </c>
      <c r="CO267" s="2">
        <f t="shared" si="648"/>
        <v>0</v>
      </c>
      <c r="CP267" s="2">
        <f t="shared" si="648"/>
        <v>0</v>
      </c>
      <c r="CQ267" s="2">
        <f t="shared" si="648"/>
        <v>0</v>
      </c>
      <c r="CR267" s="2">
        <f t="shared" si="648"/>
        <v>0</v>
      </c>
    </row>
    <row r="268" spans="1:96">
      <c r="A268" s="50">
        <f t="shared" si="434"/>
        <v>268</v>
      </c>
      <c r="C268" s="36" t="s">
        <v>151</v>
      </c>
      <c r="D268" s="28" t="s">
        <v>353</v>
      </c>
      <c r="E268" s="23">
        <v>0</v>
      </c>
      <c r="F268" s="60" t="str">
        <f>"as Plant in Service ("&amp;A$58&amp;")"</f>
        <v>as Plant in Service (58)</v>
      </c>
      <c r="G268" s="60"/>
      <c r="H268" s="2">
        <f t="shared" si="633"/>
        <v>0</v>
      </c>
      <c r="I268" s="2">
        <f t="shared" si="634"/>
        <v>0</v>
      </c>
      <c r="J268" s="2">
        <f t="shared" si="634"/>
        <v>0</v>
      </c>
      <c r="K268" s="2">
        <f t="shared" si="634"/>
        <v>0</v>
      </c>
      <c r="L268" s="2">
        <f t="shared" si="634"/>
        <v>0</v>
      </c>
      <c r="M268" s="2">
        <f t="shared" si="634"/>
        <v>0</v>
      </c>
      <c r="N268" s="2">
        <f t="shared" si="634"/>
        <v>0</v>
      </c>
      <c r="O268" s="2"/>
      <c r="P268" s="61" t="str">
        <f>E$1&amp;$A268&amp;"*     """</f>
        <v>E268*     "</v>
      </c>
      <c r="Q268" s="61"/>
      <c r="R268" s="14">
        <f>R$58</f>
        <v>0.16904766890389558</v>
      </c>
      <c r="S268" s="14">
        <f t="shared" ref="S268:AH268" si="649">S$58</f>
        <v>2.676215166561764E-3</v>
      </c>
      <c r="T268" s="14">
        <f t="shared" si="649"/>
        <v>6.7778250216338808E-3</v>
      </c>
      <c r="U268" s="14">
        <f t="shared" si="649"/>
        <v>4.5359290529395975E-2</v>
      </c>
      <c r="V268" s="14">
        <f t="shared" si="649"/>
        <v>0</v>
      </c>
      <c r="W268" s="14">
        <f t="shared" si="649"/>
        <v>0.27058822771397795</v>
      </c>
      <c r="X268" s="14">
        <f t="shared" si="649"/>
        <v>0</v>
      </c>
      <c r="Y268" s="14">
        <f t="shared" si="649"/>
        <v>0</v>
      </c>
      <c r="Z268" s="14">
        <f t="shared" si="649"/>
        <v>0</v>
      </c>
      <c r="AA268" s="14">
        <f t="shared" si="649"/>
        <v>0</v>
      </c>
      <c r="AB268" s="14">
        <f t="shared" si="649"/>
        <v>7.2651262952682066E-2</v>
      </c>
      <c r="AC268" s="14">
        <f t="shared" si="649"/>
        <v>0.31137572086955634</v>
      </c>
      <c r="AD268" s="14">
        <f t="shared" si="649"/>
        <v>0.11759557901028445</v>
      </c>
      <c r="AE268" s="14">
        <f t="shared" si="649"/>
        <v>0</v>
      </c>
      <c r="AF268" s="14">
        <f t="shared" si="649"/>
        <v>3.9282098320119977E-3</v>
      </c>
      <c r="AG268" s="14">
        <f t="shared" si="649"/>
        <v>0</v>
      </c>
      <c r="AH268" s="14">
        <f t="shared" si="649"/>
        <v>-2.4244162456526846E-19</v>
      </c>
      <c r="AI268" s="76">
        <f t="shared" si="607"/>
        <v>0</v>
      </c>
      <c r="AK268" s="2">
        <f t="shared" si="636"/>
        <v>0</v>
      </c>
      <c r="AL268" s="2">
        <f t="shared" si="637"/>
        <v>0</v>
      </c>
      <c r="AM268" s="2">
        <f t="shared" si="637"/>
        <v>0</v>
      </c>
      <c r="AN268" s="2">
        <f t="shared" si="637"/>
        <v>0</v>
      </c>
      <c r="AO268" s="2">
        <f t="shared" si="637"/>
        <v>0</v>
      </c>
      <c r="AP268" s="2"/>
      <c r="AQ268" s="61" t="str">
        <f>E$1&amp;$A268&amp;"*      """</f>
        <v>E268*      "</v>
      </c>
      <c r="AS268" s="2">
        <f t="shared" si="638"/>
        <v>0</v>
      </c>
      <c r="AT268" s="2">
        <f t="shared" si="639"/>
        <v>0</v>
      </c>
      <c r="AU268" s="2">
        <f t="shared" si="639"/>
        <v>0</v>
      </c>
      <c r="AV268" s="2">
        <f t="shared" si="639"/>
        <v>0</v>
      </c>
      <c r="AW268" s="2">
        <f t="shared" si="639"/>
        <v>0</v>
      </c>
      <c r="AX268" s="2">
        <f t="shared" si="639"/>
        <v>0</v>
      </c>
      <c r="AY268" s="2">
        <f t="shared" si="639"/>
        <v>0</v>
      </c>
      <c r="BA268" s="2">
        <f t="shared" si="640"/>
        <v>0</v>
      </c>
      <c r="BB268" s="2">
        <f t="shared" si="641"/>
        <v>0</v>
      </c>
      <c r="BC268" s="2">
        <f t="shared" si="641"/>
        <v>0</v>
      </c>
      <c r="BD268" s="2">
        <f t="shared" si="641"/>
        <v>0</v>
      </c>
      <c r="BE268" s="2">
        <f t="shared" si="641"/>
        <v>0</v>
      </c>
      <c r="BF268" s="2">
        <f t="shared" si="641"/>
        <v>0</v>
      </c>
      <c r="BG268" s="2">
        <f t="shared" si="641"/>
        <v>0</v>
      </c>
      <c r="BI268" s="2">
        <f t="shared" si="642"/>
        <v>0</v>
      </c>
      <c r="BJ268" s="2">
        <f t="shared" si="643"/>
        <v>0</v>
      </c>
      <c r="BK268" s="2">
        <f t="shared" si="643"/>
        <v>0</v>
      </c>
      <c r="BL268" s="2">
        <f t="shared" si="643"/>
        <v>0</v>
      </c>
      <c r="BM268" s="2">
        <f t="shared" si="643"/>
        <v>0</v>
      </c>
      <c r="BN268" s="2">
        <f t="shared" si="643"/>
        <v>0</v>
      </c>
      <c r="BO268" s="2">
        <f t="shared" si="643"/>
        <v>0</v>
      </c>
      <c r="BQ268" s="28" t="s">
        <v>353</v>
      </c>
      <c r="BR268" s="23">
        <v>0</v>
      </c>
      <c r="BS268" s="14">
        <f>R$58</f>
        <v>0.16904766890389558</v>
      </c>
      <c r="BT268" s="14">
        <f>S$58</f>
        <v>2.676215166561764E-3</v>
      </c>
      <c r="BU268" s="14">
        <f>T$58</f>
        <v>6.7778250216338808E-3</v>
      </c>
      <c r="BV268" s="14">
        <f t="shared" ref="BV268:CI268" si="650">U$58</f>
        <v>4.5359290529395975E-2</v>
      </c>
      <c r="BW268" s="14">
        <f t="shared" si="650"/>
        <v>0</v>
      </c>
      <c r="BX268" s="14">
        <f t="shared" si="650"/>
        <v>0.27058822771397795</v>
      </c>
      <c r="BY268" s="14">
        <f t="shared" si="650"/>
        <v>0</v>
      </c>
      <c r="BZ268" s="14">
        <f t="shared" si="650"/>
        <v>0</v>
      </c>
      <c r="CA268" s="14">
        <f t="shared" si="650"/>
        <v>0</v>
      </c>
      <c r="CB268" s="14">
        <f t="shared" si="650"/>
        <v>0</v>
      </c>
      <c r="CC268" s="14">
        <f t="shared" si="650"/>
        <v>7.2651262952682066E-2</v>
      </c>
      <c r="CD268" s="14">
        <f t="shared" si="650"/>
        <v>0.31137572086955634</v>
      </c>
      <c r="CE268" s="14">
        <f t="shared" si="650"/>
        <v>0.11759557901028445</v>
      </c>
      <c r="CF268" s="14">
        <f t="shared" si="650"/>
        <v>0</v>
      </c>
      <c r="CG268" s="14">
        <f t="shared" si="650"/>
        <v>3.9282098320119977E-3</v>
      </c>
      <c r="CH268" s="14">
        <f t="shared" si="650"/>
        <v>0</v>
      </c>
      <c r="CI268" s="14">
        <f t="shared" si="650"/>
        <v>-2.4244162456526846E-19</v>
      </c>
      <c r="CJ268" s="14"/>
      <c r="CK268" s="112" t="str">
        <f t="shared" si="647"/>
        <v>as Plant in Service (58)</v>
      </c>
      <c r="CL268" s="76">
        <f t="shared" si="570"/>
        <v>0</v>
      </c>
      <c r="CM268" s="2">
        <f t="shared" si="648"/>
        <v>0</v>
      </c>
      <c r="CN268" s="2">
        <f t="shared" si="648"/>
        <v>0</v>
      </c>
      <c r="CO268" s="2">
        <f t="shared" si="648"/>
        <v>0</v>
      </c>
      <c r="CP268" s="2">
        <f t="shared" si="648"/>
        <v>0</v>
      </c>
      <c r="CQ268" s="2">
        <f t="shared" si="648"/>
        <v>0</v>
      </c>
      <c r="CR268" s="2">
        <f t="shared" si="648"/>
        <v>0</v>
      </c>
    </row>
    <row r="269" spans="1:96">
      <c r="A269" s="50">
        <f t="shared" ref="A269:A332" si="651">RowHdr</f>
        <v>269</v>
      </c>
      <c r="C269" s="36" t="s">
        <v>156</v>
      </c>
      <c r="D269" s="28" t="s">
        <v>354</v>
      </c>
      <c r="E269" s="23">
        <v>0</v>
      </c>
      <c r="F269" s="60" t="s">
        <v>450</v>
      </c>
      <c r="G269" s="60"/>
      <c r="H269" s="2">
        <f t="shared" si="633"/>
        <v>0</v>
      </c>
      <c r="I269" s="2">
        <f t="shared" si="634"/>
        <v>0</v>
      </c>
      <c r="J269" s="2">
        <f t="shared" si="634"/>
        <v>0</v>
      </c>
      <c r="K269" s="2">
        <f t="shared" si="634"/>
        <v>0</v>
      </c>
      <c r="L269" s="2">
        <f t="shared" si="634"/>
        <v>0</v>
      </c>
      <c r="M269" s="2">
        <f t="shared" si="634"/>
        <v>0</v>
      </c>
      <c r="N269" s="2">
        <f t="shared" si="634"/>
        <v>0</v>
      </c>
      <c r="O269" s="2"/>
      <c r="P269" s="61" t="str">
        <f>E$1&amp;$A269&amp;"*     """</f>
        <v>E269*     "</v>
      </c>
      <c r="Q269" s="61"/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76">
        <f t="shared" si="607"/>
        <v>0</v>
      </c>
      <c r="AK269" s="2">
        <f t="shared" si="636"/>
        <v>0</v>
      </c>
      <c r="AL269" s="2">
        <f t="shared" si="637"/>
        <v>0</v>
      </c>
      <c r="AM269" s="2">
        <f t="shared" si="637"/>
        <v>0</v>
      </c>
      <c r="AN269" s="2">
        <f t="shared" si="637"/>
        <v>0</v>
      </c>
      <c r="AO269" s="2">
        <f t="shared" si="637"/>
        <v>0</v>
      </c>
      <c r="AP269" s="2"/>
      <c r="AQ269" s="61" t="str">
        <f>E$1&amp;$A269&amp;"*      """</f>
        <v>E269*      "</v>
      </c>
      <c r="AS269" s="2">
        <f t="shared" si="638"/>
        <v>0</v>
      </c>
      <c r="AT269" s="2">
        <f t="shared" si="639"/>
        <v>0</v>
      </c>
      <c r="AU269" s="2">
        <f t="shared" si="639"/>
        <v>0</v>
      </c>
      <c r="AV269" s="2">
        <f t="shared" si="639"/>
        <v>0</v>
      </c>
      <c r="AW269" s="2">
        <f t="shared" si="639"/>
        <v>0</v>
      </c>
      <c r="AX269" s="2">
        <f t="shared" si="639"/>
        <v>0</v>
      </c>
      <c r="AY269" s="2">
        <f t="shared" si="639"/>
        <v>0</v>
      </c>
      <c r="BA269" s="2">
        <f t="shared" si="640"/>
        <v>0</v>
      </c>
      <c r="BB269" s="2">
        <f t="shared" si="641"/>
        <v>0</v>
      </c>
      <c r="BC269" s="2">
        <f t="shared" si="641"/>
        <v>0</v>
      </c>
      <c r="BD269" s="2">
        <f t="shared" si="641"/>
        <v>0</v>
      </c>
      <c r="BE269" s="2">
        <f t="shared" si="641"/>
        <v>0</v>
      </c>
      <c r="BF269" s="2">
        <f t="shared" si="641"/>
        <v>0</v>
      </c>
      <c r="BG269" s="2">
        <f t="shared" si="641"/>
        <v>0</v>
      </c>
      <c r="BI269" s="2">
        <f t="shared" si="642"/>
        <v>0</v>
      </c>
      <c r="BJ269" s="2">
        <f t="shared" si="643"/>
        <v>0</v>
      </c>
      <c r="BK269" s="2">
        <f t="shared" si="643"/>
        <v>0</v>
      </c>
      <c r="BL269" s="2">
        <f t="shared" si="643"/>
        <v>0</v>
      </c>
      <c r="BM269" s="2">
        <f t="shared" si="643"/>
        <v>0</v>
      </c>
      <c r="BN269" s="2">
        <f t="shared" si="643"/>
        <v>0</v>
      </c>
      <c r="BO269" s="2">
        <f t="shared" si="643"/>
        <v>0</v>
      </c>
      <c r="BQ269" s="28" t="s">
        <v>354</v>
      </c>
      <c r="BR269" s="23">
        <v>0</v>
      </c>
      <c r="BS269" s="14">
        <f t="shared" ref="BS269:BU270" si="652">R269</f>
        <v>0</v>
      </c>
      <c r="BT269" s="14">
        <f t="shared" si="652"/>
        <v>0</v>
      </c>
      <c r="BU269" s="14">
        <f t="shared" si="652"/>
        <v>0</v>
      </c>
      <c r="BV269" s="14">
        <f t="shared" ref="BV269:CB270" si="653">U269</f>
        <v>0</v>
      </c>
      <c r="BW269" s="14">
        <f t="shared" si="653"/>
        <v>0</v>
      </c>
      <c r="BX269" s="14">
        <f t="shared" si="653"/>
        <v>0</v>
      </c>
      <c r="BY269" s="14">
        <f t="shared" si="653"/>
        <v>0</v>
      </c>
      <c r="BZ269" s="14">
        <f t="shared" si="653"/>
        <v>0</v>
      </c>
      <c r="CA269" s="14">
        <f t="shared" si="653"/>
        <v>0</v>
      </c>
      <c r="CB269" s="14">
        <f t="shared" si="653"/>
        <v>0</v>
      </c>
      <c r="CC269" s="14">
        <f t="shared" ref="CC269:CF270" si="654">AB269</f>
        <v>1</v>
      </c>
      <c r="CD269" s="14">
        <f t="shared" si="654"/>
        <v>0</v>
      </c>
      <c r="CE269" s="14">
        <f t="shared" si="654"/>
        <v>0</v>
      </c>
      <c r="CF269" s="14">
        <f t="shared" si="654"/>
        <v>0</v>
      </c>
      <c r="CG269" s="14">
        <f t="shared" ref="CG269:CI270" si="655">AF269</f>
        <v>0</v>
      </c>
      <c r="CH269" s="14">
        <f t="shared" si="655"/>
        <v>0</v>
      </c>
      <c r="CI269" s="14">
        <f t="shared" si="655"/>
        <v>0</v>
      </c>
      <c r="CJ269" s="14"/>
      <c r="CK269" s="112" t="str">
        <f t="shared" si="647"/>
        <v>Input - 100% Cust</v>
      </c>
      <c r="CL269" s="76">
        <f t="shared" si="570"/>
        <v>0</v>
      </c>
      <c r="CM269" s="2">
        <f t="shared" si="648"/>
        <v>0</v>
      </c>
      <c r="CN269" s="2">
        <f t="shared" si="648"/>
        <v>0</v>
      </c>
      <c r="CO269" s="2">
        <f t="shared" si="648"/>
        <v>0</v>
      </c>
      <c r="CP269" s="2">
        <f t="shared" si="648"/>
        <v>0</v>
      </c>
      <c r="CQ269" s="2">
        <f t="shared" si="648"/>
        <v>0</v>
      </c>
      <c r="CR269" s="2">
        <f t="shared" si="648"/>
        <v>0</v>
      </c>
    </row>
    <row r="270" spans="1:96">
      <c r="A270" s="50">
        <f t="shared" si="651"/>
        <v>270</v>
      </c>
      <c r="C270" s="36" t="s">
        <v>155</v>
      </c>
      <c r="D270" s="28" t="s">
        <v>350</v>
      </c>
      <c r="E270" s="23">
        <v>0</v>
      </c>
      <c r="F270" s="60" t="s">
        <v>451</v>
      </c>
      <c r="G270" s="60"/>
      <c r="H270" s="2">
        <f t="shared" si="633"/>
        <v>0</v>
      </c>
      <c r="I270" s="2">
        <f t="shared" si="634"/>
        <v>0</v>
      </c>
      <c r="J270" s="2">
        <f t="shared" si="634"/>
        <v>0</v>
      </c>
      <c r="K270" s="2">
        <f t="shared" si="634"/>
        <v>0</v>
      </c>
      <c r="L270" s="2">
        <f t="shared" si="634"/>
        <v>0</v>
      </c>
      <c r="M270" s="2">
        <f t="shared" si="634"/>
        <v>0</v>
      </c>
      <c r="N270" s="2">
        <f t="shared" si="634"/>
        <v>0</v>
      </c>
      <c r="O270" s="2"/>
      <c r="P270" s="61" t="str">
        <f>E$1&amp;$A270&amp;"*     """</f>
        <v>E270*     "</v>
      </c>
      <c r="Q270" s="61"/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76">
        <f t="shared" si="607"/>
        <v>0</v>
      </c>
      <c r="AK270" s="2">
        <f t="shared" si="636"/>
        <v>0</v>
      </c>
      <c r="AL270" s="2">
        <f t="shared" si="637"/>
        <v>0</v>
      </c>
      <c r="AM270" s="2">
        <f t="shared" si="637"/>
        <v>0</v>
      </c>
      <c r="AN270" s="2">
        <f t="shared" si="637"/>
        <v>0</v>
      </c>
      <c r="AO270" s="2">
        <f t="shared" si="637"/>
        <v>0</v>
      </c>
      <c r="AP270" s="2"/>
      <c r="AQ270" s="61" t="str">
        <f>E$1&amp;$A270&amp;"*      """</f>
        <v>E270*      "</v>
      </c>
      <c r="AS270" s="2">
        <f t="shared" si="638"/>
        <v>0</v>
      </c>
      <c r="AT270" s="2">
        <f t="shared" si="639"/>
        <v>0</v>
      </c>
      <c r="AU270" s="2">
        <f t="shared" si="639"/>
        <v>0</v>
      </c>
      <c r="AV270" s="2">
        <f t="shared" si="639"/>
        <v>0</v>
      </c>
      <c r="AW270" s="2">
        <f t="shared" si="639"/>
        <v>0</v>
      </c>
      <c r="AX270" s="2">
        <f t="shared" si="639"/>
        <v>0</v>
      </c>
      <c r="AY270" s="2">
        <f t="shared" si="639"/>
        <v>0</v>
      </c>
      <c r="BA270" s="2">
        <f t="shared" si="640"/>
        <v>0</v>
      </c>
      <c r="BB270" s="2">
        <f t="shared" si="641"/>
        <v>0</v>
      </c>
      <c r="BC270" s="2">
        <f t="shared" si="641"/>
        <v>0</v>
      </c>
      <c r="BD270" s="2">
        <f t="shared" si="641"/>
        <v>0</v>
      </c>
      <c r="BE270" s="2">
        <f t="shared" si="641"/>
        <v>0</v>
      </c>
      <c r="BF270" s="2">
        <f t="shared" si="641"/>
        <v>0</v>
      </c>
      <c r="BG270" s="2">
        <f t="shared" si="641"/>
        <v>0</v>
      </c>
      <c r="BI270" s="2">
        <f t="shared" si="642"/>
        <v>0</v>
      </c>
      <c r="BJ270" s="2">
        <f t="shared" si="643"/>
        <v>0</v>
      </c>
      <c r="BK270" s="2">
        <f t="shared" si="643"/>
        <v>0</v>
      </c>
      <c r="BL270" s="2">
        <f t="shared" si="643"/>
        <v>0</v>
      </c>
      <c r="BM270" s="2">
        <f t="shared" si="643"/>
        <v>0</v>
      </c>
      <c r="BN270" s="2">
        <f t="shared" si="643"/>
        <v>0</v>
      </c>
      <c r="BO270" s="2">
        <f t="shared" si="643"/>
        <v>0</v>
      </c>
      <c r="BQ270" s="28" t="s">
        <v>350</v>
      </c>
      <c r="BR270" s="23">
        <v>0</v>
      </c>
      <c r="BS270" s="14">
        <f t="shared" si="652"/>
        <v>0</v>
      </c>
      <c r="BT270" s="14">
        <f t="shared" si="652"/>
        <v>0</v>
      </c>
      <c r="BU270" s="14">
        <f t="shared" si="652"/>
        <v>0</v>
      </c>
      <c r="BV270" s="14">
        <f t="shared" si="653"/>
        <v>0</v>
      </c>
      <c r="BW270" s="14">
        <f t="shared" si="653"/>
        <v>0</v>
      </c>
      <c r="BX270" s="14">
        <f t="shared" si="653"/>
        <v>0</v>
      </c>
      <c r="BY270" s="14">
        <f t="shared" si="653"/>
        <v>0</v>
      </c>
      <c r="BZ270" s="14">
        <f t="shared" si="653"/>
        <v>0</v>
      </c>
      <c r="CA270" s="14">
        <f t="shared" si="653"/>
        <v>0</v>
      </c>
      <c r="CB270" s="14">
        <f t="shared" si="653"/>
        <v>0</v>
      </c>
      <c r="CC270" s="14">
        <f t="shared" si="654"/>
        <v>0</v>
      </c>
      <c r="CD270" s="14">
        <f t="shared" si="654"/>
        <v>0</v>
      </c>
      <c r="CE270" s="14">
        <f t="shared" si="654"/>
        <v>0</v>
      </c>
      <c r="CF270" s="14">
        <f t="shared" si="654"/>
        <v>0</v>
      </c>
      <c r="CG270" s="14">
        <f t="shared" si="655"/>
        <v>0</v>
      </c>
      <c r="CH270" s="14">
        <f t="shared" si="655"/>
        <v>0</v>
      </c>
      <c r="CI270" s="14">
        <f t="shared" si="655"/>
        <v>1</v>
      </c>
      <c r="CJ270" s="14"/>
      <c r="CK270" s="112" t="str">
        <f t="shared" si="647"/>
        <v>Input - 100% Rev</v>
      </c>
      <c r="CL270" s="76">
        <f t="shared" si="570"/>
        <v>0</v>
      </c>
      <c r="CM270" s="2">
        <f t="shared" si="648"/>
        <v>0</v>
      </c>
      <c r="CN270" s="2">
        <f t="shared" si="648"/>
        <v>0</v>
      </c>
      <c r="CO270" s="2">
        <f t="shared" si="648"/>
        <v>0</v>
      </c>
      <c r="CP270" s="2">
        <f t="shared" si="648"/>
        <v>0</v>
      </c>
      <c r="CQ270" s="2">
        <f t="shared" si="648"/>
        <v>0</v>
      </c>
      <c r="CR270" s="2">
        <f t="shared" si="648"/>
        <v>0</v>
      </c>
    </row>
    <row r="271" spans="1:96">
      <c r="A271" s="50">
        <f t="shared" si="651"/>
        <v>271</v>
      </c>
      <c r="C271" s="36" t="s">
        <v>151</v>
      </c>
      <c r="D271" s="28" t="s">
        <v>355</v>
      </c>
      <c r="E271" s="23">
        <v>0</v>
      </c>
      <c r="F271" s="60" t="str">
        <f>"as Labor O&amp;M Exp. ("&amp;BS$1&amp;A$344&amp;")"</f>
        <v>as Labor O&amp;M Exp. (BS344)</v>
      </c>
      <c r="G271" s="60"/>
      <c r="H271" s="2">
        <f t="shared" si="633"/>
        <v>0</v>
      </c>
      <c r="I271" s="21">
        <f t="shared" ref="I271:N271" si="656">$E271*CM$344/$BR$344</f>
        <v>0</v>
      </c>
      <c r="J271" s="21">
        <f t="shared" si="656"/>
        <v>0</v>
      </c>
      <c r="K271" s="21">
        <f t="shared" si="656"/>
        <v>0</v>
      </c>
      <c r="L271" s="21">
        <f t="shared" si="656"/>
        <v>0</v>
      </c>
      <c r="M271" s="21">
        <f t="shared" si="656"/>
        <v>0</v>
      </c>
      <c r="N271" s="21">
        <f t="shared" si="656"/>
        <v>0</v>
      </c>
      <c r="O271" s="2"/>
      <c r="P271" s="61" t="str">
        <f>E$1&amp;$A271&amp;"* "&amp;CM$1&amp;A$344&amp;" / "&amp;BR$1&amp;A$344</f>
        <v>E271* CM344 / BR344</v>
      </c>
      <c r="Q271" s="61"/>
      <c r="R271" s="14">
        <f>BS$344</f>
        <v>0.10913184265939331</v>
      </c>
      <c r="S271" s="14">
        <f>BT$344</f>
        <v>3.3021876247189427E-2</v>
      </c>
      <c r="T271" s="14">
        <f t="shared" ref="T271:AH271" si="657">BU$344</f>
        <v>2.9366713079939091E-3</v>
      </c>
      <c r="U271" s="14">
        <f t="shared" si="657"/>
        <v>1.9653107984266921E-2</v>
      </c>
      <c r="V271" s="14">
        <f t="shared" si="657"/>
        <v>0</v>
      </c>
      <c r="W271" s="14">
        <f t="shared" si="657"/>
        <v>0.16142462055819431</v>
      </c>
      <c r="X271" s="14">
        <f t="shared" si="657"/>
        <v>0</v>
      </c>
      <c r="Y271" s="14">
        <f t="shared" si="657"/>
        <v>0</v>
      </c>
      <c r="Z271" s="14">
        <f t="shared" si="657"/>
        <v>0</v>
      </c>
      <c r="AA271" s="14">
        <f t="shared" si="657"/>
        <v>0</v>
      </c>
      <c r="AB271" s="14">
        <f t="shared" si="657"/>
        <v>0.37507244202834572</v>
      </c>
      <c r="AC271" s="14">
        <f t="shared" si="657"/>
        <v>0.18309838925091035</v>
      </c>
      <c r="AD271" s="14">
        <f t="shared" si="657"/>
        <v>0.11390268710509913</v>
      </c>
      <c r="AE271" s="14">
        <f t="shared" si="657"/>
        <v>0</v>
      </c>
      <c r="AF271" s="14">
        <f t="shared" si="657"/>
        <v>1.7583628586068862E-3</v>
      </c>
      <c r="AG271" s="14">
        <f t="shared" si="657"/>
        <v>0</v>
      </c>
      <c r="AH271" s="14">
        <f t="shared" si="657"/>
        <v>-4.5942138576433119E-19</v>
      </c>
      <c r="AI271" s="76">
        <f t="shared" si="607"/>
        <v>0</v>
      </c>
      <c r="AK271" s="2">
        <f t="shared" si="636"/>
        <v>0</v>
      </c>
      <c r="AL271" s="2">
        <f t="shared" si="637"/>
        <v>0</v>
      </c>
      <c r="AM271" s="2">
        <f t="shared" si="637"/>
        <v>0</v>
      </c>
      <c r="AN271" s="2">
        <f t="shared" si="637"/>
        <v>0</v>
      </c>
      <c r="AO271" s="2">
        <f t="shared" si="637"/>
        <v>0</v>
      </c>
      <c r="AP271" s="2"/>
      <c r="AQ271" s="61" t="str">
        <f>E$1&amp;$A271&amp;"*      """</f>
        <v>E271*      "</v>
      </c>
      <c r="AS271" s="2">
        <f t="shared" si="638"/>
        <v>0</v>
      </c>
      <c r="AT271" s="2">
        <f t="shared" si="639"/>
        <v>0</v>
      </c>
      <c r="AU271" s="2">
        <f t="shared" si="639"/>
        <v>0</v>
      </c>
      <c r="AV271" s="2">
        <f t="shared" si="639"/>
        <v>0</v>
      </c>
      <c r="AW271" s="2">
        <f t="shared" si="639"/>
        <v>0</v>
      </c>
      <c r="AX271" s="2">
        <f t="shared" si="639"/>
        <v>0</v>
      </c>
      <c r="AY271" s="2">
        <f t="shared" si="639"/>
        <v>0</v>
      </c>
      <c r="BA271" s="2">
        <f t="shared" si="640"/>
        <v>0</v>
      </c>
      <c r="BB271" s="2">
        <f t="shared" si="641"/>
        <v>0</v>
      </c>
      <c r="BC271" s="2">
        <f t="shared" si="641"/>
        <v>0</v>
      </c>
      <c r="BD271" s="2">
        <f t="shared" si="641"/>
        <v>0</v>
      </c>
      <c r="BE271" s="2">
        <f t="shared" si="641"/>
        <v>0</v>
      </c>
      <c r="BF271" s="2">
        <f t="shared" si="641"/>
        <v>0</v>
      </c>
      <c r="BG271" s="2">
        <f t="shared" si="641"/>
        <v>0</v>
      </c>
      <c r="BI271" s="2">
        <f t="shared" si="642"/>
        <v>0</v>
      </c>
      <c r="BJ271" s="2">
        <f t="shared" si="643"/>
        <v>0</v>
      </c>
      <c r="BK271" s="2">
        <f t="shared" si="643"/>
        <v>0</v>
      </c>
      <c r="BL271" s="2">
        <f t="shared" si="643"/>
        <v>0</v>
      </c>
      <c r="BM271" s="2">
        <f t="shared" si="643"/>
        <v>0</v>
      </c>
      <c r="BN271" s="2">
        <f t="shared" si="643"/>
        <v>0</v>
      </c>
      <c r="BO271" s="2">
        <f t="shared" si="643"/>
        <v>0</v>
      </c>
      <c r="BQ271" s="28" t="s">
        <v>355</v>
      </c>
      <c r="BR271" s="23">
        <v>0</v>
      </c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112" t="str">
        <f t="shared" si="647"/>
        <v>as Labor O&amp;M Exp. (BS344)</v>
      </c>
      <c r="CL271" s="76">
        <f t="shared" si="570"/>
        <v>0</v>
      </c>
      <c r="CM271" s="2"/>
      <c r="CN271" s="2"/>
      <c r="CO271" s="2"/>
      <c r="CP271" s="2"/>
      <c r="CQ271" s="2"/>
      <c r="CR271" s="2"/>
    </row>
    <row r="272" spans="1:96">
      <c r="A272" s="50">
        <f t="shared" si="651"/>
        <v>272</v>
      </c>
      <c r="B272" t="s">
        <v>45</v>
      </c>
      <c r="C272"/>
      <c r="D272" t="s">
        <v>46</v>
      </c>
      <c r="F272"/>
      <c r="G272"/>
      <c r="AI272" s="76">
        <f t="shared" si="607"/>
        <v>0</v>
      </c>
      <c r="BQ272" t="s">
        <v>46</v>
      </c>
      <c r="CK272" s="112"/>
      <c r="CL272" s="76">
        <f t="shared" si="570"/>
        <v>0</v>
      </c>
    </row>
    <row r="273" spans="1:96">
      <c r="A273" s="50">
        <f t="shared" si="651"/>
        <v>273</v>
      </c>
      <c r="C273" s="36" t="s">
        <v>151</v>
      </c>
      <c r="D273" s="56" t="s">
        <v>147</v>
      </c>
      <c r="E273" s="373">
        <f>PROFORMA!AY130</f>
        <v>-14000</v>
      </c>
      <c r="F273" s="61" t="s">
        <v>996</v>
      </c>
      <c r="G273" s="60"/>
      <c r="H273" s="2">
        <f t="shared" ref="H273:H278" si="658">SUM(I273:N273)</f>
        <v>-13999.999999999998</v>
      </c>
      <c r="I273" s="21">
        <f t="shared" ref="I273:N277" si="659">$E273*SUMPRODUCT($R273:$AH273,INDEX(AllocFactors,I$4,0))</f>
        <v>-11784.096343652531</v>
      </c>
      <c r="J273" s="2">
        <f t="shared" si="659"/>
        <v>-1788.2919368260796</v>
      </c>
      <c r="K273" s="2">
        <f t="shared" si="659"/>
        <v>0</v>
      </c>
      <c r="L273" s="2">
        <f t="shared" si="659"/>
        <v>-43.155789325472966</v>
      </c>
      <c r="M273" s="2">
        <f t="shared" si="659"/>
        <v>-384.45593019591627</v>
      </c>
      <c r="N273" s="2">
        <f t="shared" si="659"/>
        <v>0</v>
      </c>
      <c r="O273" s="2"/>
      <c r="P273" s="61" t="s">
        <v>997</v>
      </c>
      <c r="Q273" s="61"/>
      <c r="R273" s="14">
        <f>R$259</f>
        <v>9.9370957155623774E-2</v>
      </c>
      <c r="S273" s="14">
        <f t="shared" ref="S273:AH273" si="660">S$259</f>
        <v>1.5218388550417537E-2</v>
      </c>
      <c r="T273" s="14">
        <f t="shared" si="660"/>
        <v>8.699877677308605E-3</v>
      </c>
      <c r="U273" s="14">
        <f t="shared" si="660"/>
        <v>5.822225830198835E-2</v>
      </c>
      <c r="V273" s="14">
        <f t="shared" si="660"/>
        <v>0</v>
      </c>
      <c r="W273" s="14">
        <f t="shared" si="660"/>
        <v>0.15327818313927072</v>
      </c>
      <c r="X273" s="14">
        <f t="shared" si="660"/>
        <v>0</v>
      </c>
      <c r="Y273" s="14">
        <f t="shared" si="660"/>
        <v>0</v>
      </c>
      <c r="Z273" s="14">
        <f t="shared" si="660"/>
        <v>0</v>
      </c>
      <c r="AA273" s="14">
        <f t="shared" si="660"/>
        <v>0</v>
      </c>
      <c r="AB273" s="14">
        <f t="shared" si="660"/>
        <v>0.41313387731559803</v>
      </c>
      <c r="AC273" s="14">
        <f t="shared" si="660"/>
        <v>0.17108548237195526</v>
      </c>
      <c r="AD273" s="14">
        <f t="shared" si="660"/>
        <v>7.9473703927617212E-2</v>
      </c>
      <c r="AE273" s="14">
        <f t="shared" si="660"/>
        <v>0</v>
      </c>
      <c r="AF273" s="14">
        <f t="shared" si="660"/>
        <v>1.5172715602204624E-3</v>
      </c>
      <c r="AG273" s="14">
        <f t="shared" si="660"/>
        <v>0</v>
      </c>
      <c r="AH273" s="14">
        <f t="shared" si="660"/>
        <v>-1.4146429571039994E-18</v>
      </c>
      <c r="AI273" s="76">
        <f t="shared" si="607"/>
        <v>0</v>
      </c>
      <c r="AK273" s="2">
        <f t="shared" ref="AK273:AK278" si="661">SUM(AL273:AO273)</f>
        <v>-14000</v>
      </c>
      <c r="AL273" s="2">
        <f t="shared" ref="AL273:AO278" si="662">SUMIF($R$4:$AH$4,AL$5,$R273:$AH273)*$E273</f>
        <v>-2541.1607435947358</v>
      </c>
      <c r="AM273" s="2">
        <f t="shared" si="662"/>
        <v>-2145.8945639497902</v>
      </c>
      <c r="AN273" s="2">
        <f t="shared" si="662"/>
        <v>-9312.9446924554741</v>
      </c>
      <c r="AO273" s="2">
        <f t="shared" si="662"/>
        <v>1.9805001399455992E-14</v>
      </c>
      <c r="AP273" s="2"/>
      <c r="AQ273" s="61" t="str">
        <f>E$1&amp;$A273&amp;"*["&amp;R$1&amp;$A273&amp;":"&amp;$AH$1&amp;$A273&amp;" when "&amp;R$1&amp;$A$4&amp;":"&amp;$AH$1&amp;$A$4&amp;" = E,D,C,or R]"</f>
        <v>E273*[R273:AH273 when R4:AH4 = E,D,C,or R]</v>
      </c>
      <c r="AS273" s="2">
        <f t="shared" ref="AS273:AS278" si="663">SUM(AT273:AY273)</f>
        <v>-2541.1607435947358</v>
      </c>
      <c r="AT273" s="2">
        <f t="shared" ref="AT273:AY278" si="664">$E273*SUMPRODUCT($R273:$V273,INDEX(AllocFactors_E,AT$4,0))</f>
        <v>-1609.6867405529613</v>
      </c>
      <c r="AU273" s="2">
        <f t="shared" si="664"/>
        <v>-705.27860608474998</v>
      </c>
      <c r="AV273" s="2">
        <f t="shared" si="664"/>
        <v>0</v>
      </c>
      <c r="AW273" s="2">
        <f t="shared" si="664"/>
        <v>-25.406038652370373</v>
      </c>
      <c r="AX273" s="2">
        <f t="shared" si="664"/>
        <v>-200.7893583046544</v>
      </c>
      <c r="AY273" s="2">
        <f t="shared" si="664"/>
        <v>0</v>
      </c>
      <c r="BA273" s="2">
        <f t="shared" ref="BA273:BA278" si="665">SUM(BB273:BG273)</f>
        <v>-2145.8945639497897</v>
      </c>
      <c r="BB273" s="2">
        <f t="shared" ref="BB273:BG278" si="666">$E273*SUMPRODUCT($W273:$AA273,INDEX(AllocFactors_D,BB$4,0))</f>
        <v>-1213.1846485987726</v>
      </c>
      <c r="BC273" s="2">
        <f t="shared" si="666"/>
        <v>-748.71905912043303</v>
      </c>
      <c r="BD273" s="2">
        <f t="shared" si="666"/>
        <v>0</v>
      </c>
      <c r="BE273" s="2">
        <f t="shared" si="666"/>
        <v>-16.13240609649241</v>
      </c>
      <c r="BF273" s="2">
        <f t="shared" si="666"/>
        <v>-167.85845013409175</v>
      </c>
      <c r="BG273" s="2">
        <f t="shared" si="666"/>
        <v>0</v>
      </c>
      <c r="BI273" s="2">
        <f t="shared" ref="BI273:BI278" si="667">SUM(BJ273:BO273)</f>
        <v>-9312.9446924554759</v>
      </c>
      <c r="BJ273" s="2">
        <f t="shared" ref="BJ273:BO278" si="668">$E273*SUMPRODUCT($AB273:$AG273,INDEX(AllocFactors_C,BJ$4,0))</f>
        <v>-8961.224954500798</v>
      </c>
      <c r="BK273" s="2">
        <f t="shared" si="668"/>
        <v>-334.29427162089667</v>
      </c>
      <c r="BL273" s="2">
        <f t="shared" si="668"/>
        <v>0</v>
      </c>
      <c r="BM273" s="2">
        <f t="shared" si="668"/>
        <v>-1.6173445766101804</v>
      </c>
      <c r="BN273" s="2">
        <f t="shared" si="668"/>
        <v>-15.808121757170188</v>
      </c>
      <c r="BO273" s="2">
        <f t="shared" si="668"/>
        <v>0</v>
      </c>
      <c r="BQ273" s="28" t="s">
        <v>351</v>
      </c>
      <c r="BR273" s="23">
        <v>0</v>
      </c>
      <c r="BS273" s="14">
        <f t="shared" ref="BS273:BU274" si="669">R273</f>
        <v>9.9370957155623774E-2</v>
      </c>
      <c r="BT273" s="14">
        <f t="shared" si="669"/>
        <v>1.5218388550417537E-2</v>
      </c>
      <c r="BU273" s="14">
        <f t="shared" si="669"/>
        <v>8.699877677308605E-3</v>
      </c>
      <c r="BV273" s="14">
        <f t="shared" ref="BV273:CE274" si="670">U273</f>
        <v>5.822225830198835E-2</v>
      </c>
      <c r="BW273" s="14">
        <f t="shared" si="670"/>
        <v>0</v>
      </c>
      <c r="BX273" s="14">
        <f t="shared" si="670"/>
        <v>0.15327818313927072</v>
      </c>
      <c r="BY273" s="14">
        <f t="shared" si="670"/>
        <v>0</v>
      </c>
      <c r="BZ273" s="14">
        <f t="shared" si="670"/>
        <v>0</v>
      </c>
      <c r="CA273" s="14">
        <f t="shared" si="670"/>
        <v>0</v>
      </c>
      <c r="CB273" s="14">
        <f t="shared" si="670"/>
        <v>0</v>
      </c>
      <c r="CC273" s="14">
        <f t="shared" si="670"/>
        <v>0.41313387731559803</v>
      </c>
      <c r="CD273" s="14">
        <f t="shared" si="670"/>
        <v>0.17108548237195526</v>
      </c>
      <c r="CE273" s="14">
        <f t="shared" si="670"/>
        <v>7.9473703927617212E-2</v>
      </c>
      <c r="CF273" s="14">
        <f>AE273</f>
        <v>0</v>
      </c>
      <c r="CG273" s="14">
        <f t="shared" ref="CG273:CI274" si="671">AF273</f>
        <v>1.5172715602204624E-3</v>
      </c>
      <c r="CH273" s="14">
        <f t="shared" si="671"/>
        <v>0</v>
      </c>
      <c r="CI273" s="14">
        <f t="shared" si="671"/>
        <v>-1.4146429571039994E-18</v>
      </c>
      <c r="CJ273" s="14"/>
      <c r="CK273" s="112" t="str">
        <f t="shared" ref="CK273:CK278" si="672">F273</f>
        <v>4-Factor</v>
      </c>
      <c r="CL273" s="76">
        <f t="shared" si="570"/>
        <v>0</v>
      </c>
      <c r="CM273" s="2">
        <f t="shared" ref="CM273:CR277" si="673">$BR273*SUMPRODUCT($BS273:$CI273,INDEX(AllocFactors,CM$172,0))</f>
        <v>0</v>
      </c>
      <c r="CN273" s="2">
        <f t="shared" si="673"/>
        <v>0</v>
      </c>
      <c r="CO273" s="2">
        <f t="shared" si="673"/>
        <v>0</v>
      </c>
      <c r="CP273" s="2">
        <f t="shared" si="673"/>
        <v>0</v>
      </c>
      <c r="CQ273" s="2">
        <f t="shared" si="673"/>
        <v>0</v>
      </c>
      <c r="CR273" s="2">
        <f t="shared" si="673"/>
        <v>0</v>
      </c>
    </row>
    <row r="274" spans="1:96">
      <c r="A274" s="50">
        <f t="shared" si="651"/>
        <v>274</v>
      </c>
      <c r="C274" s="36" t="s">
        <v>151</v>
      </c>
      <c r="D274" s="56" t="s">
        <v>352</v>
      </c>
      <c r="E274" s="135">
        <v>0</v>
      </c>
      <c r="F274" s="442" t="s">
        <v>444</v>
      </c>
      <c r="G274" s="60"/>
      <c r="H274" s="2">
        <f t="shared" si="658"/>
        <v>0</v>
      </c>
      <c r="I274" s="21">
        <f t="shared" si="659"/>
        <v>0</v>
      </c>
      <c r="J274" s="2">
        <f t="shared" si="659"/>
        <v>0</v>
      </c>
      <c r="K274" s="2">
        <f t="shared" si="659"/>
        <v>0</v>
      </c>
      <c r="L274" s="2">
        <f t="shared" si="659"/>
        <v>0</v>
      </c>
      <c r="M274" s="2">
        <f t="shared" si="659"/>
        <v>0</v>
      </c>
      <c r="N274" s="2">
        <f t="shared" si="659"/>
        <v>0</v>
      </c>
      <c r="O274" s="2"/>
      <c r="P274" s="61" t="str">
        <f>E$1&amp;$A274&amp;"*     """</f>
        <v>E274*     "</v>
      </c>
      <c r="Q274" s="61"/>
      <c r="R274" s="441">
        <v>1</v>
      </c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76">
        <f t="shared" si="607"/>
        <v>0</v>
      </c>
      <c r="AK274" s="2">
        <f t="shared" si="661"/>
        <v>0</v>
      </c>
      <c r="AL274" s="2">
        <f t="shared" si="662"/>
        <v>0</v>
      </c>
      <c r="AM274" s="2">
        <f t="shared" si="662"/>
        <v>0</v>
      </c>
      <c r="AN274" s="2">
        <f t="shared" si="662"/>
        <v>0</v>
      </c>
      <c r="AO274" s="2">
        <f t="shared" si="662"/>
        <v>0</v>
      </c>
      <c r="AP274" s="2"/>
      <c r="AQ274" s="61" t="str">
        <f>E$1&amp;$A274&amp;"*      """</f>
        <v>E274*      "</v>
      </c>
      <c r="AS274" s="2">
        <f t="shared" si="663"/>
        <v>0</v>
      </c>
      <c r="AT274" s="2">
        <f t="shared" si="664"/>
        <v>0</v>
      </c>
      <c r="AU274" s="2">
        <f t="shared" si="664"/>
        <v>0</v>
      </c>
      <c r="AV274" s="2">
        <f t="shared" si="664"/>
        <v>0</v>
      </c>
      <c r="AW274" s="2">
        <f t="shared" si="664"/>
        <v>0</v>
      </c>
      <c r="AX274" s="2">
        <f t="shared" si="664"/>
        <v>0</v>
      </c>
      <c r="AY274" s="2">
        <f t="shared" si="664"/>
        <v>0</v>
      </c>
      <c r="BA274" s="2">
        <f t="shared" si="665"/>
        <v>0</v>
      </c>
      <c r="BB274" s="2">
        <f t="shared" si="666"/>
        <v>0</v>
      </c>
      <c r="BC274" s="2">
        <f t="shared" si="666"/>
        <v>0</v>
      </c>
      <c r="BD274" s="2">
        <f t="shared" si="666"/>
        <v>0</v>
      </c>
      <c r="BE274" s="2">
        <f t="shared" si="666"/>
        <v>0</v>
      </c>
      <c r="BF274" s="2">
        <f t="shared" si="666"/>
        <v>0</v>
      </c>
      <c r="BG274" s="2">
        <f t="shared" si="666"/>
        <v>0</v>
      </c>
      <c r="BI274" s="2">
        <f t="shared" si="667"/>
        <v>0</v>
      </c>
      <c r="BJ274" s="2">
        <f t="shared" si="668"/>
        <v>0</v>
      </c>
      <c r="BK274" s="2">
        <f t="shared" si="668"/>
        <v>0</v>
      </c>
      <c r="BL274" s="2">
        <f t="shared" si="668"/>
        <v>0</v>
      </c>
      <c r="BM274" s="2">
        <f t="shared" si="668"/>
        <v>0</v>
      </c>
      <c r="BN274" s="2">
        <f t="shared" si="668"/>
        <v>0</v>
      </c>
      <c r="BO274" s="2">
        <f t="shared" si="668"/>
        <v>0</v>
      </c>
      <c r="BQ274" s="28" t="s">
        <v>352</v>
      </c>
      <c r="BR274" s="23">
        <v>0</v>
      </c>
      <c r="BS274" s="14">
        <f t="shared" si="669"/>
        <v>1</v>
      </c>
      <c r="BT274" s="14">
        <f t="shared" si="669"/>
        <v>0</v>
      </c>
      <c r="BU274" s="14">
        <f t="shared" si="669"/>
        <v>0</v>
      </c>
      <c r="BV274" s="14">
        <f t="shared" si="670"/>
        <v>0</v>
      </c>
      <c r="BW274" s="14">
        <f t="shared" si="670"/>
        <v>0</v>
      </c>
      <c r="BX274" s="14">
        <f t="shared" si="670"/>
        <v>0</v>
      </c>
      <c r="BY274" s="14">
        <f t="shared" si="670"/>
        <v>0</v>
      </c>
      <c r="BZ274" s="14">
        <f t="shared" si="670"/>
        <v>0</v>
      </c>
      <c r="CA274" s="14">
        <f t="shared" si="670"/>
        <v>0</v>
      </c>
      <c r="CB274" s="14">
        <f t="shared" si="670"/>
        <v>0</v>
      </c>
      <c r="CC274" s="14">
        <f t="shared" si="670"/>
        <v>0</v>
      </c>
      <c r="CD274" s="14">
        <f t="shared" si="670"/>
        <v>0</v>
      </c>
      <c r="CE274" s="14">
        <f t="shared" si="670"/>
        <v>0</v>
      </c>
      <c r="CF274" s="14">
        <f>AE274</f>
        <v>0</v>
      </c>
      <c r="CG274" s="14">
        <f t="shared" si="671"/>
        <v>0</v>
      </c>
      <c r="CH274" s="14">
        <f t="shared" si="671"/>
        <v>0</v>
      </c>
      <c r="CI274" s="14">
        <f t="shared" si="671"/>
        <v>0</v>
      </c>
      <c r="CJ274" s="14"/>
      <c r="CK274" s="112" t="str">
        <f t="shared" si="672"/>
        <v>Input - 100% Throughput</v>
      </c>
      <c r="CL274" s="76">
        <f t="shared" ref="CL274:CL305" si="674">IF(SUM(BS274:CI274)&lt;&gt;0,(ROUND(SUM(BS274:CI274),4)&lt;&gt;1)+0,0)</f>
        <v>0</v>
      </c>
      <c r="CM274" s="2">
        <f t="shared" si="673"/>
        <v>0</v>
      </c>
      <c r="CN274" s="2">
        <f t="shared" si="673"/>
        <v>0</v>
      </c>
      <c r="CO274" s="2">
        <f t="shared" si="673"/>
        <v>0</v>
      </c>
      <c r="CP274" s="2">
        <f t="shared" si="673"/>
        <v>0</v>
      </c>
      <c r="CQ274" s="2">
        <f t="shared" si="673"/>
        <v>0</v>
      </c>
      <c r="CR274" s="2">
        <f t="shared" si="673"/>
        <v>0</v>
      </c>
    </row>
    <row r="275" spans="1:96">
      <c r="A275" s="50">
        <f t="shared" si="651"/>
        <v>275</v>
      </c>
      <c r="C275" s="36" t="s">
        <v>151</v>
      </c>
      <c r="D275" s="28" t="s">
        <v>353</v>
      </c>
      <c r="E275" s="23">
        <v>0</v>
      </c>
      <c r="F275" s="60" t="str">
        <f>"as Plant in Service ("&amp;A$58&amp;")"</f>
        <v>as Plant in Service (58)</v>
      </c>
      <c r="G275" s="60"/>
      <c r="H275" s="2">
        <f t="shared" si="658"/>
        <v>0</v>
      </c>
      <c r="I275" s="21">
        <f t="shared" si="659"/>
        <v>0</v>
      </c>
      <c r="J275" s="2">
        <f t="shared" si="659"/>
        <v>0</v>
      </c>
      <c r="K275" s="2">
        <f t="shared" si="659"/>
        <v>0</v>
      </c>
      <c r="L275" s="2">
        <f t="shared" si="659"/>
        <v>0</v>
      </c>
      <c r="M275" s="2">
        <f t="shared" si="659"/>
        <v>0</v>
      </c>
      <c r="N275" s="2">
        <f t="shared" si="659"/>
        <v>0</v>
      </c>
      <c r="O275" s="2"/>
      <c r="P275" s="61" t="str">
        <f>E$1&amp;$A275&amp;"*     """</f>
        <v>E275*     "</v>
      </c>
      <c r="Q275" s="61"/>
      <c r="R275" s="14">
        <f>R$58</f>
        <v>0.16904766890389558</v>
      </c>
      <c r="S275" s="14">
        <f t="shared" ref="S275:AH275" si="675">S$58</f>
        <v>2.676215166561764E-3</v>
      </c>
      <c r="T275" s="14">
        <f t="shared" si="675"/>
        <v>6.7778250216338808E-3</v>
      </c>
      <c r="U275" s="14">
        <f t="shared" si="675"/>
        <v>4.5359290529395975E-2</v>
      </c>
      <c r="V275" s="14">
        <f t="shared" si="675"/>
        <v>0</v>
      </c>
      <c r="W275" s="14">
        <f t="shared" si="675"/>
        <v>0.27058822771397795</v>
      </c>
      <c r="X275" s="14">
        <f t="shared" si="675"/>
        <v>0</v>
      </c>
      <c r="Y275" s="14">
        <f t="shared" si="675"/>
        <v>0</v>
      </c>
      <c r="Z275" s="14">
        <f t="shared" si="675"/>
        <v>0</v>
      </c>
      <c r="AA275" s="14">
        <f t="shared" si="675"/>
        <v>0</v>
      </c>
      <c r="AB275" s="14">
        <f t="shared" si="675"/>
        <v>7.2651262952682066E-2</v>
      </c>
      <c r="AC275" s="14">
        <f t="shared" si="675"/>
        <v>0.31137572086955634</v>
      </c>
      <c r="AD275" s="14">
        <f t="shared" si="675"/>
        <v>0.11759557901028445</v>
      </c>
      <c r="AE275" s="14">
        <f t="shared" si="675"/>
        <v>0</v>
      </c>
      <c r="AF275" s="14">
        <f t="shared" si="675"/>
        <v>3.9282098320119977E-3</v>
      </c>
      <c r="AG275" s="14">
        <f t="shared" si="675"/>
        <v>0</v>
      </c>
      <c r="AH275" s="14">
        <f t="shared" si="675"/>
        <v>-2.4244162456526846E-19</v>
      </c>
      <c r="AI275" s="76">
        <f t="shared" si="607"/>
        <v>0</v>
      </c>
      <c r="AK275" s="2">
        <f t="shared" si="661"/>
        <v>0</v>
      </c>
      <c r="AL275" s="2">
        <f t="shared" si="662"/>
        <v>0</v>
      </c>
      <c r="AM275" s="2">
        <f t="shared" si="662"/>
        <v>0</v>
      </c>
      <c r="AN275" s="2">
        <f t="shared" si="662"/>
        <v>0</v>
      </c>
      <c r="AO275" s="2">
        <f t="shared" si="662"/>
        <v>0</v>
      </c>
      <c r="AP275" s="2"/>
      <c r="AQ275" s="61" t="str">
        <f>E$1&amp;$A275&amp;"*      """</f>
        <v>E275*      "</v>
      </c>
      <c r="AS275" s="2">
        <f t="shared" si="663"/>
        <v>0</v>
      </c>
      <c r="AT275" s="2">
        <f t="shared" si="664"/>
        <v>0</v>
      </c>
      <c r="AU275" s="2">
        <f t="shared" si="664"/>
        <v>0</v>
      </c>
      <c r="AV275" s="2">
        <f t="shared" si="664"/>
        <v>0</v>
      </c>
      <c r="AW275" s="2">
        <f t="shared" si="664"/>
        <v>0</v>
      </c>
      <c r="AX275" s="2">
        <f t="shared" si="664"/>
        <v>0</v>
      </c>
      <c r="AY275" s="2">
        <f t="shared" si="664"/>
        <v>0</v>
      </c>
      <c r="BA275" s="2">
        <f t="shared" si="665"/>
        <v>0</v>
      </c>
      <c r="BB275" s="2">
        <f t="shared" si="666"/>
        <v>0</v>
      </c>
      <c r="BC275" s="2">
        <f t="shared" si="666"/>
        <v>0</v>
      </c>
      <c r="BD275" s="2">
        <f t="shared" si="666"/>
        <v>0</v>
      </c>
      <c r="BE275" s="2">
        <f t="shared" si="666"/>
        <v>0</v>
      </c>
      <c r="BF275" s="2">
        <f t="shared" si="666"/>
        <v>0</v>
      </c>
      <c r="BG275" s="2">
        <f t="shared" si="666"/>
        <v>0</v>
      </c>
      <c r="BI275" s="2">
        <f t="shared" si="667"/>
        <v>0</v>
      </c>
      <c r="BJ275" s="2">
        <f t="shared" si="668"/>
        <v>0</v>
      </c>
      <c r="BK275" s="2">
        <f t="shared" si="668"/>
        <v>0</v>
      </c>
      <c r="BL275" s="2">
        <f t="shared" si="668"/>
        <v>0</v>
      </c>
      <c r="BM275" s="2">
        <f t="shared" si="668"/>
        <v>0</v>
      </c>
      <c r="BN275" s="2">
        <f t="shared" si="668"/>
        <v>0</v>
      </c>
      <c r="BO275" s="2">
        <f t="shared" si="668"/>
        <v>0</v>
      </c>
      <c r="BQ275" s="28" t="s">
        <v>353</v>
      </c>
      <c r="BR275" s="23">
        <v>0</v>
      </c>
      <c r="BS275" s="14">
        <f>R$58</f>
        <v>0.16904766890389558</v>
      </c>
      <c r="BT275" s="14">
        <f>S$58</f>
        <v>2.676215166561764E-3</v>
      </c>
      <c r="BU275" s="14">
        <f>T$58</f>
        <v>6.7778250216338808E-3</v>
      </c>
      <c r="BV275" s="14">
        <f t="shared" ref="BV275:CI275" si="676">U$58</f>
        <v>4.5359290529395975E-2</v>
      </c>
      <c r="BW275" s="14">
        <f t="shared" si="676"/>
        <v>0</v>
      </c>
      <c r="BX275" s="14">
        <f t="shared" si="676"/>
        <v>0.27058822771397795</v>
      </c>
      <c r="BY275" s="14">
        <f t="shared" si="676"/>
        <v>0</v>
      </c>
      <c r="BZ275" s="14">
        <f t="shared" si="676"/>
        <v>0</v>
      </c>
      <c r="CA275" s="14">
        <f t="shared" si="676"/>
        <v>0</v>
      </c>
      <c r="CB275" s="14">
        <f t="shared" si="676"/>
        <v>0</v>
      </c>
      <c r="CC275" s="14">
        <f t="shared" si="676"/>
        <v>7.2651262952682066E-2</v>
      </c>
      <c r="CD275" s="14">
        <f t="shared" si="676"/>
        <v>0.31137572086955634</v>
      </c>
      <c r="CE275" s="14">
        <f t="shared" si="676"/>
        <v>0.11759557901028445</v>
      </c>
      <c r="CF275" s="14">
        <f t="shared" si="676"/>
        <v>0</v>
      </c>
      <c r="CG275" s="14">
        <f t="shared" si="676"/>
        <v>3.9282098320119977E-3</v>
      </c>
      <c r="CH275" s="14">
        <f t="shared" si="676"/>
        <v>0</v>
      </c>
      <c r="CI275" s="14">
        <f t="shared" si="676"/>
        <v>-2.4244162456526846E-19</v>
      </c>
      <c r="CJ275" s="14"/>
      <c r="CK275" s="112" t="str">
        <f t="shared" si="672"/>
        <v>as Plant in Service (58)</v>
      </c>
      <c r="CL275" s="76">
        <f t="shared" si="674"/>
        <v>0</v>
      </c>
      <c r="CM275" s="2">
        <f t="shared" si="673"/>
        <v>0</v>
      </c>
      <c r="CN275" s="2">
        <f t="shared" si="673"/>
        <v>0</v>
      </c>
      <c r="CO275" s="2">
        <f t="shared" si="673"/>
        <v>0</v>
      </c>
      <c r="CP275" s="2">
        <f t="shared" si="673"/>
        <v>0</v>
      </c>
      <c r="CQ275" s="2">
        <f t="shared" si="673"/>
        <v>0</v>
      </c>
      <c r="CR275" s="2">
        <f t="shared" si="673"/>
        <v>0</v>
      </c>
    </row>
    <row r="276" spans="1:96">
      <c r="A276" s="50">
        <f t="shared" si="651"/>
        <v>276</v>
      </c>
      <c r="C276" s="36" t="s">
        <v>156</v>
      </c>
      <c r="D276" s="28" t="s">
        <v>354</v>
      </c>
      <c r="E276" s="23">
        <v>0</v>
      </c>
      <c r="F276" s="60" t="s">
        <v>450</v>
      </c>
      <c r="G276" s="60"/>
      <c r="H276" s="2">
        <f t="shared" si="658"/>
        <v>0</v>
      </c>
      <c r="I276" s="21">
        <f t="shared" si="659"/>
        <v>0</v>
      </c>
      <c r="J276" s="2">
        <f t="shared" si="659"/>
        <v>0</v>
      </c>
      <c r="K276" s="2">
        <f t="shared" si="659"/>
        <v>0</v>
      </c>
      <c r="L276" s="2">
        <f t="shared" si="659"/>
        <v>0</v>
      </c>
      <c r="M276" s="2">
        <f t="shared" si="659"/>
        <v>0</v>
      </c>
      <c r="N276" s="2">
        <f t="shared" si="659"/>
        <v>0</v>
      </c>
      <c r="O276" s="2"/>
      <c r="P276" s="61" t="str">
        <f>E$1&amp;$A276&amp;"*     """</f>
        <v>E276*     "</v>
      </c>
      <c r="Q276" s="61"/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76">
        <f t="shared" si="607"/>
        <v>0</v>
      </c>
      <c r="AK276" s="2">
        <f t="shared" si="661"/>
        <v>0</v>
      </c>
      <c r="AL276" s="2">
        <f t="shared" si="662"/>
        <v>0</v>
      </c>
      <c r="AM276" s="2">
        <f t="shared" si="662"/>
        <v>0</v>
      </c>
      <c r="AN276" s="2">
        <f t="shared" si="662"/>
        <v>0</v>
      </c>
      <c r="AO276" s="2">
        <f t="shared" si="662"/>
        <v>0</v>
      </c>
      <c r="AP276" s="2"/>
      <c r="AQ276" s="61" t="str">
        <f>E$1&amp;$A276&amp;"*      """</f>
        <v>E276*      "</v>
      </c>
      <c r="AS276" s="2">
        <f t="shared" si="663"/>
        <v>0</v>
      </c>
      <c r="AT276" s="2">
        <f t="shared" si="664"/>
        <v>0</v>
      </c>
      <c r="AU276" s="2">
        <f t="shared" si="664"/>
        <v>0</v>
      </c>
      <c r="AV276" s="2">
        <f t="shared" si="664"/>
        <v>0</v>
      </c>
      <c r="AW276" s="2">
        <f t="shared" si="664"/>
        <v>0</v>
      </c>
      <c r="AX276" s="2">
        <f t="shared" si="664"/>
        <v>0</v>
      </c>
      <c r="AY276" s="2">
        <f t="shared" si="664"/>
        <v>0</v>
      </c>
      <c r="BA276" s="2">
        <f t="shared" si="665"/>
        <v>0</v>
      </c>
      <c r="BB276" s="2">
        <f t="shared" si="666"/>
        <v>0</v>
      </c>
      <c r="BC276" s="2">
        <f t="shared" si="666"/>
        <v>0</v>
      </c>
      <c r="BD276" s="2">
        <f t="shared" si="666"/>
        <v>0</v>
      </c>
      <c r="BE276" s="2">
        <f t="shared" si="666"/>
        <v>0</v>
      </c>
      <c r="BF276" s="2">
        <f t="shared" si="666"/>
        <v>0</v>
      </c>
      <c r="BG276" s="2">
        <f t="shared" si="666"/>
        <v>0</v>
      </c>
      <c r="BI276" s="2">
        <f t="shared" si="667"/>
        <v>0</v>
      </c>
      <c r="BJ276" s="2">
        <f t="shared" si="668"/>
        <v>0</v>
      </c>
      <c r="BK276" s="2">
        <f t="shared" si="668"/>
        <v>0</v>
      </c>
      <c r="BL276" s="2">
        <f t="shared" si="668"/>
        <v>0</v>
      </c>
      <c r="BM276" s="2">
        <f t="shared" si="668"/>
        <v>0</v>
      </c>
      <c r="BN276" s="2">
        <f t="shared" si="668"/>
        <v>0</v>
      </c>
      <c r="BO276" s="2">
        <f t="shared" si="668"/>
        <v>0</v>
      </c>
      <c r="BQ276" s="28" t="s">
        <v>354</v>
      </c>
      <c r="BR276" s="23">
        <v>0</v>
      </c>
      <c r="BS276" s="14">
        <f t="shared" ref="BS276:BU277" si="677">R276</f>
        <v>0</v>
      </c>
      <c r="BT276" s="14">
        <f t="shared" si="677"/>
        <v>0</v>
      </c>
      <c r="BU276" s="14">
        <f t="shared" si="677"/>
        <v>0</v>
      </c>
      <c r="BV276" s="14">
        <f t="shared" ref="BV276:CB277" si="678">U276</f>
        <v>0</v>
      </c>
      <c r="BW276" s="14">
        <f t="shared" si="678"/>
        <v>0</v>
      </c>
      <c r="BX276" s="14">
        <f t="shared" si="678"/>
        <v>0</v>
      </c>
      <c r="BY276" s="14">
        <f t="shared" si="678"/>
        <v>0</v>
      </c>
      <c r="BZ276" s="14">
        <f t="shared" si="678"/>
        <v>0</v>
      </c>
      <c r="CA276" s="14">
        <f t="shared" si="678"/>
        <v>0</v>
      </c>
      <c r="CB276" s="14">
        <f t="shared" si="678"/>
        <v>0</v>
      </c>
      <c r="CC276" s="14">
        <f t="shared" ref="CC276:CF277" si="679">AB276</f>
        <v>1</v>
      </c>
      <c r="CD276" s="14">
        <f t="shared" si="679"/>
        <v>0</v>
      </c>
      <c r="CE276" s="14">
        <f t="shared" si="679"/>
        <v>0</v>
      </c>
      <c r="CF276" s="14">
        <f t="shared" si="679"/>
        <v>0</v>
      </c>
      <c r="CG276" s="14">
        <f t="shared" ref="CG276:CI277" si="680">AF276</f>
        <v>0</v>
      </c>
      <c r="CH276" s="14">
        <f t="shared" si="680"/>
        <v>0</v>
      </c>
      <c r="CI276" s="14">
        <f t="shared" si="680"/>
        <v>0</v>
      </c>
      <c r="CJ276" s="14"/>
      <c r="CK276" s="112" t="str">
        <f t="shared" si="672"/>
        <v>Input - 100% Cust</v>
      </c>
      <c r="CL276" s="76">
        <f t="shared" si="674"/>
        <v>0</v>
      </c>
      <c r="CM276" s="2">
        <f t="shared" si="673"/>
        <v>0</v>
      </c>
      <c r="CN276" s="2">
        <f t="shared" si="673"/>
        <v>0</v>
      </c>
      <c r="CO276" s="2">
        <f t="shared" si="673"/>
        <v>0</v>
      </c>
      <c r="CP276" s="2">
        <f t="shared" si="673"/>
        <v>0</v>
      </c>
      <c r="CQ276" s="2">
        <f t="shared" si="673"/>
        <v>0</v>
      </c>
      <c r="CR276" s="2">
        <f t="shared" si="673"/>
        <v>0</v>
      </c>
    </row>
    <row r="277" spans="1:96">
      <c r="A277" s="50">
        <f t="shared" si="651"/>
        <v>277</v>
      </c>
      <c r="C277" s="36" t="s">
        <v>155</v>
      </c>
      <c r="D277" s="28" t="s">
        <v>350</v>
      </c>
      <c r="E277" s="23">
        <v>0</v>
      </c>
      <c r="F277" s="60" t="s">
        <v>451</v>
      </c>
      <c r="G277" s="60"/>
      <c r="H277" s="2">
        <f t="shared" si="658"/>
        <v>0</v>
      </c>
      <c r="I277" s="21">
        <f t="shared" si="659"/>
        <v>0</v>
      </c>
      <c r="J277" s="2">
        <f t="shared" si="659"/>
        <v>0</v>
      </c>
      <c r="K277" s="2">
        <f t="shared" si="659"/>
        <v>0</v>
      </c>
      <c r="L277" s="2">
        <f t="shared" si="659"/>
        <v>0</v>
      </c>
      <c r="M277" s="2">
        <f t="shared" si="659"/>
        <v>0</v>
      </c>
      <c r="N277" s="2">
        <f t="shared" si="659"/>
        <v>0</v>
      </c>
      <c r="O277" s="2"/>
      <c r="P277" s="61" t="str">
        <f>E$1&amp;$A277&amp;"*     """</f>
        <v>E277*     "</v>
      </c>
      <c r="Q277" s="61"/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76">
        <f t="shared" si="607"/>
        <v>0</v>
      </c>
      <c r="AK277" s="2">
        <f t="shared" si="661"/>
        <v>0</v>
      </c>
      <c r="AL277" s="2">
        <f t="shared" si="662"/>
        <v>0</v>
      </c>
      <c r="AM277" s="2">
        <f t="shared" si="662"/>
        <v>0</v>
      </c>
      <c r="AN277" s="2">
        <f t="shared" si="662"/>
        <v>0</v>
      </c>
      <c r="AO277" s="2">
        <f t="shared" si="662"/>
        <v>0</v>
      </c>
      <c r="AP277" s="2"/>
      <c r="AQ277" s="61" t="str">
        <f>E$1&amp;$A277&amp;"*      """</f>
        <v>E277*      "</v>
      </c>
      <c r="AS277" s="2">
        <f t="shared" si="663"/>
        <v>0</v>
      </c>
      <c r="AT277" s="2">
        <f t="shared" si="664"/>
        <v>0</v>
      </c>
      <c r="AU277" s="2">
        <f t="shared" si="664"/>
        <v>0</v>
      </c>
      <c r="AV277" s="2">
        <f t="shared" si="664"/>
        <v>0</v>
      </c>
      <c r="AW277" s="2">
        <f t="shared" si="664"/>
        <v>0</v>
      </c>
      <c r="AX277" s="2">
        <f t="shared" si="664"/>
        <v>0</v>
      </c>
      <c r="AY277" s="2">
        <f t="shared" si="664"/>
        <v>0</v>
      </c>
      <c r="BA277" s="2">
        <f t="shared" si="665"/>
        <v>0</v>
      </c>
      <c r="BB277" s="2">
        <f t="shared" si="666"/>
        <v>0</v>
      </c>
      <c r="BC277" s="2">
        <f t="shared" si="666"/>
        <v>0</v>
      </c>
      <c r="BD277" s="2">
        <f t="shared" si="666"/>
        <v>0</v>
      </c>
      <c r="BE277" s="2">
        <f t="shared" si="666"/>
        <v>0</v>
      </c>
      <c r="BF277" s="2">
        <f t="shared" si="666"/>
        <v>0</v>
      </c>
      <c r="BG277" s="2">
        <f t="shared" si="666"/>
        <v>0</v>
      </c>
      <c r="BI277" s="2">
        <f t="shared" si="667"/>
        <v>0</v>
      </c>
      <c r="BJ277" s="2">
        <f t="shared" si="668"/>
        <v>0</v>
      </c>
      <c r="BK277" s="2">
        <f t="shared" si="668"/>
        <v>0</v>
      </c>
      <c r="BL277" s="2">
        <f t="shared" si="668"/>
        <v>0</v>
      </c>
      <c r="BM277" s="2">
        <f t="shared" si="668"/>
        <v>0</v>
      </c>
      <c r="BN277" s="2">
        <f t="shared" si="668"/>
        <v>0</v>
      </c>
      <c r="BO277" s="2">
        <f t="shared" si="668"/>
        <v>0</v>
      </c>
      <c r="BQ277" s="28" t="s">
        <v>350</v>
      </c>
      <c r="BR277" s="23">
        <v>0</v>
      </c>
      <c r="BS277" s="14">
        <f t="shared" si="677"/>
        <v>0</v>
      </c>
      <c r="BT277" s="14">
        <f t="shared" si="677"/>
        <v>0</v>
      </c>
      <c r="BU277" s="14">
        <f t="shared" si="677"/>
        <v>0</v>
      </c>
      <c r="BV277" s="14">
        <f t="shared" si="678"/>
        <v>0</v>
      </c>
      <c r="BW277" s="14">
        <f t="shared" si="678"/>
        <v>0</v>
      </c>
      <c r="BX277" s="14">
        <f t="shared" si="678"/>
        <v>0</v>
      </c>
      <c r="BY277" s="14">
        <f t="shared" si="678"/>
        <v>0</v>
      </c>
      <c r="BZ277" s="14">
        <f t="shared" si="678"/>
        <v>0</v>
      </c>
      <c r="CA277" s="14">
        <f t="shared" si="678"/>
        <v>0</v>
      </c>
      <c r="CB277" s="14">
        <f t="shared" si="678"/>
        <v>0</v>
      </c>
      <c r="CC277" s="14">
        <f t="shared" si="679"/>
        <v>0</v>
      </c>
      <c r="CD277" s="14">
        <f t="shared" si="679"/>
        <v>0</v>
      </c>
      <c r="CE277" s="14">
        <f t="shared" si="679"/>
        <v>0</v>
      </c>
      <c r="CF277" s="14">
        <f t="shared" si="679"/>
        <v>0</v>
      </c>
      <c r="CG277" s="14">
        <f t="shared" si="680"/>
        <v>0</v>
      </c>
      <c r="CH277" s="14">
        <f t="shared" si="680"/>
        <v>0</v>
      </c>
      <c r="CI277" s="14">
        <f t="shared" si="680"/>
        <v>1</v>
      </c>
      <c r="CJ277" s="14"/>
      <c r="CK277" s="112" t="str">
        <f t="shared" si="672"/>
        <v>Input - 100% Rev</v>
      </c>
      <c r="CL277" s="76">
        <f t="shared" si="674"/>
        <v>0</v>
      </c>
      <c r="CM277" s="2">
        <f t="shared" si="673"/>
        <v>0</v>
      </c>
      <c r="CN277" s="2">
        <f t="shared" si="673"/>
        <v>0</v>
      </c>
      <c r="CO277" s="2">
        <f t="shared" si="673"/>
        <v>0</v>
      </c>
      <c r="CP277" s="2">
        <f t="shared" si="673"/>
        <v>0</v>
      </c>
      <c r="CQ277" s="2">
        <f t="shared" si="673"/>
        <v>0</v>
      </c>
      <c r="CR277" s="2">
        <f t="shared" si="673"/>
        <v>0</v>
      </c>
    </row>
    <row r="278" spans="1:96">
      <c r="A278" s="50">
        <f t="shared" si="651"/>
        <v>278</v>
      </c>
      <c r="C278" s="36" t="s">
        <v>151</v>
      </c>
      <c r="D278" s="28" t="s">
        <v>355</v>
      </c>
      <c r="E278" s="23">
        <v>0</v>
      </c>
      <c r="F278" s="60" t="str">
        <f>"as Labor O&amp;M Exp. ("&amp;BS$1&amp;A$344&amp;")"</f>
        <v>as Labor O&amp;M Exp. (BS344)</v>
      </c>
      <c r="G278" s="60"/>
      <c r="H278" s="2">
        <f t="shared" si="658"/>
        <v>0</v>
      </c>
      <c r="I278" s="21">
        <f t="shared" ref="I278:N278" si="681">$E278*CM$344/$BR$344</f>
        <v>0</v>
      </c>
      <c r="J278" s="21">
        <f t="shared" si="681"/>
        <v>0</v>
      </c>
      <c r="K278" s="21">
        <f t="shared" si="681"/>
        <v>0</v>
      </c>
      <c r="L278" s="21">
        <f t="shared" si="681"/>
        <v>0</v>
      </c>
      <c r="M278" s="21">
        <f t="shared" si="681"/>
        <v>0</v>
      </c>
      <c r="N278" s="21">
        <f t="shared" si="681"/>
        <v>0</v>
      </c>
      <c r="O278" s="2"/>
      <c r="P278" s="61" t="str">
        <f>E$1&amp;$A278&amp;"* "&amp;CM$1&amp;A$344&amp;" / "&amp;BR$1&amp;A$344</f>
        <v>E278* CM344 / BR344</v>
      </c>
      <c r="Q278" s="61"/>
      <c r="R278" s="14">
        <f>BS$344</f>
        <v>0.10913184265939331</v>
      </c>
      <c r="S278" s="14">
        <f>BT$344</f>
        <v>3.3021876247189427E-2</v>
      </c>
      <c r="T278" s="14">
        <f t="shared" ref="T278:AH278" si="682">BU$344</f>
        <v>2.9366713079939091E-3</v>
      </c>
      <c r="U278" s="14">
        <f t="shared" si="682"/>
        <v>1.9653107984266921E-2</v>
      </c>
      <c r="V278" s="14">
        <f t="shared" si="682"/>
        <v>0</v>
      </c>
      <c r="W278" s="14">
        <f t="shared" si="682"/>
        <v>0.16142462055819431</v>
      </c>
      <c r="X278" s="14">
        <f t="shared" si="682"/>
        <v>0</v>
      </c>
      <c r="Y278" s="14">
        <f t="shared" si="682"/>
        <v>0</v>
      </c>
      <c r="Z278" s="14">
        <f t="shared" si="682"/>
        <v>0</v>
      </c>
      <c r="AA278" s="14">
        <f t="shared" si="682"/>
        <v>0</v>
      </c>
      <c r="AB278" s="14">
        <f t="shared" si="682"/>
        <v>0.37507244202834572</v>
      </c>
      <c r="AC278" s="14">
        <f t="shared" si="682"/>
        <v>0.18309838925091035</v>
      </c>
      <c r="AD278" s="14">
        <f t="shared" si="682"/>
        <v>0.11390268710509913</v>
      </c>
      <c r="AE278" s="14">
        <f t="shared" si="682"/>
        <v>0</v>
      </c>
      <c r="AF278" s="14">
        <f t="shared" si="682"/>
        <v>1.7583628586068862E-3</v>
      </c>
      <c r="AG278" s="14">
        <f t="shared" si="682"/>
        <v>0</v>
      </c>
      <c r="AH278" s="14">
        <f t="shared" si="682"/>
        <v>-4.5942138576433119E-19</v>
      </c>
      <c r="AI278" s="76">
        <f t="shared" si="607"/>
        <v>0</v>
      </c>
      <c r="AK278" s="2">
        <f t="shared" si="661"/>
        <v>0</v>
      </c>
      <c r="AL278" s="2">
        <f t="shared" si="662"/>
        <v>0</v>
      </c>
      <c r="AM278" s="2">
        <f t="shared" si="662"/>
        <v>0</v>
      </c>
      <c r="AN278" s="2">
        <f t="shared" si="662"/>
        <v>0</v>
      </c>
      <c r="AO278" s="2">
        <f t="shared" si="662"/>
        <v>0</v>
      </c>
      <c r="AP278" s="2"/>
      <c r="AQ278" s="61" t="str">
        <f>E$1&amp;$A278&amp;"*      """</f>
        <v>E278*      "</v>
      </c>
      <c r="AS278" s="2">
        <f t="shared" si="663"/>
        <v>0</v>
      </c>
      <c r="AT278" s="2">
        <f t="shared" si="664"/>
        <v>0</v>
      </c>
      <c r="AU278" s="2">
        <f t="shared" si="664"/>
        <v>0</v>
      </c>
      <c r="AV278" s="2">
        <f t="shared" si="664"/>
        <v>0</v>
      </c>
      <c r="AW278" s="2">
        <f t="shared" si="664"/>
        <v>0</v>
      </c>
      <c r="AX278" s="2">
        <f t="shared" si="664"/>
        <v>0</v>
      </c>
      <c r="AY278" s="2">
        <f t="shared" si="664"/>
        <v>0</v>
      </c>
      <c r="BA278" s="2">
        <f t="shared" si="665"/>
        <v>0</v>
      </c>
      <c r="BB278" s="2">
        <f t="shared" si="666"/>
        <v>0</v>
      </c>
      <c r="BC278" s="2">
        <f t="shared" si="666"/>
        <v>0</v>
      </c>
      <c r="BD278" s="2">
        <f t="shared" si="666"/>
        <v>0</v>
      </c>
      <c r="BE278" s="2">
        <f t="shared" si="666"/>
        <v>0</v>
      </c>
      <c r="BF278" s="2">
        <f t="shared" si="666"/>
        <v>0</v>
      </c>
      <c r="BG278" s="2">
        <f t="shared" si="666"/>
        <v>0</v>
      </c>
      <c r="BI278" s="2">
        <f t="shared" si="667"/>
        <v>0</v>
      </c>
      <c r="BJ278" s="2">
        <f t="shared" si="668"/>
        <v>0</v>
      </c>
      <c r="BK278" s="2">
        <f t="shared" si="668"/>
        <v>0</v>
      </c>
      <c r="BL278" s="2">
        <f t="shared" si="668"/>
        <v>0</v>
      </c>
      <c r="BM278" s="2">
        <f t="shared" si="668"/>
        <v>0</v>
      </c>
      <c r="BN278" s="2">
        <f t="shared" si="668"/>
        <v>0</v>
      </c>
      <c r="BO278" s="2">
        <f t="shared" si="668"/>
        <v>0</v>
      </c>
      <c r="BQ278" s="28" t="s">
        <v>355</v>
      </c>
      <c r="BR278" s="23">
        <v>0</v>
      </c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112" t="str">
        <f t="shared" si="672"/>
        <v>as Labor O&amp;M Exp. (BS344)</v>
      </c>
      <c r="CL278" s="76">
        <f t="shared" si="674"/>
        <v>0</v>
      </c>
      <c r="CM278" s="2"/>
      <c r="CN278" s="2"/>
      <c r="CO278" s="2"/>
      <c r="CP278" s="2"/>
      <c r="CQ278" s="2"/>
      <c r="CR278" s="2"/>
    </row>
    <row r="279" spans="1:96">
      <c r="A279" s="50">
        <f t="shared" si="651"/>
        <v>279</v>
      </c>
      <c r="B279" t="s">
        <v>47</v>
      </c>
      <c r="D279" t="s">
        <v>48</v>
      </c>
      <c r="E279" s="2"/>
      <c r="F279" s="60"/>
      <c r="G279" s="60"/>
      <c r="I279" s="49"/>
      <c r="P279" s="61"/>
      <c r="Q279" s="61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76">
        <f t="shared" si="607"/>
        <v>0</v>
      </c>
      <c r="AQ279" s="61"/>
      <c r="BQ279" t="s">
        <v>48</v>
      </c>
      <c r="CK279" s="112"/>
      <c r="CL279" s="76">
        <f t="shared" si="674"/>
        <v>0</v>
      </c>
      <c r="CM279" s="49"/>
    </row>
    <row r="280" spans="1:96">
      <c r="A280" s="50">
        <f t="shared" si="651"/>
        <v>280</v>
      </c>
      <c r="C280" s="36" t="s">
        <v>151</v>
      </c>
      <c r="D280" s="56" t="s">
        <v>147</v>
      </c>
      <c r="E280" s="373">
        <f>PROFORMA!AY131</f>
        <v>3098000</v>
      </c>
      <c r="F280" s="61" t="s">
        <v>996</v>
      </c>
      <c r="G280" s="60"/>
      <c r="H280" s="2">
        <f t="shared" ref="H280:H285" si="683">SUM(I280:N280)</f>
        <v>3098000</v>
      </c>
      <c r="I280" s="21">
        <f t="shared" ref="I280:N284" si="684">$E280*SUMPRODUCT($R280:$AH280,INDEX(AllocFactors,I$4,0))</f>
        <v>2607652.1766168242</v>
      </c>
      <c r="J280" s="2">
        <f t="shared" si="684"/>
        <v>395723.4585919425</v>
      </c>
      <c r="K280" s="2">
        <f t="shared" si="684"/>
        <v>0</v>
      </c>
      <c r="L280" s="2">
        <f t="shared" si="684"/>
        <v>9549.7596664510893</v>
      </c>
      <c r="M280" s="2">
        <f t="shared" si="684"/>
        <v>85074.605124782043</v>
      </c>
      <c r="N280" s="2">
        <f t="shared" si="684"/>
        <v>0</v>
      </c>
      <c r="O280" s="2"/>
      <c r="P280" s="61" t="s">
        <v>997</v>
      </c>
      <c r="Q280" s="61"/>
      <c r="R280" s="14">
        <f>R$259</f>
        <v>9.9370957155623774E-2</v>
      </c>
      <c r="S280" s="14">
        <f t="shared" ref="S280:AF280" si="685">S$259</f>
        <v>1.5218388550417537E-2</v>
      </c>
      <c r="T280" s="14">
        <f t="shared" si="685"/>
        <v>8.699877677308605E-3</v>
      </c>
      <c r="U280" s="14">
        <f t="shared" si="685"/>
        <v>5.822225830198835E-2</v>
      </c>
      <c r="V280" s="14">
        <f t="shared" si="685"/>
        <v>0</v>
      </c>
      <c r="W280" s="14">
        <f t="shared" si="685"/>
        <v>0.15327818313927072</v>
      </c>
      <c r="X280" s="14">
        <f t="shared" si="685"/>
        <v>0</v>
      </c>
      <c r="Y280" s="14">
        <f t="shared" si="685"/>
        <v>0</v>
      </c>
      <c r="Z280" s="14">
        <f t="shared" si="685"/>
        <v>0</v>
      </c>
      <c r="AA280" s="14">
        <f t="shared" si="685"/>
        <v>0</v>
      </c>
      <c r="AB280" s="14">
        <f t="shared" si="685"/>
        <v>0.41313387731559803</v>
      </c>
      <c r="AC280" s="14">
        <f t="shared" si="685"/>
        <v>0.17108548237195526</v>
      </c>
      <c r="AD280" s="14">
        <f t="shared" si="685"/>
        <v>7.9473703927617212E-2</v>
      </c>
      <c r="AE280" s="14">
        <f t="shared" si="685"/>
        <v>0</v>
      </c>
      <c r="AF280" s="14">
        <f t="shared" si="685"/>
        <v>1.5172715602204624E-3</v>
      </c>
      <c r="AG280" s="14">
        <f>(AG$43*0.25)+(AG$255*0.25)+(CH$254*0.25)</f>
        <v>0</v>
      </c>
      <c r="AH280" s="14">
        <f>(AH$43*0.25)+(AH$255*0.25)+(CI$254*0.25)</f>
        <v>-1.4146429571039994E-18</v>
      </c>
      <c r="AI280" s="76">
        <f t="shared" si="607"/>
        <v>0</v>
      </c>
      <c r="AK280" s="2">
        <f t="shared" ref="AK280:AK285" si="686">SUM(AL280:AO280)</f>
        <v>3098000</v>
      </c>
      <c r="AL280" s="2">
        <f t="shared" ref="AL280:AO285" si="687">SUMIF($R$4:$AH$4,AL$5,$R280:$AH280)*$E280</f>
        <v>562322.57026117796</v>
      </c>
      <c r="AM280" s="2">
        <f t="shared" si="687"/>
        <v>474855.81136546069</v>
      </c>
      <c r="AN280" s="2">
        <f t="shared" si="687"/>
        <v>2060821.6183733612</v>
      </c>
      <c r="AO280" s="2">
        <f t="shared" si="687"/>
        <v>-4.3825638811081905E-12</v>
      </c>
      <c r="AP280" s="2"/>
      <c r="AQ280" s="61" t="str">
        <f>E$1&amp;$A280&amp;"*["&amp;R$1&amp;$A280&amp;":"&amp;$AH$1&amp;$A280&amp;" when "&amp;R$1&amp;$A$4&amp;":"&amp;$AH$1&amp;$A$4&amp;" = E,D,C,or R]"</f>
        <v>E280*[R280:AH280 when R4:AH4 = E,D,C,or R]</v>
      </c>
      <c r="AS280" s="2">
        <f t="shared" ref="AS280:AS285" si="688">SUM(AT280:AY280)</f>
        <v>562322.57026117807</v>
      </c>
      <c r="AT280" s="2">
        <f t="shared" ref="AT280:AY285" si="689">$E280*SUMPRODUCT($R280:$V280,INDEX(AllocFactors_E,AT$4,0))</f>
        <v>356200.68015950528</v>
      </c>
      <c r="AU280" s="2">
        <f t="shared" si="689"/>
        <v>156068.08011789681</v>
      </c>
      <c r="AV280" s="2">
        <f t="shared" si="689"/>
        <v>0</v>
      </c>
      <c r="AW280" s="2">
        <f t="shared" si="689"/>
        <v>5621.9934103602436</v>
      </c>
      <c r="AX280" s="2">
        <f t="shared" si="689"/>
        <v>44431.816573415665</v>
      </c>
      <c r="AY280" s="2">
        <f t="shared" si="689"/>
        <v>0</v>
      </c>
      <c r="BA280" s="2">
        <f t="shared" ref="BA280:BA285" si="690">SUM(BB280:BG280)</f>
        <v>474855.81136546063</v>
      </c>
      <c r="BB280" s="2">
        <f t="shared" ref="BB280:BG285" si="691">$E280*SUMPRODUCT($W280:$AA280,INDEX(AllocFactors_D,BB$4,0))</f>
        <v>268460.43152564269</v>
      </c>
      <c r="BC280" s="2">
        <f t="shared" si="691"/>
        <v>165680.83179679298</v>
      </c>
      <c r="BD280" s="2">
        <f t="shared" si="691"/>
        <v>0</v>
      </c>
      <c r="BE280" s="2">
        <f t="shared" si="691"/>
        <v>3569.8710062095342</v>
      </c>
      <c r="BF280" s="2">
        <f t="shared" si="691"/>
        <v>37144.677036815447</v>
      </c>
      <c r="BG280" s="2">
        <f t="shared" si="691"/>
        <v>0</v>
      </c>
      <c r="BI280" s="2">
        <f t="shared" ref="BI280:BI285" si="692">SUM(BJ280:BO280)</f>
        <v>2060821.6183733614</v>
      </c>
      <c r="BJ280" s="2">
        <f t="shared" ref="BJ280:BO285" si="693">$E280*SUMPRODUCT($AB280:$AG280,INDEX(AllocFactors_C,BJ$4,0))</f>
        <v>1982991.0649316765</v>
      </c>
      <c r="BK280" s="2">
        <f t="shared" si="693"/>
        <v>73974.5466772527</v>
      </c>
      <c r="BL280" s="2">
        <f t="shared" si="693"/>
        <v>0</v>
      </c>
      <c r="BM280" s="2">
        <f t="shared" si="693"/>
        <v>357.89524988130989</v>
      </c>
      <c r="BN280" s="2">
        <f t="shared" si="693"/>
        <v>3498.1115145509461</v>
      </c>
      <c r="BO280" s="2">
        <f t="shared" si="693"/>
        <v>0</v>
      </c>
      <c r="BQ280" s="28" t="s">
        <v>351</v>
      </c>
      <c r="BR280" s="23">
        <v>1240</v>
      </c>
      <c r="BS280" s="14">
        <f t="shared" ref="BS280:BU281" si="694">R280</f>
        <v>9.9370957155623774E-2</v>
      </c>
      <c r="BT280" s="14">
        <f t="shared" si="694"/>
        <v>1.5218388550417537E-2</v>
      </c>
      <c r="BU280" s="14">
        <f t="shared" si="694"/>
        <v>8.699877677308605E-3</v>
      </c>
      <c r="BV280" s="14">
        <f t="shared" ref="BV280:CE281" si="695">U280</f>
        <v>5.822225830198835E-2</v>
      </c>
      <c r="BW280" s="14">
        <f t="shared" si="695"/>
        <v>0</v>
      </c>
      <c r="BX280" s="14">
        <f t="shared" si="695"/>
        <v>0.15327818313927072</v>
      </c>
      <c r="BY280" s="14">
        <f t="shared" si="695"/>
        <v>0</v>
      </c>
      <c r="BZ280" s="14">
        <f t="shared" si="695"/>
        <v>0</v>
      </c>
      <c r="CA280" s="14">
        <f t="shared" si="695"/>
        <v>0</v>
      </c>
      <c r="CB280" s="14">
        <f t="shared" si="695"/>
        <v>0</v>
      </c>
      <c r="CC280" s="14">
        <f t="shared" si="695"/>
        <v>0.41313387731559803</v>
      </c>
      <c r="CD280" s="14">
        <f t="shared" si="695"/>
        <v>0.17108548237195526</v>
      </c>
      <c r="CE280" s="14">
        <f t="shared" si="695"/>
        <v>7.9473703927617212E-2</v>
      </c>
      <c r="CF280" s="14">
        <f>AE280</f>
        <v>0</v>
      </c>
      <c r="CG280" s="14">
        <f t="shared" ref="CG280:CI281" si="696">AF280</f>
        <v>1.5172715602204624E-3</v>
      </c>
      <c r="CH280" s="14">
        <f t="shared" si="696"/>
        <v>0</v>
      </c>
      <c r="CI280" s="14">
        <f t="shared" si="696"/>
        <v>-1.4146429571039994E-18</v>
      </c>
      <c r="CJ280" s="14"/>
      <c r="CK280" s="112" t="str">
        <f t="shared" ref="CK280:CK285" si="697">F280</f>
        <v>4-Factor</v>
      </c>
      <c r="CL280" s="76">
        <f t="shared" si="674"/>
        <v>0</v>
      </c>
      <c r="CM280" s="2">
        <f t="shared" ref="CM280:CR284" si="698">$BR280*SUMPRODUCT($BS280:$CI280,INDEX(AllocFactors,CM$172,0))</f>
        <v>1043.7342475806529</v>
      </c>
      <c r="CN280" s="2">
        <f t="shared" si="698"/>
        <v>158.39157154745277</v>
      </c>
      <c r="CO280" s="2">
        <f t="shared" si="698"/>
        <v>0</v>
      </c>
      <c r="CP280" s="2">
        <f t="shared" si="698"/>
        <v>3.8223699116847483</v>
      </c>
      <c r="CQ280" s="2">
        <f t="shared" si="698"/>
        <v>34.051810960209728</v>
      </c>
      <c r="CR280" s="2">
        <f t="shared" si="698"/>
        <v>0</v>
      </c>
    </row>
    <row r="281" spans="1:96">
      <c r="A281" s="50">
        <f t="shared" si="651"/>
        <v>281</v>
      </c>
      <c r="C281" s="36" t="s">
        <v>151</v>
      </c>
      <c r="D281" s="56" t="s">
        <v>352</v>
      </c>
      <c r="E281" s="135">
        <v>0</v>
      </c>
      <c r="F281" s="442" t="s">
        <v>444</v>
      </c>
      <c r="G281" s="60"/>
      <c r="H281" s="2">
        <f t="shared" si="683"/>
        <v>0</v>
      </c>
      <c r="I281" s="21">
        <f t="shared" si="684"/>
        <v>0</v>
      </c>
      <c r="J281" s="2">
        <f t="shared" si="684"/>
        <v>0</v>
      </c>
      <c r="K281" s="2">
        <f t="shared" si="684"/>
        <v>0</v>
      </c>
      <c r="L281" s="2">
        <f t="shared" si="684"/>
        <v>0</v>
      </c>
      <c r="M281" s="2">
        <f t="shared" si="684"/>
        <v>0</v>
      </c>
      <c r="N281" s="2">
        <f t="shared" si="684"/>
        <v>0</v>
      </c>
      <c r="O281" s="2"/>
      <c r="P281" s="61" t="str">
        <f>E$1&amp;$A281&amp;"*     """</f>
        <v>E281*     "</v>
      </c>
      <c r="Q281" s="61"/>
      <c r="R281" s="441">
        <v>1</v>
      </c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76">
        <f t="shared" si="607"/>
        <v>0</v>
      </c>
      <c r="AK281" s="2">
        <f t="shared" si="686"/>
        <v>0</v>
      </c>
      <c r="AL281" s="2">
        <f t="shared" si="687"/>
        <v>0</v>
      </c>
      <c r="AM281" s="2">
        <f t="shared" si="687"/>
        <v>0</v>
      </c>
      <c r="AN281" s="2">
        <f t="shared" si="687"/>
        <v>0</v>
      </c>
      <c r="AO281" s="2">
        <f t="shared" si="687"/>
        <v>0</v>
      </c>
      <c r="AP281" s="2"/>
      <c r="AQ281" s="61" t="str">
        <f>E$1&amp;$A281&amp;"*      """</f>
        <v>E281*      "</v>
      </c>
      <c r="AS281" s="2">
        <f t="shared" si="688"/>
        <v>0</v>
      </c>
      <c r="AT281" s="2">
        <f t="shared" si="689"/>
        <v>0</v>
      </c>
      <c r="AU281" s="2">
        <f t="shared" si="689"/>
        <v>0</v>
      </c>
      <c r="AV281" s="2">
        <f t="shared" si="689"/>
        <v>0</v>
      </c>
      <c r="AW281" s="2">
        <f t="shared" si="689"/>
        <v>0</v>
      </c>
      <c r="AX281" s="2">
        <f t="shared" si="689"/>
        <v>0</v>
      </c>
      <c r="AY281" s="2">
        <f t="shared" si="689"/>
        <v>0</v>
      </c>
      <c r="BA281" s="2">
        <f t="shared" si="690"/>
        <v>0</v>
      </c>
      <c r="BB281" s="2">
        <f t="shared" si="691"/>
        <v>0</v>
      </c>
      <c r="BC281" s="2">
        <f t="shared" si="691"/>
        <v>0</v>
      </c>
      <c r="BD281" s="2">
        <f t="shared" si="691"/>
        <v>0</v>
      </c>
      <c r="BE281" s="2">
        <f t="shared" si="691"/>
        <v>0</v>
      </c>
      <c r="BF281" s="2">
        <f t="shared" si="691"/>
        <v>0</v>
      </c>
      <c r="BG281" s="2">
        <f t="shared" si="691"/>
        <v>0</v>
      </c>
      <c r="BI281" s="2">
        <f t="shared" si="692"/>
        <v>0</v>
      </c>
      <c r="BJ281" s="2">
        <f t="shared" si="693"/>
        <v>0</v>
      </c>
      <c r="BK281" s="2">
        <f t="shared" si="693"/>
        <v>0</v>
      </c>
      <c r="BL281" s="2">
        <f t="shared" si="693"/>
        <v>0</v>
      </c>
      <c r="BM281" s="2">
        <f t="shared" si="693"/>
        <v>0</v>
      </c>
      <c r="BN281" s="2">
        <f t="shared" si="693"/>
        <v>0</v>
      </c>
      <c r="BO281" s="2">
        <f t="shared" si="693"/>
        <v>0</v>
      </c>
      <c r="BQ281" s="28" t="s">
        <v>352</v>
      </c>
      <c r="BR281" s="23">
        <v>0</v>
      </c>
      <c r="BS281" s="14">
        <f t="shared" si="694"/>
        <v>1</v>
      </c>
      <c r="BT281" s="14">
        <f t="shared" si="694"/>
        <v>0</v>
      </c>
      <c r="BU281" s="14">
        <f t="shared" si="694"/>
        <v>0</v>
      </c>
      <c r="BV281" s="14">
        <f t="shared" si="695"/>
        <v>0</v>
      </c>
      <c r="BW281" s="14">
        <f t="shared" si="695"/>
        <v>0</v>
      </c>
      <c r="BX281" s="14">
        <f t="shared" si="695"/>
        <v>0</v>
      </c>
      <c r="BY281" s="14">
        <f t="shared" si="695"/>
        <v>0</v>
      </c>
      <c r="BZ281" s="14">
        <f t="shared" si="695"/>
        <v>0</v>
      </c>
      <c r="CA281" s="14">
        <f t="shared" si="695"/>
        <v>0</v>
      </c>
      <c r="CB281" s="14">
        <f t="shared" si="695"/>
        <v>0</v>
      </c>
      <c r="CC281" s="14">
        <f t="shared" si="695"/>
        <v>0</v>
      </c>
      <c r="CD281" s="14">
        <f t="shared" si="695"/>
        <v>0</v>
      </c>
      <c r="CE281" s="14">
        <f t="shared" si="695"/>
        <v>0</v>
      </c>
      <c r="CF281" s="14">
        <f>AE281</f>
        <v>0</v>
      </c>
      <c r="CG281" s="14">
        <f t="shared" si="696"/>
        <v>0</v>
      </c>
      <c r="CH281" s="14">
        <f t="shared" si="696"/>
        <v>0</v>
      </c>
      <c r="CI281" s="14">
        <f t="shared" si="696"/>
        <v>0</v>
      </c>
      <c r="CJ281" s="14"/>
      <c r="CK281" s="112" t="str">
        <f t="shared" si="697"/>
        <v>Input - 100% Throughput</v>
      </c>
      <c r="CL281" s="76">
        <f t="shared" si="674"/>
        <v>0</v>
      </c>
      <c r="CM281" s="2">
        <f t="shared" si="698"/>
        <v>0</v>
      </c>
      <c r="CN281" s="2">
        <f t="shared" si="698"/>
        <v>0</v>
      </c>
      <c r="CO281" s="2">
        <f t="shared" si="698"/>
        <v>0</v>
      </c>
      <c r="CP281" s="2">
        <f t="shared" si="698"/>
        <v>0</v>
      </c>
      <c r="CQ281" s="2">
        <f t="shared" si="698"/>
        <v>0</v>
      </c>
      <c r="CR281" s="2">
        <f t="shared" si="698"/>
        <v>0</v>
      </c>
    </row>
    <row r="282" spans="1:96">
      <c r="A282" s="50">
        <f t="shared" si="651"/>
        <v>282</v>
      </c>
      <c r="C282" s="36" t="s">
        <v>151</v>
      </c>
      <c r="D282" s="28" t="s">
        <v>353</v>
      </c>
      <c r="E282" s="23">
        <v>0</v>
      </c>
      <c r="F282" s="60" t="str">
        <f>"as Plant in Service ("&amp;A$58&amp;")"</f>
        <v>as Plant in Service (58)</v>
      </c>
      <c r="G282" s="60"/>
      <c r="H282" s="2">
        <f t="shared" si="683"/>
        <v>0</v>
      </c>
      <c r="I282" s="21">
        <f t="shared" si="684"/>
        <v>0</v>
      </c>
      <c r="J282" s="2">
        <f t="shared" si="684"/>
        <v>0</v>
      </c>
      <c r="K282" s="2">
        <f t="shared" si="684"/>
        <v>0</v>
      </c>
      <c r="L282" s="2">
        <f t="shared" si="684"/>
        <v>0</v>
      </c>
      <c r="M282" s="2">
        <f t="shared" si="684"/>
        <v>0</v>
      </c>
      <c r="N282" s="2">
        <f t="shared" si="684"/>
        <v>0</v>
      </c>
      <c r="O282" s="2"/>
      <c r="P282" s="61" t="str">
        <f>E$1&amp;$A282&amp;"*     """</f>
        <v>E282*     "</v>
      </c>
      <c r="Q282" s="61"/>
      <c r="R282" s="14">
        <f>R$58</f>
        <v>0.16904766890389558</v>
      </c>
      <c r="S282" s="14">
        <f t="shared" ref="S282:AH282" si="699">S$58</f>
        <v>2.676215166561764E-3</v>
      </c>
      <c r="T282" s="14">
        <f t="shared" si="699"/>
        <v>6.7778250216338808E-3</v>
      </c>
      <c r="U282" s="14">
        <f t="shared" si="699"/>
        <v>4.5359290529395975E-2</v>
      </c>
      <c r="V282" s="14">
        <f t="shared" si="699"/>
        <v>0</v>
      </c>
      <c r="W282" s="14">
        <f t="shared" si="699"/>
        <v>0.27058822771397795</v>
      </c>
      <c r="X282" s="14">
        <f t="shared" si="699"/>
        <v>0</v>
      </c>
      <c r="Y282" s="14">
        <f t="shared" si="699"/>
        <v>0</v>
      </c>
      <c r="Z282" s="14">
        <f t="shared" si="699"/>
        <v>0</v>
      </c>
      <c r="AA282" s="14">
        <f t="shared" si="699"/>
        <v>0</v>
      </c>
      <c r="AB282" s="14">
        <f t="shared" si="699"/>
        <v>7.2651262952682066E-2</v>
      </c>
      <c r="AC282" s="14">
        <f t="shared" si="699"/>
        <v>0.31137572086955634</v>
      </c>
      <c r="AD282" s="14">
        <f t="shared" si="699"/>
        <v>0.11759557901028445</v>
      </c>
      <c r="AE282" s="14">
        <f t="shared" si="699"/>
        <v>0</v>
      </c>
      <c r="AF282" s="14">
        <f t="shared" si="699"/>
        <v>3.9282098320119977E-3</v>
      </c>
      <c r="AG282" s="14">
        <f t="shared" si="699"/>
        <v>0</v>
      </c>
      <c r="AH282" s="14">
        <f t="shared" si="699"/>
        <v>-2.4244162456526846E-19</v>
      </c>
      <c r="AI282" s="76">
        <f t="shared" si="607"/>
        <v>0</v>
      </c>
      <c r="AK282" s="2">
        <f t="shared" si="686"/>
        <v>0</v>
      </c>
      <c r="AL282" s="2">
        <f t="shared" si="687"/>
        <v>0</v>
      </c>
      <c r="AM282" s="2">
        <f t="shared" si="687"/>
        <v>0</v>
      </c>
      <c r="AN282" s="2">
        <f t="shared" si="687"/>
        <v>0</v>
      </c>
      <c r="AO282" s="2">
        <f t="shared" si="687"/>
        <v>0</v>
      </c>
      <c r="AP282" s="2"/>
      <c r="AQ282" s="61" t="str">
        <f>E$1&amp;$A282&amp;"*      """</f>
        <v>E282*      "</v>
      </c>
      <c r="AS282" s="2">
        <f t="shared" si="688"/>
        <v>0</v>
      </c>
      <c r="AT282" s="2">
        <f t="shared" si="689"/>
        <v>0</v>
      </c>
      <c r="AU282" s="2">
        <f t="shared" si="689"/>
        <v>0</v>
      </c>
      <c r="AV282" s="2">
        <f t="shared" si="689"/>
        <v>0</v>
      </c>
      <c r="AW282" s="2">
        <f t="shared" si="689"/>
        <v>0</v>
      </c>
      <c r="AX282" s="2">
        <f t="shared" si="689"/>
        <v>0</v>
      </c>
      <c r="AY282" s="2">
        <f t="shared" si="689"/>
        <v>0</v>
      </c>
      <c r="BA282" s="2">
        <f t="shared" si="690"/>
        <v>0</v>
      </c>
      <c r="BB282" s="2">
        <f t="shared" si="691"/>
        <v>0</v>
      </c>
      <c r="BC282" s="2">
        <f t="shared" si="691"/>
        <v>0</v>
      </c>
      <c r="BD282" s="2">
        <f t="shared" si="691"/>
        <v>0</v>
      </c>
      <c r="BE282" s="2">
        <f t="shared" si="691"/>
        <v>0</v>
      </c>
      <c r="BF282" s="2">
        <f t="shared" si="691"/>
        <v>0</v>
      </c>
      <c r="BG282" s="2">
        <f t="shared" si="691"/>
        <v>0</v>
      </c>
      <c r="BI282" s="2">
        <f t="shared" si="692"/>
        <v>0</v>
      </c>
      <c r="BJ282" s="2">
        <f t="shared" si="693"/>
        <v>0</v>
      </c>
      <c r="BK282" s="2">
        <f t="shared" si="693"/>
        <v>0</v>
      </c>
      <c r="BL282" s="2">
        <f t="shared" si="693"/>
        <v>0</v>
      </c>
      <c r="BM282" s="2">
        <f t="shared" si="693"/>
        <v>0</v>
      </c>
      <c r="BN282" s="2">
        <f t="shared" si="693"/>
        <v>0</v>
      </c>
      <c r="BO282" s="2">
        <f t="shared" si="693"/>
        <v>0</v>
      </c>
      <c r="BQ282" s="28" t="s">
        <v>353</v>
      </c>
      <c r="BR282" s="23">
        <v>0</v>
      </c>
      <c r="BS282" s="14">
        <f>R$58</f>
        <v>0.16904766890389558</v>
      </c>
      <c r="BT282" s="14">
        <f>S$58</f>
        <v>2.676215166561764E-3</v>
      </c>
      <c r="BU282" s="14">
        <f>T$58</f>
        <v>6.7778250216338808E-3</v>
      </c>
      <c r="BV282" s="14">
        <f t="shared" ref="BV282:CI282" si="700">U$58</f>
        <v>4.5359290529395975E-2</v>
      </c>
      <c r="BW282" s="14">
        <f t="shared" si="700"/>
        <v>0</v>
      </c>
      <c r="BX282" s="14">
        <f t="shared" si="700"/>
        <v>0.27058822771397795</v>
      </c>
      <c r="BY282" s="14">
        <f t="shared" si="700"/>
        <v>0</v>
      </c>
      <c r="BZ282" s="14">
        <f t="shared" si="700"/>
        <v>0</v>
      </c>
      <c r="CA282" s="14">
        <f t="shared" si="700"/>
        <v>0</v>
      </c>
      <c r="CB282" s="14">
        <f t="shared" si="700"/>
        <v>0</v>
      </c>
      <c r="CC282" s="14">
        <f t="shared" si="700"/>
        <v>7.2651262952682066E-2</v>
      </c>
      <c r="CD282" s="14">
        <f t="shared" si="700"/>
        <v>0.31137572086955634</v>
      </c>
      <c r="CE282" s="14">
        <f t="shared" si="700"/>
        <v>0.11759557901028445</v>
      </c>
      <c r="CF282" s="14">
        <f t="shared" si="700"/>
        <v>0</v>
      </c>
      <c r="CG282" s="14">
        <f t="shared" si="700"/>
        <v>3.9282098320119977E-3</v>
      </c>
      <c r="CH282" s="14">
        <f t="shared" si="700"/>
        <v>0</v>
      </c>
      <c r="CI282" s="14">
        <f t="shared" si="700"/>
        <v>-2.4244162456526846E-19</v>
      </c>
      <c r="CJ282" s="14"/>
      <c r="CK282" s="112" t="str">
        <f t="shared" si="697"/>
        <v>as Plant in Service (58)</v>
      </c>
      <c r="CL282" s="76">
        <f t="shared" si="674"/>
        <v>0</v>
      </c>
      <c r="CM282" s="2">
        <f t="shared" si="698"/>
        <v>0</v>
      </c>
      <c r="CN282" s="2">
        <f t="shared" si="698"/>
        <v>0</v>
      </c>
      <c r="CO282" s="2">
        <f t="shared" si="698"/>
        <v>0</v>
      </c>
      <c r="CP282" s="2">
        <f t="shared" si="698"/>
        <v>0</v>
      </c>
      <c r="CQ282" s="2">
        <f t="shared" si="698"/>
        <v>0</v>
      </c>
      <c r="CR282" s="2">
        <f t="shared" si="698"/>
        <v>0</v>
      </c>
    </row>
    <row r="283" spans="1:96">
      <c r="A283" s="50">
        <f t="shared" si="651"/>
        <v>283</v>
      </c>
      <c r="C283" s="36" t="s">
        <v>156</v>
      </c>
      <c r="D283" s="28" t="s">
        <v>354</v>
      </c>
      <c r="E283" s="23">
        <v>0</v>
      </c>
      <c r="F283" s="60" t="s">
        <v>450</v>
      </c>
      <c r="G283" s="60"/>
      <c r="H283" s="2">
        <f t="shared" si="683"/>
        <v>0</v>
      </c>
      <c r="I283" s="21">
        <f t="shared" si="684"/>
        <v>0</v>
      </c>
      <c r="J283" s="2">
        <f t="shared" si="684"/>
        <v>0</v>
      </c>
      <c r="K283" s="2">
        <f t="shared" si="684"/>
        <v>0</v>
      </c>
      <c r="L283" s="2">
        <f t="shared" si="684"/>
        <v>0</v>
      </c>
      <c r="M283" s="2">
        <f t="shared" si="684"/>
        <v>0</v>
      </c>
      <c r="N283" s="2">
        <f t="shared" si="684"/>
        <v>0</v>
      </c>
      <c r="O283" s="2"/>
      <c r="P283" s="61" t="str">
        <f>E$1&amp;$A283&amp;"*     """</f>
        <v>E283*     "</v>
      </c>
      <c r="Q283" s="61"/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1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76">
        <f t="shared" si="607"/>
        <v>0</v>
      </c>
      <c r="AK283" s="2">
        <f t="shared" si="686"/>
        <v>0</v>
      </c>
      <c r="AL283" s="2">
        <f t="shared" si="687"/>
        <v>0</v>
      </c>
      <c r="AM283" s="2">
        <f t="shared" si="687"/>
        <v>0</v>
      </c>
      <c r="AN283" s="2">
        <f t="shared" si="687"/>
        <v>0</v>
      </c>
      <c r="AO283" s="2">
        <f t="shared" si="687"/>
        <v>0</v>
      </c>
      <c r="AP283" s="2"/>
      <c r="AQ283" s="61" t="str">
        <f>E$1&amp;$A283&amp;"*      """</f>
        <v>E283*      "</v>
      </c>
      <c r="AS283" s="2">
        <f t="shared" si="688"/>
        <v>0</v>
      </c>
      <c r="AT283" s="2">
        <f t="shared" si="689"/>
        <v>0</v>
      </c>
      <c r="AU283" s="2">
        <f t="shared" si="689"/>
        <v>0</v>
      </c>
      <c r="AV283" s="2">
        <f t="shared" si="689"/>
        <v>0</v>
      </c>
      <c r="AW283" s="2">
        <f t="shared" si="689"/>
        <v>0</v>
      </c>
      <c r="AX283" s="2">
        <f t="shared" si="689"/>
        <v>0</v>
      </c>
      <c r="AY283" s="2">
        <f t="shared" si="689"/>
        <v>0</v>
      </c>
      <c r="BA283" s="2">
        <f t="shared" si="690"/>
        <v>0</v>
      </c>
      <c r="BB283" s="2">
        <f t="shared" si="691"/>
        <v>0</v>
      </c>
      <c r="BC283" s="2">
        <f t="shared" si="691"/>
        <v>0</v>
      </c>
      <c r="BD283" s="2">
        <f t="shared" si="691"/>
        <v>0</v>
      </c>
      <c r="BE283" s="2">
        <f t="shared" si="691"/>
        <v>0</v>
      </c>
      <c r="BF283" s="2">
        <f t="shared" si="691"/>
        <v>0</v>
      </c>
      <c r="BG283" s="2">
        <f t="shared" si="691"/>
        <v>0</v>
      </c>
      <c r="BI283" s="2">
        <f t="shared" si="692"/>
        <v>0</v>
      </c>
      <c r="BJ283" s="2">
        <f t="shared" si="693"/>
        <v>0</v>
      </c>
      <c r="BK283" s="2">
        <f t="shared" si="693"/>
        <v>0</v>
      </c>
      <c r="BL283" s="2">
        <f t="shared" si="693"/>
        <v>0</v>
      </c>
      <c r="BM283" s="2">
        <f t="shared" si="693"/>
        <v>0</v>
      </c>
      <c r="BN283" s="2">
        <f t="shared" si="693"/>
        <v>0</v>
      </c>
      <c r="BO283" s="2">
        <f t="shared" si="693"/>
        <v>0</v>
      </c>
      <c r="BQ283" s="28" t="s">
        <v>354</v>
      </c>
      <c r="BR283" s="23">
        <v>0</v>
      </c>
      <c r="BS283" s="14">
        <f t="shared" ref="BS283:BU284" si="701">R283</f>
        <v>0</v>
      </c>
      <c r="BT283" s="14">
        <f t="shared" si="701"/>
        <v>0</v>
      </c>
      <c r="BU283" s="14">
        <f t="shared" si="701"/>
        <v>0</v>
      </c>
      <c r="BV283" s="14">
        <f t="shared" ref="BV283:CB284" si="702">U283</f>
        <v>0</v>
      </c>
      <c r="BW283" s="14">
        <f t="shared" si="702"/>
        <v>0</v>
      </c>
      <c r="BX283" s="14">
        <f t="shared" si="702"/>
        <v>0</v>
      </c>
      <c r="BY283" s="14">
        <f t="shared" si="702"/>
        <v>0</v>
      </c>
      <c r="BZ283" s="14">
        <f t="shared" si="702"/>
        <v>0</v>
      </c>
      <c r="CA283" s="14">
        <f t="shared" si="702"/>
        <v>0</v>
      </c>
      <c r="CB283" s="14">
        <f t="shared" si="702"/>
        <v>0</v>
      </c>
      <c r="CC283" s="14">
        <f t="shared" ref="CC283:CF284" si="703">AB283</f>
        <v>1</v>
      </c>
      <c r="CD283" s="14">
        <f t="shared" si="703"/>
        <v>0</v>
      </c>
      <c r="CE283" s="14">
        <f t="shared" si="703"/>
        <v>0</v>
      </c>
      <c r="CF283" s="14">
        <f t="shared" si="703"/>
        <v>0</v>
      </c>
      <c r="CG283" s="14">
        <f t="shared" ref="CG283:CI284" si="704">AF283</f>
        <v>0</v>
      </c>
      <c r="CH283" s="14">
        <f t="shared" si="704"/>
        <v>0</v>
      </c>
      <c r="CI283" s="14">
        <f t="shared" si="704"/>
        <v>0</v>
      </c>
      <c r="CJ283" s="14"/>
      <c r="CK283" s="112" t="str">
        <f t="shared" si="697"/>
        <v>Input - 100% Cust</v>
      </c>
      <c r="CL283" s="76">
        <f t="shared" si="674"/>
        <v>0</v>
      </c>
      <c r="CM283" s="2">
        <f t="shared" si="698"/>
        <v>0</v>
      </c>
      <c r="CN283" s="2">
        <f t="shared" si="698"/>
        <v>0</v>
      </c>
      <c r="CO283" s="2">
        <f t="shared" si="698"/>
        <v>0</v>
      </c>
      <c r="CP283" s="2">
        <f t="shared" si="698"/>
        <v>0</v>
      </c>
      <c r="CQ283" s="2">
        <f t="shared" si="698"/>
        <v>0</v>
      </c>
      <c r="CR283" s="2">
        <f t="shared" si="698"/>
        <v>0</v>
      </c>
    </row>
    <row r="284" spans="1:96">
      <c r="A284" s="50">
        <f t="shared" si="651"/>
        <v>284</v>
      </c>
      <c r="C284" s="36" t="s">
        <v>155</v>
      </c>
      <c r="D284" s="28" t="s">
        <v>350</v>
      </c>
      <c r="E284" s="23">
        <v>0</v>
      </c>
      <c r="F284" s="60" t="s">
        <v>451</v>
      </c>
      <c r="G284" s="60"/>
      <c r="H284" s="2">
        <f t="shared" si="683"/>
        <v>0</v>
      </c>
      <c r="I284" s="21">
        <f t="shared" si="684"/>
        <v>0</v>
      </c>
      <c r="J284" s="2">
        <f t="shared" si="684"/>
        <v>0</v>
      </c>
      <c r="K284" s="2">
        <f t="shared" si="684"/>
        <v>0</v>
      </c>
      <c r="L284" s="2">
        <f t="shared" si="684"/>
        <v>0</v>
      </c>
      <c r="M284" s="2">
        <f t="shared" si="684"/>
        <v>0</v>
      </c>
      <c r="N284" s="2">
        <f t="shared" si="684"/>
        <v>0</v>
      </c>
      <c r="O284" s="2"/>
      <c r="P284" s="61" t="str">
        <f>E$1&amp;$A284&amp;"*     """</f>
        <v>E284*     "</v>
      </c>
      <c r="Q284" s="61"/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1</v>
      </c>
      <c r="AI284" s="76">
        <f t="shared" si="607"/>
        <v>0</v>
      </c>
      <c r="AK284" s="2">
        <f t="shared" si="686"/>
        <v>0</v>
      </c>
      <c r="AL284" s="2">
        <f t="shared" si="687"/>
        <v>0</v>
      </c>
      <c r="AM284" s="2">
        <f t="shared" si="687"/>
        <v>0</v>
      </c>
      <c r="AN284" s="2">
        <f t="shared" si="687"/>
        <v>0</v>
      </c>
      <c r="AO284" s="2">
        <f t="shared" si="687"/>
        <v>0</v>
      </c>
      <c r="AP284" s="2"/>
      <c r="AQ284" s="61" t="str">
        <f>E$1&amp;$A284&amp;"*      """</f>
        <v>E284*      "</v>
      </c>
      <c r="AS284" s="2">
        <f t="shared" si="688"/>
        <v>0</v>
      </c>
      <c r="AT284" s="2">
        <f t="shared" si="689"/>
        <v>0</v>
      </c>
      <c r="AU284" s="2">
        <f t="shared" si="689"/>
        <v>0</v>
      </c>
      <c r="AV284" s="2">
        <f t="shared" si="689"/>
        <v>0</v>
      </c>
      <c r="AW284" s="2">
        <f t="shared" si="689"/>
        <v>0</v>
      </c>
      <c r="AX284" s="2">
        <f t="shared" si="689"/>
        <v>0</v>
      </c>
      <c r="AY284" s="2">
        <f t="shared" si="689"/>
        <v>0</v>
      </c>
      <c r="BA284" s="2">
        <f t="shared" si="690"/>
        <v>0</v>
      </c>
      <c r="BB284" s="2">
        <f t="shared" si="691"/>
        <v>0</v>
      </c>
      <c r="BC284" s="2">
        <f t="shared" si="691"/>
        <v>0</v>
      </c>
      <c r="BD284" s="2">
        <f t="shared" si="691"/>
        <v>0</v>
      </c>
      <c r="BE284" s="2">
        <f t="shared" si="691"/>
        <v>0</v>
      </c>
      <c r="BF284" s="2">
        <f t="shared" si="691"/>
        <v>0</v>
      </c>
      <c r="BG284" s="2">
        <f t="shared" si="691"/>
        <v>0</v>
      </c>
      <c r="BI284" s="2">
        <f t="shared" si="692"/>
        <v>0</v>
      </c>
      <c r="BJ284" s="2">
        <f t="shared" si="693"/>
        <v>0</v>
      </c>
      <c r="BK284" s="2">
        <f t="shared" si="693"/>
        <v>0</v>
      </c>
      <c r="BL284" s="2">
        <f t="shared" si="693"/>
        <v>0</v>
      </c>
      <c r="BM284" s="2">
        <f t="shared" si="693"/>
        <v>0</v>
      </c>
      <c r="BN284" s="2">
        <f t="shared" si="693"/>
        <v>0</v>
      </c>
      <c r="BO284" s="2">
        <f t="shared" si="693"/>
        <v>0</v>
      </c>
      <c r="BQ284" s="28" t="s">
        <v>350</v>
      </c>
      <c r="BR284" s="23">
        <v>0</v>
      </c>
      <c r="BS284" s="14">
        <f t="shared" si="701"/>
        <v>0</v>
      </c>
      <c r="BT284" s="14">
        <f t="shared" si="701"/>
        <v>0</v>
      </c>
      <c r="BU284" s="14">
        <f t="shared" si="701"/>
        <v>0</v>
      </c>
      <c r="BV284" s="14">
        <f t="shared" si="702"/>
        <v>0</v>
      </c>
      <c r="BW284" s="14">
        <f t="shared" si="702"/>
        <v>0</v>
      </c>
      <c r="BX284" s="14">
        <f t="shared" si="702"/>
        <v>0</v>
      </c>
      <c r="BY284" s="14">
        <f t="shared" si="702"/>
        <v>0</v>
      </c>
      <c r="BZ284" s="14">
        <f t="shared" si="702"/>
        <v>0</v>
      </c>
      <c r="CA284" s="14">
        <f t="shared" si="702"/>
        <v>0</v>
      </c>
      <c r="CB284" s="14">
        <f t="shared" si="702"/>
        <v>0</v>
      </c>
      <c r="CC284" s="14">
        <f t="shared" si="703"/>
        <v>0</v>
      </c>
      <c r="CD284" s="14">
        <f t="shared" si="703"/>
        <v>0</v>
      </c>
      <c r="CE284" s="14">
        <f t="shared" si="703"/>
        <v>0</v>
      </c>
      <c r="CF284" s="14">
        <f t="shared" si="703"/>
        <v>0</v>
      </c>
      <c r="CG284" s="14">
        <f t="shared" si="704"/>
        <v>0</v>
      </c>
      <c r="CH284" s="14">
        <f t="shared" si="704"/>
        <v>0</v>
      </c>
      <c r="CI284" s="14">
        <f t="shared" si="704"/>
        <v>1</v>
      </c>
      <c r="CJ284" s="14"/>
      <c r="CK284" s="112" t="str">
        <f t="shared" si="697"/>
        <v>Input - 100% Rev</v>
      </c>
      <c r="CL284" s="76">
        <f t="shared" si="674"/>
        <v>0</v>
      </c>
      <c r="CM284" s="2">
        <f t="shared" si="698"/>
        <v>0</v>
      </c>
      <c r="CN284" s="2">
        <f t="shared" si="698"/>
        <v>0</v>
      </c>
      <c r="CO284" s="2">
        <f t="shared" si="698"/>
        <v>0</v>
      </c>
      <c r="CP284" s="2">
        <f t="shared" si="698"/>
        <v>0</v>
      </c>
      <c r="CQ284" s="2">
        <f t="shared" si="698"/>
        <v>0</v>
      </c>
      <c r="CR284" s="2">
        <f t="shared" si="698"/>
        <v>0</v>
      </c>
    </row>
    <row r="285" spans="1:96">
      <c r="A285" s="50">
        <f t="shared" si="651"/>
        <v>285</v>
      </c>
      <c r="C285" s="36" t="s">
        <v>151</v>
      </c>
      <c r="D285" s="28" t="s">
        <v>355</v>
      </c>
      <c r="E285" s="23">
        <v>0</v>
      </c>
      <c r="F285" s="60" t="str">
        <f>"as Labor O&amp;M Exp. ("&amp;BS$1&amp;A$344&amp;")"</f>
        <v>as Labor O&amp;M Exp. (BS344)</v>
      </c>
      <c r="G285" s="60"/>
      <c r="H285" s="2">
        <f t="shared" si="683"/>
        <v>0</v>
      </c>
      <c r="I285" s="21">
        <f t="shared" ref="I285:N285" si="705">$E285*CM$344/$BR$344</f>
        <v>0</v>
      </c>
      <c r="J285" s="21">
        <f t="shared" si="705"/>
        <v>0</v>
      </c>
      <c r="K285" s="21">
        <f t="shared" si="705"/>
        <v>0</v>
      </c>
      <c r="L285" s="21">
        <f t="shared" si="705"/>
        <v>0</v>
      </c>
      <c r="M285" s="21">
        <f t="shared" si="705"/>
        <v>0</v>
      </c>
      <c r="N285" s="21">
        <f t="shared" si="705"/>
        <v>0</v>
      </c>
      <c r="O285" s="2"/>
      <c r="P285" s="61" t="str">
        <f>E$1&amp;$A285&amp;"* "&amp;CM$1&amp;A$344&amp;" / "&amp;BR$1&amp;A$344</f>
        <v>E285* CM344 / BR344</v>
      </c>
      <c r="Q285" s="61"/>
      <c r="R285" s="14">
        <f>BS$344</f>
        <v>0.10913184265939331</v>
      </c>
      <c r="S285" s="14">
        <f>BT$344</f>
        <v>3.3021876247189427E-2</v>
      </c>
      <c r="T285" s="14">
        <f t="shared" ref="T285:AH285" si="706">BU$344</f>
        <v>2.9366713079939091E-3</v>
      </c>
      <c r="U285" s="14">
        <f t="shared" si="706"/>
        <v>1.9653107984266921E-2</v>
      </c>
      <c r="V285" s="14">
        <f t="shared" si="706"/>
        <v>0</v>
      </c>
      <c r="W285" s="14">
        <f t="shared" si="706"/>
        <v>0.16142462055819431</v>
      </c>
      <c r="X285" s="14">
        <f t="shared" si="706"/>
        <v>0</v>
      </c>
      <c r="Y285" s="14">
        <f t="shared" si="706"/>
        <v>0</v>
      </c>
      <c r="Z285" s="14">
        <f t="shared" si="706"/>
        <v>0</v>
      </c>
      <c r="AA285" s="14">
        <f t="shared" si="706"/>
        <v>0</v>
      </c>
      <c r="AB285" s="14">
        <f t="shared" si="706"/>
        <v>0.37507244202834572</v>
      </c>
      <c r="AC285" s="14">
        <f t="shared" si="706"/>
        <v>0.18309838925091035</v>
      </c>
      <c r="AD285" s="14">
        <f t="shared" si="706"/>
        <v>0.11390268710509913</v>
      </c>
      <c r="AE285" s="14">
        <f t="shared" si="706"/>
        <v>0</v>
      </c>
      <c r="AF285" s="14">
        <f t="shared" si="706"/>
        <v>1.7583628586068862E-3</v>
      </c>
      <c r="AG285" s="14">
        <f t="shared" si="706"/>
        <v>0</v>
      </c>
      <c r="AH285" s="14">
        <f t="shared" si="706"/>
        <v>-4.5942138576433119E-19</v>
      </c>
      <c r="AI285" s="76">
        <f t="shared" si="607"/>
        <v>0</v>
      </c>
      <c r="AK285" s="2">
        <f t="shared" si="686"/>
        <v>0</v>
      </c>
      <c r="AL285" s="2">
        <f t="shared" si="687"/>
        <v>0</v>
      </c>
      <c r="AM285" s="2">
        <f t="shared" si="687"/>
        <v>0</v>
      </c>
      <c r="AN285" s="2">
        <f t="shared" si="687"/>
        <v>0</v>
      </c>
      <c r="AO285" s="2">
        <f t="shared" si="687"/>
        <v>0</v>
      </c>
      <c r="AP285" s="2"/>
      <c r="AQ285" s="61" t="str">
        <f>E$1&amp;$A285&amp;"*      """</f>
        <v>E285*      "</v>
      </c>
      <c r="AS285" s="2">
        <f t="shared" si="688"/>
        <v>0</v>
      </c>
      <c r="AT285" s="2">
        <f t="shared" si="689"/>
        <v>0</v>
      </c>
      <c r="AU285" s="2">
        <f t="shared" si="689"/>
        <v>0</v>
      </c>
      <c r="AV285" s="2">
        <f t="shared" si="689"/>
        <v>0</v>
      </c>
      <c r="AW285" s="2">
        <f t="shared" si="689"/>
        <v>0</v>
      </c>
      <c r="AX285" s="2">
        <f t="shared" si="689"/>
        <v>0</v>
      </c>
      <c r="AY285" s="2">
        <f t="shared" si="689"/>
        <v>0</v>
      </c>
      <c r="BA285" s="2">
        <f t="shared" si="690"/>
        <v>0</v>
      </c>
      <c r="BB285" s="2">
        <f t="shared" si="691"/>
        <v>0</v>
      </c>
      <c r="BC285" s="2">
        <f t="shared" si="691"/>
        <v>0</v>
      </c>
      <c r="BD285" s="2">
        <f t="shared" si="691"/>
        <v>0</v>
      </c>
      <c r="BE285" s="2">
        <f t="shared" si="691"/>
        <v>0</v>
      </c>
      <c r="BF285" s="2">
        <f t="shared" si="691"/>
        <v>0</v>
      </c>
      <c r="BG285" s="2">
        <f t="shared" si="691"/>
        <v>0</v>
      </c>
      <c r="BI285" s="2">
        <f t="shared" si="692"/>
        <v>0</v>
      </c>
      <c r="BJ285" s="2">
        <f t="shared" si="693"/>
        <v>0</v>
      </c>
      <c r="BK285" s="2">
        <f t="shared" si="693"/>
        <v>0</v>
      </c>
      <c r="BL285" s="2">
        <f t="shared" si="693"/>
        <v>0</v>
      </c>
      <c r="BM285" s="2">
        <f t="shared" si="693"/>
        <v>0</v>
      </c>
      <c r="BN285" s="2">
        <f t="shared" si="693"/>
        <v>0</v>
      </c>
      <c r="BO285" s="2">
        <f t="shared" si="693"/>
        <v>0</v>
      </c>
      <c r="BQ285" s="28" t="s">
        <v>355</v>
      </c>
      <c r="BR285" s="23">
        <v>0</v>
      </c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112" t="str">
        <f t="shared" si="697"/>
        <v>as Labor O&amp;M Exp. (BS344)</v>
      </c>
      <c r="CL285" s="76">
        <f t="shared" si="674"/>
        <v>0</v>
      </c>
      <c r="CM285" s="2"/>
      <c r="CN285" s="2"/>
      <c r="CO285" s="2"/>
      <c r="CP285" s="2"/>
      <c r="CQ285" s="2"/>
      <c r="CR285" s="2"/>
    </row>
    <row r="286" spans="1:96">
      <c r="A286" s="50">
        <f t="shared" si="651"/>
        <v>286</v>
      </c>
      <c r="B286" t="s">
        <v>49</v>
      </c>
      <c r="D286" t="s">
        <v>50</v>
      </c>
      <c r="E286" s="2"/>
      <c r="F286" s="60"/>
      <c r="G286" s="60"/>
      <c r="I286" s="49"/>
      <c r="P286" s="61"/>
      <c r="Q286" s="61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76">
        <f t="shared" si="607"/>
        <v>0</v>
      </c>
      <c r="AQ286" s="61"/>
      <c r="BQ286" t="s">
        <v>50</v>
      </c>
      <c r="CK286" s="112"/>
      <c r="CL286" s="76">
        <f t="shared" si="674"/>
        <v>0</v>
      </c>
      <c r="CM286" s="49"/>
    </row>
    <row r="287" spans="1:96">
      <c r="A287" s="50">
        <f t="shared" si="651"/>
        <v>287</v>
      </c>
      <c r="C287" s="36" t="s">
        <v>151</v>
      </c>
      <c r="D287" s="56" t="s">
        <v>147</v>
      </c>
      <c r="E287" s="23">
        <v>0</v>
      </c>
      <c r="F287" s="61" t="s">
        <v>996</v>
      </c>
      <c r="G287" s="60"/>
      <c r="H287" s="2">
        <f t="shared" ref="H287:H292" si="707">SUM(I287:N287)</f>
        <v>0</v>
      </c>
      <c r="I287" s="21">
        <f t="shared" ref="I287:N291" si="708">$E287*SUMPRODUCT($R287:$AH287,INDEX(AllocFactors,I$4,0))</f>
        <v>0</v>
      </c>
      <c r="J287" s="2">
        <f t="shared" si="708"/>
        <v>0</v>
      </c>
      <c r="K287" s="2">
        <f t="shared" si="708"/>
        <v>0</v>
      </c>
      <c r="L287" s="2">
        <f t="shared" si="708"/>
        <v>0</v>
      </c>
      <c r="M287" s="2">
        <f t="shared" si="708"/>
        <v>0</v>
      </c>
      <c r="N287" s="2">
        <f t="shared" si="708"/>
        <v>0</v>
      </c>
      <c r="O287" s="2"/>
      <c r="P287" s="61" t="s">
        <v>997</v>
      </c>
      <c r="Q287" s="61"/>
      <c r="R287" s="14">
        <f>R$259</f>
        <v>9.9370957155623774E-2</v>
      </c>
      <c r="S287" s="14">
        <f t="shared" ref="S287:AH288" si="709">S$259</f>
        <v>1.5218388550417537E-2</v>
      </c>
      <c r="T287" s="14">
        <f t="shared" si="709"/>
        <v>8.699877677308605E-3</v>
      </c>
      <c r="U287" s="14">
        <f t="shared" si="709"/>
        <v>5.822225830198835E-2</v>
      </c>
      <c r="V287" s="14">
        <f t="shared" si="709"/>
        <v>0</v>
      </c>
      <c r="W287" s="14">
        <f t="shared" si="709"/>
        <v>0.15327818313927072</v>
      </c>
      <c r="X287" s="14">
        <f t="shared" si="709"/>
        <v>0</v>
      </c>
      <c r="Y287" s="14">
        <f t="shared" si="709"/>
        <v>0</v>
      </c>
      <c r="Z287" s="14">
        <f t="shared" si="709"/>
        <v>0</v>
      </c>
      <c r="AA287" s="14">
        <f t="shared" si="709"/>
        <v>0</v>
      </c>
      <c r="AB287" s="14">
        <f t="shared" si="709"/>
        <v>0.41313387731559803</v>
      </c>
      <c r="AC287" s="14">
        <f t="shared" si="709"/>
        <v>0.17108548237195526</v>
      </c>
      <c r="AD287" s="14">
        <f t="shared" si="709"/>
        <v>7.9473703927617212E-2</v>
      </c>
      <c r="AE287" s="14">
        <f t="shared" si="709"/>
        <v>0</v>
      </c>
      <c r="AF287" s="14">
        <f t="shared" si="709"/>
        <v>1.5172715602204624E-3</v>
      </c>
      <c r="AG287" s="14">
        <f t="shared" si="709"/>
        <v>0</v>
      </c>
      <c r="AH287" s="14">
        <f t="shared" si="709"/>
        <v>-1.4146429571039994E-18</v>
      </c>
      <c r="AI287" s="76">
        <f t="shared" si="607"/>
        <v>0</v>
      </c>
      <c r="AK287" s="2">
        <f t="shared" ref="AK287:AK292" si="710">SUM(AL287:AO287)</f>
        <v>0</v>
      </c>
      <c r="AL287" s="2">
        <f t="shared" ref="AL287:AO292" si="711">SUMIF($R$4:$AH$4,AL$5,$R287:$AH287)*$E287</f>
        <v>0</v>
      </c>
      <c r="AM287" s="2">
        <f t="shared" si="711"/>
        <v>0</v>
      </c>
      <c r="AN287" s="2">
        <f t="shared" si="711"/>
        <v>0</v>
      </c>
      <c r="AO287" s="2">
        <f t="shared" si="711"/>
        <v>0</v>
      </c>
      <c r="AP287" s="2"/>
      <c r="AQ287" s="61" t="str">
        <f>E$1&amp;$A287&amp;"*["&amp;R$1&amp;$A287&amp;":"&amp;$AH$1&amp;$A287&amp;" when "&amp;R$1&amp;$A$4&amp;":"&amp;$AH$1&amp;$A$4&amp;" = E,D,C,or R]"</f>
        <v>E287*[R287:AH287 when R4:AH4 = E,D,C,or R]</v>
      </c>
      <c r="AS287" s="2">
        <f t="shared" ref="AS287:AS292" si="712">SUM(AT287:AY287)</f>
        <v>0</v>
      </c>
      <c r="AT287" s="2">
        <f t="shared" ref="AT287:AY292" si="713">$E287*SUMPRODUCT($R287:$V287,INDEX(AllocFactors_E,AT$4,0))</f>
        <v>0</v>
      </c>
      <c r="AU287" s="2">
        <f t="shared" si="713"/>
        <v>0</v>
      </c>
      <c r="AV287" s="2">
        <f t="shared" si="713"/>
        <v>0</v>
      </c>
      <c r="AW287" s="2">
        <f t="shared" si="713"/>
        <v>0</v>
      </c>
      <c r="AX287" s="2">
        <f t="shared" si="713"/>
        <v>0</v>
      </c>
      <c r="AY287" s="2">
        <f t="shared" si="713"/>
        <v>0</v>
      </c>
      <c r="BA287" s="2">
        <f t="shared" ref="BA287:BA292" si="714">SUM(BB287:BG287)</f>
        <v>0</v>
      </c>
      <c r="BB287" s="2">
        <f t="shared" ref="BB287:BG292" si="715">$E287*SUMPRODUCT($W287:$AA287,INDEX(AllocFactors_D,BB$4,0))</f>
        <v>0</v>
      </c>
      <c r="BC287" s="2">
        <f t="shared" si="715"/>
        <v>0</v>
      </c>
      <c r="BD287" s="2">
        <f t="shared" si="715"/>
        <v>0</v>
      </c>
      <c r="BE287" s="2">
        <f t="shared" si="715"/>
        <v>0</v>
      </c>
      <c r="BF287" s="2">
        <f t="shared" si="715"/>
        <v>0</v>
      </c>
      <c r="BG287" s="2">
        <f t="shared" si="715"/>
        <v>0</v>
      </c>
      <c r="BI287" s="2">
        <f t="shared" ref="BI287:BI292" si="716">SUM(BJ287:BO287)</f>
        <v>0</v>
      </c>
      <c r="BJ287" s="2">
        <f t="shared" ref="BJ287:BO292" si="717">$E287*SUMPRODUCT($AB287:$AG287,INDEX(AllocFactors_C,BJ$4,0))</f>
        <v>0</v>
      </c>
      <c r="BK287" s="2">
        <f t="shared" si="717"/>
        <v>0</v>
      </c>
      <c r="BL287" s="2">
        <f t="shared" si="717"/>
        <v>0</v>
      </c>
      <c r="BM287" s="2">
        <f t="shared" si="717"/>
        <v>0</v>
      </c>
      <c r="BN287" s="2">
        <f t="shared" si="717"/>
        <v>0</v>
      </c>
      <c r="BO287" s="2">
        <f t="shared" si="717"/>
        <v>0</v>
      </c>
      <c r="BQ287" s="28" t="s">
        <v>351</v>
      </c>
      <c r="BR287" s="23">
        <v>20</v>
      </c>
      <c r="BS287" s="14">
        <f t="shared" ref="BS287:BU288" si="718">R287</f>
        <v>9.9370957155623774E-2</v>
      </c>
      <c r="BT287" s="14">
        <f t="shared" si="718"/>
        <v>1.5218388550417537E-2</v>
      </c>
      <c r="BU287" s="14">
        <f t="shared" si="718"/>
        <v>8.699877677308605E-3</v>
      </c>
      <c r="BV287" s="14">
        <f t="shared" ref="BV287:CE288" si="719">U287</f>
        <v>5.822225830198835E-2</v>
      </c>
      <c r="BW287" s="14">
        <f t="shared" si="719"/>
        <v>0</v>
      </c>
      <c r="BX287" s="14">
        <f t="shared" si="719"/>
        <v>0.15327818313927072</v>
      </c>
      <c r="BY287" s="14">
        <f t="shared" si="719"/>
        <v>0</v>
      </c>
      <c r="BZ287" s="14">
        <f t="shared" si="719"/>
        <v>0</v>
      </c>
      <c r="CA287" s="14">
        <f t="shared" si="719"/>
        <v>0</v>
      </c>
      <c r="CB287" s="14">
        <f t="shared" si="719"/>
        <v>0</v>
      </c>
      <c r="CC287" s="14">
        <f t="shared" si="719"/>
        <v>0.41313387731559803</v>
      </c>
      <c r="CD287" s="14">
        <f t="shared" si="719"/>
        <v>0.17108548237195526</v>
      </c>
      <c r="CE287" s="14">
        <f t="shared" si="719"/>
        <v>7.9473703927617212E-2</v>
      </c>
      <c r="CF287" s="14">
        <f>AE287</f>
        <v>0</v>
      </c>
      <c r="CG287" s="14">
        <f t="shared" ref="CG287:CI288" si="720">AF287</f>
        <v>1.5172715602204624E-3</v>
      </c>
      <c r="CH287" s="14">
        <f t="shared" si="720"/>
        <v>0</v>
      </c>
      <c r="CI287" s="14">
        <f t="shared" si="720"/>
        <v>-1.4146429571039994E-18</v>
      </c>
      <c r="CJ287" s="14"/>
      <c r="CK287" s="112" t="str">
        <f t="shared" ref="CK287:CK292" si="721">F287</f>
        <v>4-Factor</v>
      </c>
      <c r="CL287" s="76">
        <f t="shared" si="674"/>
        <v>0</v>
      </c>
      <c r="CM287" s="2">
        <f t="shared" ref="CM287:CR291" si="722">$BR287*SUMPRODUCT($BS287:$CI287,INDEX(AllocFactors,CM$172,0))</f>
        <v>16.834423348075045</v>
      </c>
      <c r="CN287" s="2">
        <f t="shared" si="722"/>
        <v>2.5547027668943993</v>
      </c>
      <c r="CO287" s="2">
        <f t="shared" si="722"/>
        <v>0</v>
      </c>
      <c r="CP287" s="2">
        <f t="shared" si="722"/>
        <v>6.1651127607818518E-2</v>
      </c>
      <c r="CQ287" s="2">
        <f t="shared" si="722"/>
        <v>0.54922275742273752</v>
      </c>
      <c r="CR287" s="2">
        <f t="shared" si="722"/>
        <v>0</v>
      </c>
    </row>
    <row r="288" spans="1:96">
      <c r="A288" s="50">
        <f t="shared" si="651"/>
        <v>288</v>
      </c>
      <c r="C288" s="36" t="s">
        <v>151</v>
      </c>
      <c r="D288" s="56" t="s">
        <v>352</v>
      </c>
      <c r="E288" s="23">
        <v>0</v>
      </c>
      <c r="F288" s="442" t="s">
        <v>444</v>
      </c>
      <c r="G288" s="60"/>
      <c r="H288" s="2">
        <f t="shared" si="707"/>
        <v>0</v>
      </c>
      <c r="I288" s="21">
        <f t="shared" si="708"/>
        <v>0</v>
      </c>
      <c r="J288" s="2">
        <f t="shared" si="708"/>
        <v>0</v>
      </c>
      <c r="K288" s="2">
        <f t="shared" si="708"/>
        <v>0</v>
      </c>
      <c r="L288" s="2">
        <f t="shared" si="708"/>
        <v>0</v>
      </c>
      <c r="M288" s="2">
        <f t="shared" si="708"/>
        <v>0</v>
      </c>
      <c r="N288" s="2">
        <f t="shared" si="708"/>
        <v>0</v>
      </c>
      <c r="O288" s="2"/>
      <c r="P288" s="61" t="str">
        <f>E$1&amp;$A288&amp;"*     """</f>
        <v>E288*     "</v>
      </c>
      <c r="Q288" s="61"/>
      <c r="R288" s="441">
        <v>1</v>
      </c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>
        <f t="shared" si="709"/>
        <v>-1.4146429571039994E-18</v>
      </c>
      <c r="AI288" s="76">
        <f t="shared" ref="AI288:AI319" si="723">IF(SUM(R288:AH288)&lt;&gt;0,(ROUND(SUM(R288:AH288),8)&lt;&gt;1)+0,0)</f>
        <v>0</v>
      </c>
      <c r="AK288" s="2">
        <f t="shared" si="710"/>
        <v>0</v>
      </c>
      <c r="AL288" s="2">
        <f t="shared" si="711"/>
        <v>0</v>
      </c>
      <c r="AM288" s="2">
        <f t="shared" si="711"/>
        <v>0</v>
      </c>
      <c r="AN288" s="2">
        <f t="shared" si="711"/>
        <v>0</v>
      </c>
      <c r="AO288" s="2">
        <f t="shared" si="711"/>
        <v>0</v>
      </c>
      <c r="AP288" s="2"/>
      <c r="AQ288" s="61" t="str">
        <f>E$1&amp;$A288&amp;"*      """</f>
        <v>E288*      "</v>
      </c>
      <c r="AS288" s="2">
        <f t="shared" si="712"/>
        <v>0</v>
      </c>
      <c r="AT288" s="2">
        <f t="shared" si="713"/>
        <v>0</v>
      </c>
      <c r="AU288" s="2">
        <f t="shared" si="713"/>
        <v>0</v>
      </c>
      <c r="AV288" s="2">
        <f t="shared" si="713"/>
        <v>0</v>
      </c>
      <c r="AW288" s="2">
        <f t="shared" si="713"/>
        <v>0</v>
      </c>
      <c r="AX288" s="2">
        <f t="shared" si="713"/>
        <v>0</v>
      </c>
      <c r="AY288" s="2">
        <f t="shared" si="713"/>
        <v>0</v>
      </c>
      <c r="BA288" s="2">
        <f t="shared" si="714"/>
        <v>0</v>
      </c>
      <c r="BB288" s="2">
        <f t="shared" si="715"/>
        <v>0</v>
      </c>
      <c r="BC288" s="2">
        <f t="shared" si="715"/>
        <v>0</v>
      </c>
      <c r="BD288" s="2">
        <f t="shared" si="715"/>
        <v>0</v>
      </c>
      <c r="BE288" s="2">
        <f t="shared" si="715"/>
        <v>0</v>
      </c>
      <c r="BF288" s="2">
        <f t="shared" si="715"/>
        <v>0</v>
      </c>
      <c r="BG288" s="2">
        <f t="shared" si="715"/>
        <v>0</v>
      </c>
      <c r="BI288" s="2">
        <f t="shared" si="716"/>
        <v>0</v>
      </c>
      <c r="BJ288" s="2">
        <f t="shared" si="717"/>
        <v>0</v>
      </c>
      <c r="BK288" s="2">
        <f t="shared" si="717"/>
        <v>0</v>
      </c>
      <c r="BL288" s="2">
        <f t="shared" si="717"/>
        <v>0</v>
      </c>
      <c r="BM288" s="2">
        <f t="shared" si="717"/>
        <v>0</v>
      </c>
      <c r="BN288" s="2">
        <f t="shared" si="717"/>
        <v>0</v>
      </c>
      <c r="BO288" s="2">
        <f t="shared" si="717"/>
        <v>0</v>
      </c>
      <c r="BQ288" s="28" t="s">
        <v>352</v>
      </c>
      <c r="BR288" s="23">
        <v>0</v>
      </c>
      <c r="BS288" s="14">
        <f t="shared" si="718"/>
        <v>1</v>
      </c>
      <c r="BT288" s="14">
        <f t="shared" si="718"/>
        <v>0</v>
      </c>
      <c r="BU288" s="14">
        <f t="shared" si="718"/>
        <v>0</v>
      </c>
      <c r="BV288" s="14">
        <f t="shared" si="719"/>
        <v>0</v>
      </c>
      <c r="BW288" s="14">
        <f t="shared" si="719"/>
        <v>0</v>
      </c>
      <c r="BX288" s="14">
        <f t="shared" si="719"/>
        <v>0</v>
      </c>
      <c r="BY288" s="14">
        <f t="shared" si="719"/>
        <v>0</v>
      </c>
      <c r="BZ288" s="14">
        <f t="shared" si="719"/>
        <v>0</v>
      </c>
      <c r="CA288" s="14">
        <f t="shared" si="719"/>
        <v>0</v>
      </c>
      <c r="CB288" s="14">
        <f t="shared" si="719"/>
        <v>0</v>
      </c>
      <c r="CC288" s="14">
        <f t="shared" si="719"/>
        <v>0</v>
      </c>
      <c r="CD288" s="14">
        <f t="shared" si="719"/>
        <v>0</v>
      </c>
      <c r="CE288" s="14">
        <f t="shared" si="719"/>
        <v>0</v>
      </c>
      <c r="CF288" s="14">
        <f>AE288</f>
        <v>0</v>
      </c>
      <c r="CG288" s="14">
        <f t="shared" si="720"/>
        <v>0</v>
      </c>
      <c r="CH288" s="14">
        <f t="shared" si="720"/>
        <v>0</v>
      </c>
      <c r="CI288" s="14">
        <f t="shared" si="720"/>
        <v>-1.4146429571039994E-18</v>
      </c>
      <c r="CJ288" s="14"/>
      <c r="CK288" s="112" t="str">
        <f t="shared" si="721"/>
        <v>Input - 100% Throughput</v>
      </c>
      <c r="CL288" s="76">
        <f t="shared" si="674"/>
        <v>0</v>
      </c>
      <c r="CM288" s="2">
        <f t="shared" si="722"/>
        <v>0</v>
      </c>
      <c r="CN288" s="2">
        <f t="shared" si="722"/>
        <v>0</v>
      </c>
      <c r="CO288" s="2">
        <f t="shared" si="722"/>
        <v>0</v>
      </c>
      <c r="CP288" s="2">
        <f t="shared" si="722"/>
        <v>0</v>
      </c>
      <c r="CQ288" s="2">
        <f t="shared" si="722"/>
        <v>0</v>
      </c>
      <c r="CR288" s="2">
        <f t="shared" si="722"/>
        <v>0</v>
      </c>
    </row>
    <row r="289" spans="1:96">
      <c r="A289" s="50">
        <f t="shared" si="651"/>
        <v>289</v>
      </c>
      <c r="C289" s="36" t="s">
        <v>151</v>
      </c>
      <c r="D289" s="28" t="s">
        <v>353</v>
      </c>
      <c r="E289" s="373">
        <f>PROFORMA!AY132</f>
        <v>1043000</v>
      </c>
      <c r="F289" s="60" t="str">
        <f>"as Plant in Service ("&amp;A$58&amp;")"</f>
        <v>as Plant in Service (58)</v>
      </c>
      <c r="G289" s="60"/>
      <c r="H289" s="2">
        <f t="shared" si="707"/>
        <v>1043000</v>
      </c>
      <c r="I289" s="21">
        <f t="shared" si="708"/>
        <v>798070.07026363711</v>
      </c>
      <c r="J289" s="2">
        <f t="shared" si="708"/>
        <v>191587.2797961756</v>
      </c>
      <c r="K289" s="2">
        <f t="shared" si="708"/>
        <v>0</v>
      </c>
      <c r="L289" s="2">
        <f t="shared" si="708"/>
        <v>4744.7454191662446</v>
      </c>
      <c r="M289" s="2">
        <f t="shared" si="708"/>
        <v>48597.904521021082</v>
      </c>
      <c r="N289" s="2">
        <f t="shared" si="708"/>
        <v>0</v>
      </c>
      <c r="O289" s="2"/>
      <c r="P289" s="61" t="str">
        <f>E$1&amp;$A289&amp;"*     """</f>
        <v>E289*     "</v>
      </c>
      <c r="Q289" s="61"/>
      <c r="R289" s="14">
        <f>R$58</f>
        <v>0.16904766890389558</v>
      </c>
      <c r="S289" s="14">
        <f t="shared" ref="S289:AH289" si="724">S$58</f>
        <v>2.676215166561764E-3</v>
      </c>
      <c r="T289" s="14">
        <f t="shared" si="724"/>
        <v>6.7778250216338808E-3</v>
      </c>
      <c r="U289" s="14">
        <f t="shared" si="724"/>
        <v>4.5359290529395975E-2</v>
      </c>
      <c r="V289" s="14">
        <f t="shared" si="724"/>
        <v>0</v>
      </c>
      <c r="W289" s="14">
        <f t="shared" si="724"/>
        <v>0.27058822771397795</v>
      </c>
      <c r="X289" s="14">
        <f t="shared" si="724"/>
        <v>0</v>
      </c>
      <c r="Y289" s="14">
        <f t="shared" si="724"/>
        <v>0</v>
      </c>
      <c r="Z289" s="14">
        <f t="shared" si="724"/>
        <v>0</v>
      </c>
      <c r="AA289" s="14">
        <f t="shared" si="724"/>
        <v>0</v>
      </c>
      <c r="AB289" s="14">
        <f t="shared" si="724"/>
        <v>7.2651262952682066E-2</v>
      </c>
      <c r="AC289" s="14">
        <f t="shared" si="724"/>
        <v>0.31137572086955634</v>
      </c>
      <c r="AD289" s="14">
        <f t="shared" si="724"/>
        <v>0.11759557901028445</v>
      </c>
      <c r="AE289" s="14">
        <f t="shared" si="724"/>
        <v>0</v>
      </c>
      <c r="AF289" s="14">
        <f t="shared" si="724"/>
        <v>3.9282098320119977E-3</v>
      </c>
      <c r="AG289" s="14">
        <f t="shared" si="724"/>
        <v>0</v>
      </c>
      <c r="AH289" s="14">
        <f t="shared" si="724"/>
        <v>-2.4244162456526846E-19</v>
      </c>
      <c r="AI289" s="76">
        <f t="shared" si="723"/>
        <v>0</v>
      </c>
      <c r="AK289" s="2">
        <f t="shared" si="710"/>
        <v>1043000</v>
      </c>
      <c r="AL289" s="2">
        <f t="shared" si="711"/>
        <v>233487.02260521115</v>
      </c>
      <c r="AM289" s="2">
        <f t="shared" si="711"/>
        <v>282223.521505679</v>
      </c>
      <c r="AN289" s="2">
        <f t="shared" si="711"/>
        <v>527289.45588910987</v>
      </c>
      <c r="AO289" s="2">
        <f t="shared" si="711"/>
        <v>-2.5286661442157502E-13</v>
      </c>
      <c r="AP289" s="2"/>
      <c r="AQ289" s="61" t="str">
        <f>E$1&amp;$A289&amp;"*      """</f>
        <v>E289*      "</v>
      </c>
      <c r="AS289" s="2">
        <f t="shared" si="712"/>
        <v>233487.02260521115</v>
      </c>
      <c r="AT289" s="2">
        <f t="shared" si="713"/>
        <v>141962.12228820915</v>
      </c>
      <c r="AU289" s="2">
        <f t="shared" si="713"/>
        <v>64450.689693484404</v>
      </c>
      <c r="AV289" s="2">
        <f t="shared" si="713"/>
        <v>0</v>
      </c>
      <c r="AW289" s="2">
        <f t="shared" si="713"/>
        <v>2434.842247104451</v>
      </c>
      <c r="AX289" s="2">
        <f t="shared" si="713"/>
        <v>24639.368376413153</v>
      </c>
      <c r="AY289" s="2">
        <f t="shared" si="713"/>
        <v>0</v>
      </c>
      <c r="BA289" s="2">
        <f t="shared" si="714"/>
        <v>282223.52150567895</v>
      </c>
      <c r="BB289" s="2">
        <f t="shared" si="715"/>
        <v>159555.48306807983</v>
      </c>
      <c r="BC289" s="2">
        <f t="shared" si="715"/>
        <v>98469.949564740804</v>
      </c>
      <c r="BD289" s="2">
        <f t="shared" si="715"/>
        <v>0</v>
      </c>
      <c r="BE289" s="2">
        <f t="shared" si="715"/>
        <v>2121.6999825618191</v>
      </c>
      <c r="BF289" s="2">
        <f t="shared" si="715"/>
        <v>22076.388890296497</v>
      </c>
      <c r="BG289" s="2">
        <f t="shared" si="715"/>
        <v>0</v>
      </c>
      <c r="BI289" s="2">
        <f t="shared" si="716"/>
        <v>527289.45588910999</v>
      </c>
      <c r="BJ289" s="2">
        <f t="shared" si="717"/>
        <v>496552.4649073481</v>
      </c>
      <c r="BK289" s="2">
        <f t="shared" si="717"/>
        <v>28666.640537950392</v>
      </c>
      <c r="BL289" s="2">
        <f t="shared" si="717"/>
        <v>0</v>
      </c>
      <c r="BM289" s="2">
        <f t="shared" si="717"/>
        <v>188.20318949997497</v>
      </c>
      <c r="BN289" s="2">
        <f t="shared" si="717"/>
        <v>1882.1472543114321</v>
      </c>
      <c r="BO289" s="2">
        <f t="shared" si="717"/>
        <v>0</v>
      </c>
      <c r="BQ289" s="28" t="s">
        <v>353</v>
      </c>
      <c r="BR289" s="23">
        <v>0</v>
      </c>
      <c r="BS289" s="14">
        <f>R$58</f>
        <v>0.16904766890389558</v>
      </c>
      <c r="BT289" s="14">
        <f>S$58</f>
        <v>2.676215166561764E-3</v>
      </c>
      <c r="BU289" s="14">
        <f>T$58</f>
        <v>6.7778250216338808E-3</v>
      </c>
      <c r="BV289" s="14">
        <f t="shared" ref="BV289:CI289" si="725">U$58</f>
        <v>4.5359290529395975E-2</v>
      </c>
      <c r="BW289" s="14">
        <f t="shared" si="725"/>
        <v>0</v>
      </c>
      <c r="BX289" s="14">
        <f t="shared" si="725"/>
        <v>0.27058822771397795</v>
      </c>
      <c r="BY289" s="14">
        <f t="shared" si="725"/>
        <v>0</v>
      </c>
      <c r="BZ289" s="14">
        <f t="shared" si="725"/>
        <v>0</v>
      </c>
      <c r="CA289" s="14">
        <f t="shared" si="725"/>
        <v>0</v>
      </c>
      <c r="CB289" s="14">
        <f t="shared" si="725"/>
        <v>0</v>
      </c>
      <c r="CC289" s="14">
        <f t="shared" si="725"/>
        <v>7.2651262952682066E-2</v>
      </c>
      <c r="CD289" s="14">
        <f t="shared" si="725"/>
        <v>0.31137572086955634</v>
      </c>
      <c r="CE289" s="14">
        <f t="shared" si="725"/>
        <v>0.11759557901028445</v>
      </c>
      <c r="CF289" s="14">
        <f t="shared" si="725"/>
        <v>0</v>
      </c>
      <c r="CG289" s="14">
        <f t="shared" si="725"/>
        <v>3.9282098320119977E-3</v>
      </c>
      <c r="CH289" s="14">
        <f t="shared" si="725"/>
        <v>0</v>
      </c>
      <c r="CI289" s="14">
        <f t="shared" si="725"/>
        <v>-2.4244162456526846E-19</v>
      </c>
      <c r="CJ289" s="14"/>
      <c r="CK289" s="112" t="str">
        <f t="shared" si="721"/>
        <v>as Plant in Service (58)</v>
      </c>
      <c r="CL289" s="76">
        <f t="shared" si="674"/>
        <v>0</v>
      </c>
      <c r="CM289" s="2">
        <f t="shared" si="722"/>
        <v>0</v>
      </c>
      <c r="CN289" s="2">
        <f t="shared" si="722"/>
        <v>0</v>
      </c>
      <c r="CO289" s="2">
        <f t="shared" si="722"/>
        <v>0</v>
      </c>
      <c r="CP289" s="2">
        <f t="shared" si="722"/>
        <v>0</v>
      </c>
      <c r="CQ289" s="2">
        <f t="shared" si="722"/>
        <v>0</v>
      </c>
      <c r="CR289" s="2">
        <f t="shared" si="722"/>
        <v>0</v>
      </c>
    </row>
    <row r="290" spans="1:96">
      <c r="A290" s="50">
        <f t="shared" si="651"/>
        <v>290</v>
      </c>
      <c r="C290" s="36" t="s">
        <v>156</v>
      </c>
      <c r="D290" s="28" t="s">
        <v>354</v>
      </c>
      <c r="E290" s="23">
        <v>0</v>
      </c>
      <c r="F290" s="60" t="s">
        <v>450</v>
      </c>
      <c r="G290" s="60"/>
      <c r="H290" s="2">
        <f t="shared" si="707"/>
        <v>0</v>
      </c>
      <c r="I290" s="21">
        <f t="shared" si="708"/>
        <v>0</v>
      </c>
      <c r="J290" s="2">
        <f t="shared" si="708"/>
        <v>0</v>
      </c>
      <c r="K290" s="2">
        <f t="shared" si="708"/>
        <v>0</v>
      </c>
      <c r="L290" s="2">
        <f t="shared" si="708"/>
        <v>0</v>
      </c>
      <c r="M290" s="2">
        <f t="shared" si="708"/>
        <v>0</v>
      </c>
      <c r="N290" s="2">
        <f t="shared" si="708"/>
        <v>0</v>
      </c>
      <c r="O290" s="2"/>
      <c r="P290" s="61" t="str">
        <f>E$1&amp;$A290&amp;"*     """</f>
        <v>E290*     "</v>
      </c>
      <c r="Q290" s="61"/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1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76">
        <f t="shared" si="723"/>
        <v>0</v>
      </c>
      <c r="AK290" s="2">
        <f t="shared" si="710"/>
        <v>0</v>
      </c>
      <c r="AL290" s="2">
        <f t="shared" si="711"/>
        <v>0</v>
      </c>
      <c r="AM290" s="2">
        <f t="shared" si="711"/>
        <v>0</v>
      </c>
      <c r="AN290" s="2">
        <f t="shared" si="711"/>
        <v>0</v>
      </c>
      <c r="AO290" s="2">
        <f t="shared" si="711"/>
        <v>0</v>
      </c>
      <c r="AP290" s="2"/>
      <c r="AQ290" s="61" t="str">
        <f>E$1&amp;$A290&amp;"*      """</f>
        <v>E290*      "</v>
      </c>
      <c r="AS290" s="2">
        <f t="shared" si="712"/>
        <v>0</v>
      </c>
      <c r="AT290" s="2">
        <f t="shared" si="713"/>
        <v>0</v>
      </c>
      <c r="AU290" s="2">
        <f t="shared" si="713"/>
        <v>0</v>
      </c>
      <c r="AV290" s="2">
        <f t="shared" si="713"/>
        <v>0</v>
      </c>
      <c r="AW290" s="2">
        <f t="shared" si="713"/>
        <v>0</v>
      </c>
      <c r="AX290" s="2">
        <f t="shared" si="713"/>
        <v>0</v>
      </c>
      <c r="AY290" s="2">
        <f t="shared" si="713"/>
        <v>0</v>
      </c>
      <c r="BA290" s="2">
        <f t="shared" si="714"/>
        <v>0</v>
      </c>
      <c r="BB290" s="2">
        <f t="shared" si="715"/>
        <v>0</v>
      </c>
      <c r="BC290" s="2">
        <f t="shared" si="715"/>
        <v>0</v>
      </c>
      <c r="BD290" s="2">
        <f t="shared" si="715"/>
        <v>0</v>
      </c>
      <c r="BE290" s="2">
        <f t="shared" si="715"/>
        <v>0</v>
      </c>
      <c r="BF290" s="2">
        <f t="shared" si="715"/>
        <v>0</v>
      </c>
      <c r="BG290" s="2">
        <f t="shared" si="715"/>
        <v>0</v>
      </c>
      <c r="BI290" s="2">
        <f t="shared" si="716"/>
        <v>0</v>
      </c>
      <c r="BJ290" s="2">
        <f t="shared" si="717"/>
        <v>0</v>
      </c>
      <c r="BK290" s="2">
        <f t="shared" si="717"/>
        <v>0</v>
      </c>
      <c r="BL290" s="2">
        <f t="shared" si="717"/>
        <v>0</v>
      </c>
      <c r="BM290" s="2">
        <f t="shared" si="717"/>
        <v>0</v>
      </c>
      <c r="BN290" s="2">
        <f t="shared" si="717"/>
        <v>0</v>
      </c>
      <c r="BO290" s="2">
        <f t="shared" si="717"/>
        <v>0</v>
      </c>
      <c r="BQ290" s="28" t="s">
        <v>354</v>
      </c>
      <c r="BR290" s="23">
        <v>0</v>
      </c>
      <c r="BS290" s="14">
        <f t="shared" ref="BS290:BU291" si="726">R290</f>
        <v>0</v>
      </c>
      <c r="BT290" s="14">
        <f t="shared" si="726"/>
        <v>0</v>
      </c>
      <c r="BU290" s="14">
        <f t="shared" si="726"/>
        <v>0</v>
      </c>
      <c r="BV290" s="14">
        <f t="shared" ref="BV290:CB291" si="727">U290</f>
        <v>0</v>
      </c>
      <c r="BW290" s="14">
        <f t="shared" si="727"/>
        <v>0</v>
      </c>
      <c r="BX290" s="14">
        <f t="shared" si="727"/>
        <v>0</v>
      </c>
      <c r="BY290" s="14">
        <f t="shared" si="727"/>
        <v>0</v>
      </c>
      <c r="BZ290" s="14">
        <f t="shared" si="727"/>
        <v>0</v>
      </c>
      <c r="CA290" s="14">
        <f t="shared" si="727"/>
        <v>0</v>
      </c>
      <c r="CB290" s="14">
        <f t="shared" si="727"/>
        <v>0</v>
      </c>
      <c r="CC290" s="14">
        <f t="shared" ref="CC290:CF291" si="728">AB290</f>
        <v>1</v>
      </c>
      <c r="CD290" s="14">
        <f t="shared" si="728"/>
        <v>0</v>
      </c>
      <c r="CE290" s="14">
        <f t="shared" si="728"/>
        <v>0</v>
      </c>
      <c r="CF290" s="14">
        <f t="shared" si="728"/>
        <v>0</v>
      </c>
      <c r="CG290" s="14">
        <f t="shared" ref="CG290:CI291" si="729">AF290</f>
        <v>0</v>
      </c>
      <c r="CH290" s="14">
        <f t="shared" si="729"/>
        <v>0</v>
      </c>
      <c r="CI290" s="14">
        <f t="shared" si="729"/>
        <v>0</v>
      </c>
      <c r="CJ290" s="14"/>
      <c r="CK290" s="112" t="str">
        <f t="shared" si="721"/>
        <v>Input - 100% Cust</v>
      </c>
      <c r="CL290" s="76">
        <f t="shared" si="674"/>
        <v>0</v>
      </c>
      <c r="CM290" s="2">
        <f t="shared" si="722"/>
        <v>0</v>
      </c>
      <c r="CN290" s="2">
        <f t="shared" si="722"/>
        <v>0</v>
      </c>
      <c r="CO290" s="2">
        <f t="shared" si="722"/>
        <v>0</v>
      </c>
      <c r="CP290" s="2">
        <f t="shared" si="722"/>
        <v>0</v>
      </c>
      <c r="CQ290" s="2">
        <f t="shared" si="722"/>
        <v>0</v>
      </c>
      <c r="CR290" s="2">
        <f t="shared" si="722"/>
        <v>0</v>
      </c>
    </row>
    <row r="291" spans="1:96">
      <c r="A291" s="50">
        <f t="shared" si="651"/>
        <v>291</v>
      </c>
      <c r="C291" s="36" t="s">
        <v>155</v>
      </c>
      <c r="D291" s="28" t="s">
        <v>350</v>
      </c>
      <c r="E291" s="23">
        <v>0</v>
      </c>
      <c r="F291" s="60" t="s">
        <v>451</v>
      </c>
      <c r="G291" s="60"/>
      <c r="H291" s="2">
        <f t="shared" si="707"/>
        <v>0</v>
      </c>
      <c r="I291" s="21">
        <f t="shared" si="708"/>
        <v>0</v>
      </c>
      <c r="J291" s="2">
        <f t="shared" si="708"/>
        <v>0</v>
      </c>
      <c r="K291" s="2">
        <f t="shared" si="708"/>
        <v>0</v>
      </c>
      <c r="L291" s="2">
        <f t="shared" si="708"/>
        <v>0</v>
      </c>
      <c r="M291" s="2">
        <f t="shared" si="708"/>
        <v>0</v>
      </c>
      <c r="N291" s="2">
        <f t="shared" si="708"/>
        <v>0</v>
      </c>
      <c r="O291" s="2"/>
      <c r="P291" s="61" t="str">
        <f>E$1&amp;$A291&amp;"*     """</f>
        <v>E291*     "</v>
      </c>
      <c r="Q291" s="61"/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1</v>
      </c>
      <c r="AI291" s="76">
        <f t="shared" si="723"/>
        <v>0</v>
      </c>
      <c r="AK291" s="2">
        <f t="shared" si="710"/>
        <v>0</v>
      </c>
      <c r="AL291" s="2">
        <f t="shared" si="711"/>
        <v>0</v>
      </c>
      <c r="AM291" s="2">
        <f t="shared" si="711"/>
        <v>0</v>
      </c>
      <c r="AN291" s="2">
        <f t="shared" si="711"/>
        <v>0</v>
      </c>
      <c r="AO291" s="2">
        <f t="shared" si="711"/>
        <v>0</v>
      </c>
      <c r="AP291" s="2"/>
      <c r="AQ291" s="61" t="str">
        <f>E$1&amp;$A291&amp;"*      """</f>
        <v>E291*      "</v>
      </c>
      <c r="AS291" s="2">
        <f t="shared" si="712"/>
        <v>0</v>
      </c>
      <c r="AT291" s="2">
        <f t="shared" si="713"/>
        <v>0</v>
      </c>
      <c r="AU291" s="2">
        <f t="shared" si="713"/>
        <v>0</v>
      </c>
      <c r="AV291" s="2">
        <f t="shared" si="713"/>
        <v>0</v>
      </c>
      <c r="AW291" s="2">
        <f t="shared" si="713"/>
        <v>0</v>
      </c>
      <c r="AX291" s="2">
        <f t="shared" si="713"/>
        <v>0</v>
      </c>
      <c r="AY291" s="2">
        <f t="shared" si="713"/>
        <v>0</v>
      </c>
      <c r="BA291" s="2">
        <f t="shared" si="714"/>
        <v>0</v>
      </c>
      <c r="BB291" s="2">
        <f t="shared" si="715"/>
        <v>0</v>
      </c>
      <c r="BC291" s="2">
        <f t="shared" si="715"/>
        <v>0</v>
      </c>
      <c r="BD291" s="2">
        <f t="shared" si="715"/>
        <v>0</v>
      </c>
      <c r="BE291" s="2">
        <f t="shared" si="715"/>
        <v>0</v>
      </c>
      <c r="BF291" s="2">
        <f t="shared" si="715"/>
        <v>0</v>
      </c>
      <c r="BG291" s="2">
        <f t="shared" si="715"/>
        <v>0</v>
      </c>
      <c r="BI291" s="2">
        <f t="shared" si="716"/>
        <v>0</v>
      </c>
      <c r="BJ291" s="2">
        <f t="shared" si="717"/>
        <v>0</v>
      </c>
      <c r="BK291" s="2">
        <f t="shared" si="717"/>
        <v>0</v>
      </c>
      <c r="BL291" s="2">
        <f t="shared" si="717"/>
        <v>0</v>
      </c>
      <c r="BM291" s="2">
        <f t="shared" si="717"/>
        <v>0</v>
      </c>
      <c r="BN291" s="2">
        <f t="shared" si="717"/>
        <v>0</v>
      </c>
      <c r="BO291" s="2">
        <f t="shared" si="717"/>
        <v>0</v>
      </c>
      <c r="BQ291" s="28" t="s">
        <v>350</v>
      </c>
      <c r="BR291" s="23">
        <v>0</v>
      </c>
      <c r="BS291" s="14">
        <f t="shared" si="726"/>
        <v>0</v>
      </c>
      <c r="BT291" s="14">
        <f t="shared" si="726"/>
        <v>0</v>
      </c>
      <c r="BU291" s="14">
        <f t="shared" si="726"/>
        <v>0</v>
      </c>
      <c r="BV291" s="14">
        <f t="shared" si="727"/>
        <v>0</v>
      </c>
      <c r="BW291" s="14">
        <f t="shared" si="727"/>
        <v>0</v>
      </c>
      <c r="BX291" s="14">
        <f t="shared" si="727"/>
        <v>0</v>
      </c>
      <c r="BY291" s="14">
        <f t="shared" si="727"/>
        <v>0</v>
      </c>
      <c r="BZ291" s="14">
        <f t="shared" si="727"/>
        <v>0</v>
      </c>
      <c r="CA291" s="14">
        <f t="shared" si="727"/>
        <v>0</v>
      </c>
      <c r="CB291" s="14">
        <f t="shared" si="727"/>
        <v>0</v>
      </c>
      <c r="CC291" s="14">
        <f t="shared" si="728"/>
        <v>0</v>
      </c>
      <c r="CD291" s="14">
        <f t="shared" si="728"/>
        <v>0</v>
      </c>
      <c r="CE291" s="14">
        <f t="shared" si="728"/>
        <v>0</v>
      </c>
      <c r="CF291" s="14">
        <f t="shared" si="728"/>
        <v>0</v>
      </c>
      <c r="CG291" s="14">
        <f t="shared" si="729"/>
        <v>0</v>
      </c>
      <c r="CH291" s="14">
        <f t="shared" si="729"/>
        <v>0</v>
      </c>
      <c r="CI291" s="14">
        <f t="shared" si="729"/>
        <v>1</v>
      </c>
      <c r="CJ291" s="14"/>
      <c r="CK291" s="112" t="str">
        <f t="shared" si="721"/>
        <v>Input - 100% Rev</v>
      </c>
      <c r="CL291" s="76">
        <f t="shared" si="674"/>
        <v>0</v>
      </c>
      <c r="CM291" s="2">
        <f t="shared" si="722"/>
        <v>0</v>
      </c>
      <c r="CN291" s="2">
        <f t="shared" si="722"/>
        <v>0</v>
      </c>
      <c r="CO291" s="2">
        <f t="shared" si="722"/>
        <v>0</v>
      </c>
      <c r="CP291" s="2">
        <f t="shared" si="722"/>
        <v>0</v>
      </c>
      <c r="CQ291" s="2">
        <f t="shared" si="722"/>
        <v>0</v>
      </c>
      <c r="CR291" s="2">
        <f t="shared" si="722"/>
        <v>0</v>
      </c>
    </row>
    <row r="292" spans="1:96">
      <c r="A292" s="50">
        <f t="shared" si="651"/>
        <v>292</v>
      </c>
      <c r="C292" s="36" t="s">
        <v>151</v>
      </c>
      <c r="D292" s="28" t="s">
        <v>355</v>
      </c>
      <c r="E292" s="23">
        <v>0</v>
      </c>
      <c r="F292" s="60" t="str">
        <f>"as Labor O&amp;M Exp. ("&amp;BS$1&amp;A$344&amp;")"</f>
        <v>as Labor O&amp;M Exp. (BS344)</v>
      </c>
      <c r="G292" s="60"/>
      <c r="H292" s="2">
        <f t="shared" si="707"/>
        <v>0</v>
      </c>
      <c r="I292" s="21">
        <f t="shared" ref="I292:N292" si="730">$E292*CM$344/$BR$344</f>
        <v>0</v>
      </c>
      <c r="J292" s="21">
        <f t="shared" si="730"/>
        <v>0</v>
      </c>
      <c r="K292" s="21">
        <f t="shared" si="730"/>
        <v>0</v>
      </c>
      <c r="L292" s="21">
        <f t="shared" si="730"/>
        <v>0</v>
      </c>
      <c r="M292" s="21">
        <f t="shared" si="730"/>
        <v>0</v>
      </c>
      <c r="N292" s="21">
        <f t="shared" si="730"/>
        <v>0</v>
      </c>
      <c r="O292" s="2"/>
      <c r="P292" s="61" t="str">
        <f>E$1&amp;$A292&amp;"* "&amp;CM$1&amp;A$344&amp;" / "&amp;BR$1&amp;A$344</f>
        <v>E292* CM344 / BR344</v>
      </c>
      <c r="Q292" s="61"/>
      <c r="R292" s="14">
        <f>BS$344</f>
        <v>0.10913184265939331</v>
      </c>
      <c r="S292" s="14">
        <f>BT$344</f>
        <v>3.3021876247189427E-2</v>
      </c>
      <c r="T292" s="14">
        <f t="shared" ref="T292:AH292" si="731">BU$344</f>
        <v>2.9366713079939091E-3</v>
      </c>
      <c r="U292" s="14">
        <f t="shared" si="731"/>
        <v>1.9653107984266921E-2</v>
      </c>
      <c r="V292" s="14">
        <f t="shared" si="731"/>
        <v>0</v>
      </c>
      <c r="W292" s="14">
        <f t="shared" si="731"/>
        <v>0.16142462055819431</v>
      </c>
      <c r="X292" s="14">
        <f t="shared" si="731"/>
        <v>0</v>
      </c>
      <c r="Y292" s="14">
        <f t="shared" si="731"/>
        <v>0</v>
      </c>
      <c r="Z292" s="14">
        <f t="shared" si="731"/>
        <v>0</v>
      </c>
      <c r="AA292" s="14">
        <f t="shared" si="731"/>
        <v>0</v>
      </c>
      <c r="AB292" s="14">
        <f t="shared" si="731"/>
        <v>0.37507244202834572</v>
      </c>
      <c r="AC292" s="14">
        <f t="shared" si="731"/>
        <v>0.18309838925091035</v>
      </c>
      <c r="AD292" s="14">
        <f t="shared" si="731"/>
        <v>0.11390268710509913</v>
      </c>
      <c r="AE292" s="14">
        <f t="shared" si="731"/>
        <v>0</v>
      </c>
      <c r="AF292" s="14">
        <f t="shared" si="731"/>
        <v>1.7583628586068862E-3</v>
      </c>
      <c r="AG292" s="14">
        <f t="shared" si="731"/>
        <v>0</v>
      </c>
      <c r="AH292" s="14">
        <f t="shared" si="731"/>
        <v>-4.5942138576433119E-19</v>
      </c>
      <c r="AI292" s="76">
        <f t="shared" si="723"/>
        <v>0</v>
      </c>
      <c r="AK292" s="2">
        <f t="shared" si="710"/>
        <v>0</v>
      </c>
      <c r="AL292" s="2">
        <f t="shared" si="711"/>
        <v>0</v>
      </c>
      <c r="AM292" s="2">
        <f t="shared" si="711"/>
        <v>0</v>
      </c>
      <c r="AN292" s="2">
        <f t="shared" si="711"/>
        <v>0</v>
      </c>
      <c r="AO292" s="2">
        <f t="shared" si="711"/>
        <v>0</v>
      </c>
      <c r="AP292" s="2"/>
      <c r="AQ292" s="61" t="str">
        <f>E$1&amp;$A292&amp;"*      """</f>
        <v>E292*      "</v>
      </c>
      <c r="AS292" s="2">
        <f t="shared" si="712"/>
        <v>0</v>
      </c>
      <c r="AT292" s="2">
        <f t="shared" si="713"/>
        <v>0</v>
      </c>
      <c r="AU292" s="2">
        <f t="shared" si="713"/>
        <v>0</v>
      </c>
      <c r="AV292" s="2">
        <f t="shared" si="713"/>
        <v>0</v>
      </c>
      <c r="AW292" s="2">
        <f t="shared" si="713"/>
        <v>0</v>
      </c>
      <c r="AX292" s="2">
        <f t="shared" si="713"/>
        <v>0</v>
      </c>
      <c r="AY292" s="2">
        <f t="shared" si="713"/>
        <v>0</v>
      </c>
      <c r="BA292" s="2">
        <f t="shared" si="714"/>
        <v>0</v>
      </c>
      <c r="BB292" s="2">
        <f t="shared" si="715"/>
        <v>0</v>
      </c>
      <c r="BC292" s="2">
        <f t="shared" si="715"/>
        <v>0</v>
      </c>
      <c r="BD292" s="2">
        <f t="shared" si="715"/>
        <v>0</v>
      </c>
      <c r="BE292" s="2">
        <f t="shared" si="715"/>
        <v>0</v>
      </c>
      <c r="BF292" s="2">
        <f t="shared" si="715"/>
        <v>0</v>
      </c>
      <c r="BG292" s="2">
        <f t="shared" si="715"/>
        <v>0</v>
      </c>
      <c r="BI292" s="2">
        <f t="shared" si="716"/>
        <v>0</v>
      </c>
      <c r="BJ292" s="2">
        <f t="shared" si="717"/>
        <v>0</v>
      </c>
      <c r="BK292" s="2">
        <f t="shared" si="717"/>
        <v>0</v>
      </c>
      <c r="BL292" s="2">
        <f t="shared" si="717"/>
        <v>0</v>
      </c>
      <c r="BM292" s="2">
        <f t="shared" si="717"/>
        <v>0</v>
      </c>
      <c r="BN292" s="2">
        <f t="shared" si="717"/>
        <v>0</v>
      </c>
      <c r="BO292" s="2">
        <f t="shared" si="717"/>
        <v>0</v>
      </c>
      <c r="BQ292" s="28" t="s">
        <v>355</v>
      </c>
      <c r="BR292" s="23">
        <v>0</v>
      </c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112" t="str">
        <f t="shared" si="721"/>
        <v>as Labor O&amp;M Exp. (BS344)</v>
      </c>
      <c r="CL292" s="76">
        <f t="shared" si="674"/>
        <v>0</v>
      </c>
      <c r="CM292" s="2"/>
      <c r="CN292" s="2"/>
      <c r="CO292" s="2"/>
      <c r="CP292" s="2"/>
      <c r="CQ292" s="2"/>
      <c r="CR292" s="2"/>
    </row>
    <row r="293" spans="1:96">
      <c r="A293" s="50">
        <f t="shared" si="651"/>
        <v>293</v>
      </c>
      <c r="B293" t="s">
        <v>51</v>
      </c>
      <c r="D293" t="s">
        <v>52</v>
      </c>
      <c r="E293" s="2"/>
      <c r="F293" s="60"/>
      <c r="G293" s="60"/>
      <c r="I293" s="49"/>
      <c r="P293" s="61"/>
      <c r="Q293" s="61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76">
        <f t="shared" si="723"/>
        <v>0</v>
      </c>
      <c r="AQ293" s="61"/>
      <c r="BQ293" t="s">
        <v>52</v>
      </c>
      <c r="CK293" s="112"/>
      <c r="CL293" s="76">
        <f t="shared" si="674"/>
        <v>0</v>
      </c>
      <c r="CM293" s="49"/>
    </row>
    <row r="294" spans="1:96">
      <c r="A294" s="50">
        <f t="shared" si="651"/>
        <v>294</v>
      </c>
      <c r="C294" s="36" t="s">
        <v>151</v>
      </c>
      <c r="D294" s="56" t="s">
        <v>147</v>
      </c>
      <c r="E294" s="373">
        <f>PROFORMA!AY133</f>
        <v>1266000</v>
      </c>
      <c r="F294" s="61" t="s">
        <v>996</v>
      </c>
      <c r="G294" s="60"/>
      <c r="H294" s="2">
        <f t="shared" ref="H294:H299" si="732">SUM(I294:N294)</f>
        <v>1266000.0000000002</v>
      </c>
      <c r="I294" s="21">
        <f t="shared" ref="I294:N298" si="733">$E294*SUMPRODUCT($R294:$AH294,INDEX(AllocFactors,I$4,0))</f>
        <v>1065618.9979331503</v>
      </c>
      <c r="J294" s="2">
        <f t="shared" si="733"/>
        <v>161712.68514441547</v>
      </c>
      <c r="K294" s="2">
        <f t="shared" si="733"/>
        <v>0</v>
      </c>
      <c r="L294" s="2">
        <f t="shared" si="733"/>
        <v>3902.5163775749124</v>
      </c>
      <c r="M294" s="2">
        <f t="shared" si="733"/>
        <v>34765.800544859288</v>
      </c>
      <c r="N294" s="2">
        <f t="shared" si="733"/>
        <v>0</v>
      </c>
      <c r="O294" s="2"/>
      <c r="P294" s="61" t="s">
        <v>997</v>
      </c>
      <c r="Q294" s="61"/>
      <c r="R294" s="14">
        <f>R$259</f>
        <v>9.9370957155623774E-2</v>
      </c>
      <c r="S294" s="14">
        <f t="shared" ref="S294:AG294" si="734">S$259</f>
        <v>1.5218388550417537E-2</v>
      </c>
      <c r="T294" s="14">
        <f t="shared" si="734"/>
        <v>8.699877677308605E-3</v>
      </c>
      <c r="U294" s="14">
        <f t="shared" si="734"/>
        <v>5.822225830198835E-2</v>
      </c>
      <c r="V294" s="14">
        <f t="shared" si="734"/>
        <v>0</v>
      </c>
      <c r="W294" s="14">
        <f t="shared" si="734"/>
        <v>0.15327818313927072</v>
      </c>
      <c r="X294" s="14">
        <f t="shared" si="734"/>
        <v>0</v>
      </c>
      <c r="Y294" s="14">
        <f t="shared" si="734"/>
        <v>0</v>
      </c>
      <c r="Z294" s="14">
        <f t="shared" si="734"/>
        <v>0</v>
      </c>
      <c r="AA294" s="14">
        <f t="shared" si="734"/>
        <v>0</v>
      </c>
      <c r="AB294" s="14">
        <f t="shared" si="734"/>
        <v>0.41313387731559803</v>
      </c>
      <c r="AC294" s="14">
        <f t="shared" si="734"/>
        <v>0.17108548237195526</v>
      </c>
      <c r="AD294" s="14">
        <f t="shared" si="734"/>
        <v>7.9473703927617212E-2</v>
      </c>
      <c r="AE294" s="14">
        <f t="shared" si="734"/>
        <v>0</v>
      </c>
      <c r="AF294" s="14">
        <f t="shared" si="734"/>
        <v>1.5172715602204624E-3</v>
      </c>
      <c r="AG294" s="14">
        <f t="shared" si="734"/>
        <v>0</v>
      </c>
      <c r="AH294" s="14"/>
      <c r="AI294" s="76">
        <f t="shared" si="723"/>
        <v>0</v>
      </c>
      <c r="AK294" s="2">
        <f t="shared" ref="AK294:AK299" si="735">SUM(AL294:AO294)</f>
        <v>1266000</v>
      </c>
      <c r="AL294" s="2">
        <f t="shared" ref="AL294:AO299" si="736">SUMIF($R$4:$AH$4,AL$5,$R294:$AH294)*$E294</f>
        <v>229793.53581363824</v>
      </c>
      <c r="AM294" s="2">
        <f t="shared" si="736"/>
        <v>194050.17985431672</v>
      </c>
      <c r="AN294" s="2">
        <f t="shared" si="736"/>
        <v>842156.284332045</v>
      </c>
      <c r="AO294" s="2">
        <f t="shared" si="736"/>
        <v>0</v>
      </c>
      <c r="AP294" s="2"/>
      <c r="AQ294" s="61" t="str">
        <f>E$1&amp;$A294&amp;"*["&amp;R$1&amp;$A294&amp;":"&amp;$AH$1&amp;$A294&amp;" when "&amp;R$1&amp;$A$4&amp;":"&amp;$AH$1&amp;$A$4&amp;" = E,D,C,or R]"</f>
        <v>E294*[R294:AH294 when R4:AH4 = E,D,C,or R]</v>
      </c>
      <c r="AS294" s="2">
        <f t="shared" ref="AS294:AS299" si="737">SUM(AT294:AY294)</f>
        <v>229793.53581363827</v>
      </c>
      <c r="AT294" s="2">
        <f t="shared" ref="AT294:AY299" si="738">$E294*SUMPRODUCT($R294:$V294,INDEX(AllocFactors_E,AT$4,0))</f>
        <v>145561.67239571779</v>
      </c>
      <c r="AU294" s="2">
        <f t="shared" si="738"/>
        <v>63777.336807378109</v>
      </c>
      <c r="AV294" s="2">
        <f t="shared" si="738"/>
        <v>0</v>
      </c>
      <c r="AW294" s="2">
        <f t="shared" si="738"/>
        <v>2297.4317809929207</v>
      </c>
      <c r="AX294" s="2">
        <f t="shared" si="738"/>
        <v>18157.094829549464</v>
      </c>
      <c r="AY294" s="2">
        <f t="shared" si="738"/>
        <v>0</v>
      </c>
      <c r="BA294" s="2">
        <f t="shared" ref="BA294:BA299" si="739">SUM(BB294:BG294)</f>
        <v>194050.1798543167</v>
      </c>
      <c r="BB294" s="2">
        <f t="shared" ref="BB294:BG299" si="740">$E294*SUMPRODUCT($W294:$AA294,INDEX(AllocFactors_D,BB$4,0))</f>
        <v>109706.55465186044</v>
      </c>
      <c r="BC294" s="2">
        <f t="shared" si="740"/>
        <v>67705.594917604874</v>
      </c>
      <c r="BD294" s="2">
        <f t="shared" si="740"/>
        <v>0</v>
      </c>
      <c r="BE294" s="2">
        <f t="shared" si="740"/>
        <v>1458.8304370113849</v>
      </c>
      <c r="BF294" s="2">
        <f t="shared" si="740"/>
        <v>15179.199847840011</v>
      </c>
      <c r="BG294" s="2">
        <f t="shared" si="740"/>
        <v>0</v>
      </c>
      <c r="BI294" s="2">
        <f t="shared" ref="BI294:BI299" si="741">SUM(BJ294:BO294)</f>
        <v>842156.284332045</v>
      </c>
      <c r="BJ294" s="2">
        <f t="shared" ref="BJ294:BO299" si="742">$E294*SUMPRODUCT($AB294:$AG294,INDEX(AllocFactors_C,BJ$4,0))</f>
        <v>810350.77088557207</v>
      </c>
      <c r="BK294" s="2">
        <f t="shared" si="742"/>
        <v>30229.753419432513</v>
      </c>
      <c r="BL294" s="2">
        <f t="shared" si="742"/>
        <v>0</v>
      </c>
      <c r="BM294" s="2">
        <f t="shared" si="742"/>
        <v>146.2541595706063</v>
      </c>
      <c r="BN294" s="2">
        <f t="shared" si="742"/>
        <v>1429.5058674698184</v>
      </c>
      <c r="BO294" s="2">
        <f t="shared" si="742"/>
        <v>0</v>
      </c>
      <c r="BQ294" s="28" t="s">
        <v>351</v>
      </c>
      <c r="BR294" s="23">
        <v>72295</v>
      </c>
      <c r="BS294" s="14">
        <f t="shared" ref="BS294:BU295" si="743">R294</f>
        <v>9.9370957155623774E-2</v>
      </c>
      <c r="BT294" s="14">
        <f t="shared" si="743"/>
        <v>1.5218388550417537E-2</v>
      </c>
      <c r="BU294" s="14">
        <f t="shared" si="743"/>
        <v>8.699877677308605E-3</v>
      </c>
      <c r="BV294" s="14">
        <f t="shared" ref="BV294:CB295" si="744">U294</f>
        <v>5.822225830198835E-2</v>
      </c>
      <c r="BW294" s="14">
        <f t="shared" si="744"/>
        <v>0</v>
      </c>
      <c r="BX294" s="14">
        <f t="shared" si="744"/>
        <v>0.15327818313927072</v>
      </c>
      <c r="BY294" s="14">
        <f t="shared" si="744"/>
        <v>0</v>
      </c>
      <c r="BZ294" s="14">
        <f t="shared" si="744"/>
        <v>0</v>
      </c>
      <c r="CA294" s="14">
        <f t="shared" si="744"/>
        <v>0</v>
      </c>
      <c r="CB294" s="14">
        <f t="shared" si="744"/>
        <v>0</v>
      </c>
      <c r="CC294" s="14">
        <f t="shared" ref="CC294:CI295" si="745">AB294</f>
        <v>0.41313387731559803</v>
      </c>
      <c r="CD294" s="14">
        <f t="shared" si="745"/>
        <v>0.17108548237195526</v>
      </c>
      <c r="CE294" s="14">
        <f t="shared" si="745"/>
        <v>7.9473703927617212E-2</v>
      </c>
      <c r="CF294" s="14">
        <f t="shared" si="745"/>
        <v>0</v>
      </c>
      <c r="CG294" s="14">
        <f t="shared" si="745"/>
        <v>1.5172715602204624E-3</v>
      </c>
      <c r="CH294" s="14">
        <f t="shared" si="745"/>
        <v>0</v>
      </c>
      <c r="CI294" s="14">
        <f t="shared" si="745"/>
        <v>0</v>
      </c>
      <c r="CJ294" s="14"/>
      <c r="CK294" s="112" t="str">
        <f t="shared" ref="CK294:CK299" si="746">F294</f>
        <v>4-Factor</v>
      </c>
      <c r="CL294" s="76">
        <f t="shared" si="674"/>
        <v>0</v>
      </c>
      <c r="CM294" s="2">
        <f t="shared" ref="CM294:CR298" si="747">$BR294*SUMPRODUCT($BS294:$CI294,INDEX(AllocFactors,CM$172,0))</f>
        <v>60852.231797454268</v>
      </c>
      <c r="CN294" s="2">
        <f t="shared" si="747"/>
        <v>9234.6118266315298</v>
      </c>
      <c r="CO294" s="2">
        <f t="shared" si="747"/>
        <v>0</v>
      </c>
      <c r="CP294" s="2">
        <f t="shared" si="747"/>
        <v>222.85341352036198</v>
      </c>
      <c r="CQ294" s="2">
        <f t="shared" si="747"/>
        <v>1985.3029623938405</v>
      </c>
      <c r="CR294" s="2">
        <f t="shared" si="747"/>
        <v>0</v>
      </c>
    </row>
    <row r="295" spans="1:96">
      <c r="A295" s="50">
        <f t="shared" si="651"/>
        <v>295</v>
      </c>
      <c r="C295" s="36" t="s">
        <v>151</v>
      </c>
      <c r="D295" s="56" t="s">
        <v>352</v>
      </c>
      <c r="E295" s="135">
        <v>0</v>
      </c>
      <c r="F295" s="442" t="s">
        <v>444</v>
      </c>
      <c r="G295" s="60"/>
      <c r="H295" s="2">
        <f t="shared" si="732"/>
        <v>0</v>
      </c>
      <c r="I295" s="21">
        <f t="shared" si="733"/>
        <v>0</v>
      </c>
      <c r="J295" s="2">
        <f t="shared" si="733"/>
        <v>0</v>
      </c>
      <c r="K295" s="2">
        <f t="shared" si="733"/>
        <v>0</v>
      </c>
      <c r="L295" s="2">
        <f t="shared" si="733"/>
        <v>0</v>
      </c>
      <c r="M295" s="2">
        <f t="shared" si="733"/>
        <v>0</v>
      </c>
      <c r="N295" s="2">
        <f t="shared" si="733"/>
        <v>0</v>
      </c>
      <c r="O295" s="2"/>
      <c r="P295" s="61" t="str">
        <f>E$1&amp;$A295&amp;"*     """</f>
        <v>E295*     "</v>
      </c>
      <c r="Q295" s="61"/>
      <c r="R295" s="441">
        <v>1</v>
      </c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2"/>
      <c r="AI295" s="76">
        <f t="shared" si="723"/>
        <v>0</v>
      </c>
      <c r="AK295" s="2">
        <f t="shared" si="735"/>
        <v>0</v>
      </c>
      <c r="AL295" s="2">
        <f t="shared" si="736"/>
        <v>0</v>
      </c>
      <c r="AM295" s="2">
        <f t="shared" si="736"/>
        <v>0</v>
      </c>
      <c r="AN295" s="2">
        <f t="shared" si="736"/>
        <v>0</v>
      </c>
      <c r="AO295" s="2">
        <f t="shared" si="736"/>
        <v>0</v>
      </c>
      <c r="AP295" s="2"/>
      <c r="AQ295" s="61" t="str">
        <f>E$1&amp;$A295&amp;"*      """</f>
        <v>E295*      "</v>
      </c>
      <c r="AS295" s="2">
        <f t="shared" si="737"/>
        <v>0</v>
      </c>
      <c r="AT295" s="2">
        <f t="shared" si="738"/>
        <v>0</v>
      </c>
      <c r="AU295" s="2">
        <f t="shared" si="738"/>
        <v>0</v>
      </c>
      <c r="AV295" s="2">
        <f t="shared" si="738"/>
        <v>0</v>
      </c>
      <c r="AW295" s="2">
        <f t="shared" si="738"/>
        <v>0</v>
      </c>
      <c r="AX295" s="2">
        <f t="shared" si="738"/>
        <v>0</v>
      </c>
      <c r="AY295" s="2">
        <f t="shared" si="738"/>
        <v>0</v>
      </c>
      <c r="BA295" s="2">
        <f t="shared" si="739"/>
        <v>0</v>
      </c>
      <c r="BB295" s="2">
        <f t="shared" si="740"/>
        <v>0</v>
      </c>
      <c r="BC295" s="2">
        <f t="shared" si="740"/>
        <v>0</v>
      </c>
      <c r="BD295" s="2">
        <f t="shared" si="740"/>
        <v>0</v>
      </c>
      <c r="BE295" s="2">
        <f t="shared" si="740"/>
        <v>0</v>
      </c>
      <c r="BF295" s="2">
        <f t="shared" si="740"/>
        <v>0</v>
      </c>
      <c r="BG295" s="2">
        <f t="shared" si="740"/>
        <v>0</v>
      </c>
      <c r="BI295" s="2">
        <f t="shared" si="741"/>
        <v>0</v>
      </c>
      <c r="BJ295" s="2">
        <f t="shared" si="742"/>
        <v>0</v>
      </c>
      <c r="BK295" s="2">
        <f t="shared" si="742"/>
        <v>0</v>
      </c>
      <c r="BL295" s="2">
        <f t="shared" si="742"/>
        <v>0</v>
      </c>
      <c r="BM295" s="2">
        <f t="shared" si="742"/>
        <v>0</v>
      </c>
      <c r="BN295" s="2">
        <f t="shared" si="742"/>
        <v>0</v>
      </c>
      <c r="BO295" s="2">
        <f t="shared" si="742"/>
        <v>0</v>
      </c>
      <c r="BQ295" s="28" t="s">
        <v>352</v>
      </c>
      <c r="BR295" s="23">
        <v>0</v>
      </c>
      <c r="BS295" s="14">
        <f t="shared" si="743"/>
        <v>1</v>
      </c>
      <c r="BT295" s="14">
        <f t="shared" si="743"/>
        <v>0</v>
      </c>
      <c r="BU295" s="14">
        <f t="shared" si="743"/>
        <v>0</v>
      </c>
      <c r="BV295" s="14">
        <f t="shared" si="744"/>
        <v>0</v>
      </c>
      <c r="BW295" s="14">
        <f t="shared" si="744"/>
        <v>0</v>
      </c>
      <c r="BX295" s="14">
        <f t="shared" si="744"/>
        <v>0</v>
      </c>
      <c r="BY295" s="14">
        <f t="shared" si="744"/>
        <v>0</v>
      </c>
      <c r="BZ295" s="14">
        <f t="shared" si="744"/>
        <v>0</v>
      </c>
      <c r="CA295" s="14">
        <f t="shared" si="744"/>
        <v>0</v>
      </c>
      <c r="CB295" s="14">
        <f t="shared" si="744"/>
        <v>0</v>
      </c>
      <c r="CC295" s="14">
        <f t="shared" si="745"/>
        <v>0</v>
      </c>
      <c r="CD295" s="14">
        <f t="shared" si="745"/>
        <v>0</v>
      </c>
      <c r="CE295" s="14">
        <f t="shared" si="745"/>
        <v>0</v>
      </c>
      <c r="CF295" s="14">
        <f t="shared" si="745"/>
        <v>0</v>
      </c>
      <c r="CG295" s="14">
        <f t="shared" si="745"/>
        <v>0</v>
      </c>
      <c r="CH295" s="14">
        <f t="shared" si="745"/>
        <v>0</v>
      </c>
      <c r="CI295" s="14">
        <f t="shared" si="745"/>
        <v>0</v>
      </c>
      <c r="CJ295" s="14"/>
      <c r="CK295" s="112" t="str">
        <f t="shared" si="746"/>
        <v>Input - 100% Throughput</v>
      </c>
      <c r="CL295" s="76">
        <f t="shared" si="674"/>
        <v>0</v>
      </c>
      <c r="CM295" s="2">
        <f t="shared" si="747"/>
        <v>0</v>
      </c>
      <c r="CN295" s="2">
        <f t="shared" si="747"/>
        <v>0</v>
      </c>
      <c r="CO295" s="2">
        <f t="shared" si="747"/>
        <v>0</v>
      </c>
      <c r="CP295" s="2">
        <f t="shared" si="747"/>
        <v>0</v>
      </c>
      <c r="CQ295" s="2">
        <f t="shared" si="747"/>
        <v>0</v>
      </c>
      <c r="CR295" s="2">
        <f t="shared" si="747"/>
        <v>0</v>
      </c>
    </row>
    <row r="296" spans="1:96">
      <c r="A296" s="50">
        <f t="shared" si="651"/>
        <v>296</v>
      </c>
      <c r="C296" s="36" t="s">
        <v>151</v>
      </c>
      <c r="D296" s="28" t="s">
        <v>353</v>
      </c>
      <c r="E296" s="23">
        <v>0</v>
      </c>
      <c r="F296" s="60" t="str">
        <f>"as Plant in Service ("&amp;A$58&amp;")"</f>
        <v>as Plant in Service (58)</v>
      </c>
      <c r="G296" s="60"/>
      <c r="H296" s="2">
        <f t="shared" si="732"/>
        <v>0</v>
      </c>
      <c r="I296" s="21">
        <f t="shared" si="733"/>
        <v>0</v>
      </c>
      <c r="J296" s="2">
        <f t="shared" si="733"/>
        <v>0</v>
      </c>
      <c r="K296" s="2">
        <f t="shared" si="733"/>
        <v>0</v>
      </c>
      <c r="L296" s="2">
        <f t="shared" si="733"/>
        <v>0</v>
      </c>
      <c r="M296" s="2">
        <f t="shared" si="733"/>
        <v>0</v>
      </c>
      <c r="N296" s="2">
        <f t="shared" si="733"/>
        <v>0</v>
      </c>
      <c r="O296" s="2"/>
      <c r="P296" s="61" t="str">
        <f>E$1&amp;$A296&amp;"*     """</f>
        <v>E296*     "</v>
      </c>
      <c r="Q296" s="61"/>
      <c r="R296" s="14">
        <f>R$58</f>
        <v>0.16904766890389558</v>
      </c>
      <c r="S296" s="14">
        <f t="shared" ref="S296:AH296" si="748">S$58</f>
        <v>2.676215166561764E-3</v>
      </c>
      <c r="T296" s="14">
        <f t="shared" si="748"/>
        <v>6.7778250216338808E-3</v>
      </c>
      <c r="U296" s="14">
        <f t="shared" si="748"/>
        <v>4.5359290529395975E-2</v>
      </c>
      <c r="V296" s="14">
        <f t="shared" si="748"/>
        <v>0</v>
      </c>
      <c r="W296" s="14">
        <f t="shared" si="748"/>
        <v>0.27058822771397795</v>
      </c>
      <c r="X296" s="14">
        <f t="shared" si="748"/>
        <v>0</v>
      </c>
      <c r="Y296" s="14">
        <f t="shared" si="748"/>
        <v>0</v>
      </c>
      <c r="Z296" s="14">
        <f t="shared" si="748"/>
        <v>0</v>
      </c>
      <c r="AA296" s="14">
        <f t="shared" si="748"/>
        <v>0</v>
      </c>
      <c r="AB296" s="14">
        <f t="shared" si="748"/>
        <v>7.2651262952682066E-2</v>
      </c>
      <c r="AC296" s="14">
        <f t="shared" si="748"/>
        <v>0.31137572086955634</v>
      </c>
      <c r="AD296" s="14">
        <f t="shared" si="748"/>
        <v>0.11759557901028445</v>
      </c>
      <c r="AE296" s="14">
        <f t="shared" si="748"/>
        <v>0</v>
      </c>
      <c r="AF296" s="14">
        <f t="shared" si="748"/>
        <v>3.9282098320119977E-3</v>
      </c>
      <c r="AG296" s="14">
        <f t="shared" si="748"/>
        <v>0</v>
      </c>
      <c r="AH296" s="14">
        <f t="shared" si="748"/>
        <v>-2.4244162456526846E-19</v>
      </c>
      <c r="AI296" s="76">
        <f t="shared" si="723"/>
        <v>0</v>
      </c>
      <c r="AK296" s="2">
        <f t="shared" si="735"/>
        <v>0</v>
      </c>
      <c r="AL296" s="2">
        <f t="shared" si="736"/>
        <v>0</v>
      </c>
      <c r="AM296" s="2">
        <f t="shared" si="736"/>
        <v>0</v>
      </c>
      <c r="AN296" s="2">
        <f t="shared" si="736"/>
        <v>0</v>
      </c>
      <c r="AO296" s="2">
        <f t="shared" si="736"/>
        <v>0</v>
      </c>
      <c r="AP296" s="2"/>
      <c r="AQ296" s="61" t="str">
        <f>E$1&amp;$A296&amp;"*      """</f>
        <v>E296*      "</v>
      </c>
      <c r="AS296" s="2">
        <f t="shared" si="737"/>
        <v>0</v>
      </c>
      <c r="AT296" s="2">
        <f t="shared" si="738"/>
        <v>0</v>
      </c>
      <c r="AU296" s="2">
        <f t="shared" si="738"/>
        <v>0</v>
      </c>
      <c r="AV296" s="2">
        <f t="shared" si="738"/>
        <v>0</v>
      </c>
      <c r="AW296" s="2">
        <f t="shared" si="738"/>
        <v>0</v>
      </c>
      <c r="AX296" s="2">
        <f t="shared" si="738"/>
        <v>0</v>
      </c>
      <c r="AY296" s="2">
        <f t="shared" si="738"/>
        <v>0</v>
      </c>
      <c r="BA296" s="2">
        <f t="shared" si="739"/>
        <v>0</v>
      </c>
      <c r="BB296" s="2">
        <f t="shared" si="740"/>
        <v>0</v>
      </c>
      <c r="BC296" s="2">
        <f t="shared" si="740"/>
        <v>0</v>
      </c>
      <c r="BD296" s="2">
        <f t="shared" si="740"/>
        <v>0</v>
      </c>
      <c r="BE296" s="2">
        <f t="shared" si="740"/>
        <v>0</v>
      </c>
      <c r="BF296" s="2">
        <f t="shared" si="740"/>
        <v>0</v>
      </c>
      <c r="BG296" s="2">
        <f t="shared" si="740"/>
        <v>0</v>
      </c>
      <c r="BI296" s="2">
        <f t="shared" si="741"/>
        <v>0</v>
      </c>
      <c r="BJ296" s="2">
        <f t="shared" si="742"/>
        <v>0</v>
      </c>
      <c r="BK296" s="2">
        <f t="shared" si="742"/>
        <v>0</v>
      </c>
      <c r="BL296" s="2">
        <f t="shared" si="742"/>
        <v>0</v>
      </c>
      <c r="BM296" s="2">
        <f t="shared" si="742"/>
        <v>0</v>
      </c>
      <c r="BN296" s="2">
        <f t="shared" si="742"/>
        <v>0</v>
      </c>
      <c r="BO296" s="2">
        <f t="shared" si="742"/>
        <v>0</v>
      </c>
      <c r="BQ296" s="28" t="s">
        <v>353</v>
      </c>
      <c r="BR296" s="23">
        <v>0</v>
      </c>
      <c r="BS296" s="14">
        <f>R$58</f>
        <v>0.16904766890389558</v>
      </c>
      <c r="BT296" s="14">
        <f>S$58</f>
        <v>2.676215166561764E-3</v>
      </c>
      <c r="BU296" s="14">
        <f>T$58</f>
        <v>6.7778250216338808E-3</v>
      </c>
      <c r="BV296" s="14">
        <f t="shared" ref="BV296:CI296" si="749">U$58</f>
        <v>4.5359290529395975E-2</v>
      </c>
      <c r="BW296" s="14">
        <f t="shared" si="749"/>
        <v>0</v>
      </c>
      <c r="BX296" s="14">
        <f t="shared" si="749"/>
        <v>0.27058822771397795</v>
      </c>
      <c r="BY296" s="14">
        <f t="shared" si="749"/>
        <v>0</v>
      </c>
      <c r="BZ296" s="14">
        <f t="shared" si="749"/>
        <v>0</v>
      </c>
      <c r="CA296" s="14">
        <f t="shared" si="749"/>
        <v>0</v>
      </c>
      <c r="CB296" s="14">
        <f t="shared" si="749"/>
        <v>0</v>
      </c>
      <c r="CC296" s="14">
        <f t="shared" si="749"/>
        <v>7.2651262952682066E-2</v>
      </c>
      <c r="CD296" s="14">
        <f t="shared" si="749"/>
        <v>0.31137572086955634</v>
      </c>
      <c r="CE296" s="14">
        <f t="shared" si="749"/>
        <v>0.11759557901028445</v>
      </c>
      <c r="CF296" s="14">
        <f t="shared" si="749"/>
        <v>0</v>
      </c>
      <c r="CG296" s="14">
        <f t="shared" si="749"/>
        <v>3.9282098320119977E-3</v>
      </c>
      <c r="CH296" s="14">
        <f t="shared" si="749"/>
        <v>0</v>
      </c>
      <c r="CI296" s="14">
        <f t="shared" si="749"/>
        <v>-2.4244162456526846E-19</v>
      </c>
      <c r="CJ296" s="14"/>
      <c r="CK296" s="112" t="str">
        <f t="shared" si="746"/>
        <v>as Plant in Service (58)</v>
      </c>
      <c r="CL296" s="76">
        <f t="shared" si="674"/>
        <v>0</v>
      </c>
      <c r="CM296" s="2">
        <f t="shared" si="747"/>
        <v>0</v>
      </c>
      <c r="CN296" s="2">
        <f t="shared" si="747"/>
        <v>0</v>
      </c>
      <c r="CO296" s="2">
        <f t="shared" si="747"/>
        <v>0</v>
      </c>
      <c r="CP296" s="2">
        <f t="shared" si="747"/>
        <v>0</v>
      </c>
      <c r="CQ296" s="2">
        <f t="shared" si="747"/>
        <v>0</v>
      </c>
      <c r="CR296" s="2">
        <f t="shared" si="747"/>
        <v>0</v>
      </c>
    </row>
    <row r="297" spans="1:96">
      <c r="A297" s="50">
        <f t="shared" si="651"/>
        <v>297</v>
      </c>
      <c r="C297" s="36" t="s">
        <v>156</v>
      </c>
      <c r="D297" s="28" t="s">
        <v>354</v>
      </c>
      <c r="E297" s="23">
        <v>0</v>
      </c>
      <c r="F297" s="60" t="s">
        <v>450</v>
      </c>
      <c r="G297" s="60"/>
      <c r="H297" s="2">
        <f t="shared" si="732"/>
        <v>0</v>
      </c>
      <c r="I297" s="21">
        <f t="shared" si="733"/>
        <v>0</v>
      </c>
      <c r="J297" s="2">
        <f t="shared" si="733"/>
        <v>0</v>
      </c>
      <c r="K297" s="2">
        <f t="shared" si="733"/>
        <v>0</v>
      </c>
      <c r="L297" s="2">
        <f t="shared" si="733"/>
        <v>0</v>
      </c>
      <c r="M297" s="2">
        <f t="shared" si="733"/>
        <v>0</v>
      </c>
      <c r="N297" s="2">
        <f t="shared" si="733"/>
        <v>0</v>
      </c>
      <c r="O297" s="2"/>
      <c r="P297" s="61" t="str">
        <f>E$1&amp;$A297&amp;"*     """</f>
        <v>E297*     "</v>
      </c>
      <c r="Q297" s="61"/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76">
        <f t="shared" si="723"/>
        <v>0</v>
      </c>
      <c r="AK297" s="2">
        <f t="shared" si="735"/>
        <v>0</v>
      </c>
      <c r="AL297" s="2">
        <f t="shared" si="736"/>
        <v>0</v>
      </c>
      <c r="AM297" s="2">
        <f t="shared" si="736"/>
        <v>0</v>
      </c>
      <c r="AN297" s="2">
        <f t="shared" si="736"/>
        <v>0</v>
      </c>
      <c r="AO297" s="2">
        <f t="shared" si="736"/>
        <v>0</v>
      </c>
      <c r="AP297" s="2"/>
      <c r="AQ297" s="61" t="str">
        <f>E$1&amp;$A297&amp;"*      """</f>
        <v>E297*      "</v>
      </c>
      <c r="AS297" s="2">
        <f t="shared" si="737"/>
        <v>0</v>
      </c>
      <c r="AT297" s="2">
        <f t="shared" si="738"/>
        <v>0</v>
      </c>
      <c r="AU297" s="2">
        <f t="shared" si="738"/>
        <v>0</v>
      </c>
      <c r="AV297" s="2">
        <f t="shared" si="738"/>
        <v>0</v>
      </c>
      <c r="AW297" s="2">
        <f t="shared" si="738"/>
        <v>0</v>
      </c>
      <c r="AX297" s="2">
        <f t="shared" si="738"/>
        <v>0</v>
      </c>
      <c r="AY297" s="2">
        <f t="shared" si="738"/>
        <v>0</v>
      </c>
      <c r="BA297" s="2">
        <f t="shared" si="739"/>
        <v>0</v>
      </c>
      <c r="BB297" s="2">
        <f t="shared" si="740"/>
        <v>0</v>
      </c>
      <c r="BC297" s="2">
        <f t="shared" si="740"/>
        <v>0</v>
      </c>
      <c r="BD297" s="2">
        <f t="shared" si="740"/>
        <v>0</v>
      </c>
      <c r="BE297" s="2">
        <f t="shared" si="740"/>
        <v>0</v>
      </c>
      <c r="BF297" s="2">
        <f t="shared" si="740"/>
        <v>0</v>
      </c>
      <c r="BG297" s="2">
        <f t="shared" si="740"/>
        <v>0</v>
      </c>
      <c r="BI297" s="2">
        <f t="shared" si="741"/>
        <v>0</v>
      </c>
      <c r="BJ297" s="2">
        <f t="shared" si="742"/>
        <v>0</v>
      </c>
      <c r="BK297" s="2">
        <f t="shared" si="742"/>
        <v>0</v>
      </c>
      <c r="BL297" s="2">
        <f t="shared" si="742"/>
        <v>0</v>
      </c>
      <c r="BM297" s="2">
        <f t="shared" si="742"/>
        <v>0</v>
      </c>
      <c r="BN297" s="2">
        <f t="shared" si="742"/>
        <v>0</v>
      </c>
      <c r="BO297" s="2">
        <f t="shared" si="742"/>
        <v>0</v>
      </c>
      <c r="BQ297" s="28" t="s">
        <v>354</v>
      </c>
      <c r="BR297" s="23">
        <v>0</v>
      </c>
      <c r="BS297" s="14">
        <f t="shared" ref="BS297:BU298" si="750">R297</f>
        <v>0</v>
      </c>
      <c r="BT297" s="14">
        <f t="shared" si="750"/>
        <v>0</v>
      </c>
      <c r="BU297" s="14">
        <f t="shared" si="750"/>
        <v>0</v>
      </c>
      <c r="BV297" s="14">
        <f t="shared" ref="BV297:CB298" si="751">U297</f>
        <v>0</v>
      </c>
      <c r="BW297" s="14">
        <f t="shared" si="751"/>
        <v>0</v>
      </c>
      <c r="BX297" s="14">
        <f t="shared" si="751"/>
        <v>0</v>
      </c>
      <c r="BY297" s="14">
        <f t="shared" si="751"/>
        <v>0</v>
      </c>
      <c r="BZ297" s="14">
        <f t="shared" si="751"/>
        <v>0</v>
      </c>
      <c r="CA297" s="14">
        <f t="shared" si="751"/>
        <v>0</v>
      </c>
      <c r="CB297" s="14">
        <f t="shared" si="751"/>
        <v>0</v>
      </c>
      <c r="CC297" s="14">
        <f t="shared" ref="CC297:CF298" si="752">AB297</f>
        <v>1</v>
      </c>
      <c r="CD297" s="14">
        <f t="shared" si="752"/>
        <v>0</v>
      </c>
      <c r="CE297" s="14">
        <f t="shared" si="752"/>
        <v>0</v>
      </c>
      <c r="CF297" s="14">
        <f t="shared" si="752"/>
        <v>0</v>
      </c>
      <c r="CG297" s="14">
        <f t="shared" ref="CG297:CI298" si="753">AF297</f>
        <v>0</v>
      </c>
      <c r="CH297" s="14">
        <f t="shared" si="753"/>
        <v>0</v>
      </c>
      <c r="CI297" s="14">
        <f t="shared" si="753"/>
        <v>0</v>
      </c>
      <c r="CJ297" s="14"/>
      <c r="CK297" s="112" t="str">
        <f t="shared" si="746"/>
        <v>Input - 100% Cust</v>
      </c>
      <c r="CL297" s="76">
        <f t="shared" si="674"/>
        <v>0</v>
      </c>
      <c r="CM297" s="2">
        <f t="shared" si="747"/>
        <v>0</v>
      </c>
      <c r="CN297" s="2">
        <f t="shared" si="747"/>
        <v>0</v>
      </c>
      <c r="CO297" s="2">
        <f t="shared" si="747"/>
        <v>0</v>
      </c>
      <c r="CP297" s="2">
        <f t="shared" si="747"/>
        <v>0</v>
      </c>
      <c r="CQ297" s="2">
        <f t="shared" si="747"/>
        <v>0</v>
      </c>
      <c r="CR297" s="2">
        <f t="shared" si="747"/>
        <v>0</v>
      </c>
    </row>
    <row r="298" spans="1:96">
      <c r="A298" s="50">
        <f t="shared" si="651"/>
        <v>298</v>
      </c>
      <c r="C298" s="36" t="s">
        <v>155</v>
      </c>
      <c r="D298" s="28" t="s">
        <v>350</v>
      </c>
      <c r="E298" s="23">
        <v>0</v>
      </c>
      <c r="F298" s="60" t="s">
        <v>451</v>
      </c>
      <c r="G298" s="60"/>
      <c r="H298" s="2">
        <f t="shared" si="732"/>
        <v>0</v>
      </c>
      <c r="I298" s="21">
        <f t="shared" si="733"/>
        <v>0</v>
      </c>
      <c r="J298" s="2">
        <f t="shared" si="733"/>
        <v>0</v>
      </c>
      <c r="K298" s="2">
        <f t="shared" si="733"/>
        <v>0</v>
      </c>
      <c r="L298" s="2">
        <f t="shared" si="733"/>
        <v>0</v>
      </c>
      <c r="M298" s="2">
        <f t="shared" si="733"/>
        <v>0</v>
      </c>
      <c r="N298" s="2">
        <f t="shared" si="733"/>
        <v>0</v>
      </c>
      <c r="O298" s="2"/>
      <c r="P298" s="61" t="str">
        <f>E$1&amp;$A298&amp;"*     """</f>
        <v>E298*     "</v>
      </c>
      <c r="Q298" s="61"/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76">
        <f t="shared" si="723"/>
        <v>0</v>
      </c>
      <c r="AK298" s="2">
        <f t="shared" si="735"/>
        <v>0</v>
      </c>
      <c r="AL298" s="2">
        <f t="shared" si="736"/>
        <v>0</v>
      </c>
      <c r="AM298" s="2">
        <f t="shared" si="736"/>
        <v>0</v>
      </c>
      <c r="AN298" s="2">
        <f t="shared" si="736"/>
        <v>0</v>
      </c>
      <c r="AO298" s="2">
        <f t="shared" si="736"/>
        <v>0</v>
      </c>
      <c r="AP298" s="2"/>
      <c r="AQ298" s="61" t="str">
        <f>E$1&amp;$A298&amp;"*      """</f>
        <v>E298*      "</v>
      </c>
      <c r="AS298" s="2">
        <f t="shared" si="737"/>
        <v>0</v>
      </c>
      <c r="AT298" s="2">
        <f t="shared" si="738"/>
        <v>0</v>
      </c>
      <c r="AU298" s="2">
        <f t="shared" si="738"/>
        <v>0</v>
      </c>
      <c r="AV298" s="2">
        <f t="shared" si="738"/>
        <v>0</v>
      </c>
      <c r="AW298" s="2">
        <f t="shared" si="738"/>
        <v>0</v>
      </c>
      <c r="AX298" s="2">
        <f t="shared" si="738"/>
        <v>0</v>
      </c>
      <c r="AY298" s="2">
        <f t="shared" si="738"/>
        <v>0</v>
      </c>
      <c r="BA298" s="2">
        <f t="shared" si="739"/>
        <v>0</v>
      </c>
      <c r="BB298" s="2">
        <f t="shared" si="740"/>
        <v>0</v>
      </c>
      <c r="BC298" s="2">
        <f t="shared" si="740"/>
        <v>0</v>
      </c>
      <c r="BD298" s="2">
        <f t="shared" si="740"/>
        <v>0</v>
      </c>
      <c r="BE298" s="2">
        <f t="shared" si="740"/>
        <v>0</v>
      </c>
      <c r="BF298" s="2">
        <f t="shared" si="740"/>
        <v>0</v>
      </c>
      <c r="BG298" s="2">
        <f t="shared" si="740"/>
        <v>0</v>
      </c>
      <c r="BI298" s="2">
        <f t="shared" si="741"/>
        <v>0</v>
      </c>
      <c r="BJ298" s="2">
        <f t="shared" si="742"/>
        <v>0</v>
      </c>
      <c r="BK298" s="2">
        <f t="shared" si="742"/>
        <v>0</v>
      </c>
      <c r="BL298" s="2">
        <f t="shared" si="742"/>
        <v>0</v>
      </c>
      <c r="BM298" s="2">
        <f t="shared" si="742"/>
        <v>0</v>
      </c>
      <c r="BN298" s="2">
        <f t="shared" si="742"/>
        <v>0</v>
      </c>
      <c r="BO298" s="2">
        <f t="shared" si="742"/>
        <v>0</v>
      </c>
      <c r="BQ298" s="28" t="s">
        <v>350</v>
      </c>
      <c r="BR298" s="23">
        <v>0</v>
      </c>
      <c r="BS298" s="14">
        <f t="shared" si="750"/>
        <v>0</v>
      </c>
      <c r="BT298" s="14">
        <f t="shared" si="750"/>
        <v>0</v>
      </c>
      <c r="BU298" s="14">
        <f t="shared" si="750"/>
        <v>0</v>
      </c>
      <c r="BV298" s="14">
        <f t="shared" si="751"/>
        <v>0</v>
      </c>
      <c r="BW298" s="14">
        <f t="shared" si="751"/>
        <v>0</v>
      </c>
      <c r="BX298" s="14">
        <f t="shared" si="751"/>
        <v>0</v>
      </c>
      <c r="BY298" s="14">
        <f t="shared" si="751"/>
        <v>0</v>
      </c>
      <c r="BZ298" s="14">
        <f t="shared" si="751"/>
        <v>0</v>
      </c>
      <c r="CA298" s="14">
        <f t="shared" si="751"/>
        <v>0</v>
      </c>
      <c r="CB298" s="14">
        <f t="shared" si="751"/>
        <v>0</v>
      </c>
      <c r="CC298" s="14">
        <f t="shared" si="752"/>
        <v>0</v>
      </c>
      <c r="CD298" s="14">
        <f t="shared" si="752"/>
        <v>0</v>
      </c>
      <c r="CE298" s="14">
        <f t="shared" si="752"/>
        <v>0</v>
      </c>
      <c r="CF298" s="14">
        <f t="shared" si="752"/>
        <v>0</v>
      </c>
      <c r="CG298" s="14">
        <f t="shared" si="753"/>
        <v>0</v>
      </c>
      <c r="CH298" s="14">
        <f t="shared" si="753"/>
        <v>0</v>
      </c>
      <c r="CI298" s="14">
        <f t="shared" si="753"/>
        <v>1</v>
      </c>
      <c r="CJ298" s="14"/>
      <c r="CK298" s="112" t="str">
        <f t="shared" si="746"/>
        <v>Input - 100% Rev</v>
      </c>
      <c r="CL298" s="76">
        <f t="shared" si="674"/>
        <v>0</v>
      </c>
      <c r="CM298" s="2">
        <f t="shared" si="747"/>
        <v>0</v>
      </c>
      <c r="CN298" s="2">
        <f t="shared" si="747"/>
        <v>0</v>
      </c>
      <c r="CO298" s="2">
        <f t="shared" si="747"/>
        <v>0</v>
      </c>
      <c r="CP298" s="2">
        <f t="shared" si="747"/>
        <v>0</v>
      </c>
      <c r="CQ298" s="2">
        <f t="shared" si="747"/>
        <v>0</v>
      </c>
      <c r="CR298" s="2">
        <f t="shared" si="747"/>
        <v>0</v>
      </c>
    </row>
    <row r="299" spans="1:96">
      <c r="A299" s="50">
        <f t="shared" si="651"/>
        <v>299</v>
      </c>
      <c r="C299" s="36" t="s">
        <v>151</v>
      </c>
      <c r="D299" s="28" t="s">
        <v>355</v>
      </c>
      <c r="E299" s="23">
        <v>0</v>
      </c>
      <c r="F299" s="60" t="str">
        <f>"as Labor O&amp;M Exp. ("&amp;BS$1&amp;A$344&amp;")"</f>
        <v>as Labor O&amp;M Exp. (BS344)</v>
      </c>
      <c r="G299" s="60"/>
      <c r="H299" s="2">
        <f t="shared" si="732"/>
        <v>0</v>
      </c>
      <c r="I299" s="21">
        <f t="shared" ref="I299:N299" si="754">$E299*CM$344/$BR$344</f>
        <v>0</v>
      </c>
      <c r="J299" s="21">
        <f t="shared" si="754"/>
        <v>0</v>
      </c>
      <c r="K299" s="21">
        <f t="shared" si="754"/>
        <v>0</v>
      </c>
      <c r="L299" s="21">
        <f t="shared" si="754"/>
        <v>0</v>
      </c>
      <c r="M299" s="21">
        <f t="shared" si="754"/>
        <v>0</v>
      </c>
      <c r="N299" s="21">
        <f t="shared" si="754"/>
        <v>0</v>
      </c>
      <c r="O299" s="2"/>
      <c r="P299" s="61" t="str">
        <f>E$1&amp;$A299&amp;"* "&amp;CM$1&amp;A$344&amp;" / "&amp;BR$1&amp;A$344</f>
        <v>E299* CM344 / BR344</v>
      </c>
      <c r="Q299" s="61"/>
      <c r="R299" s="14">
        <f>BS$344</f>
        <v>0.10913184265939331</v>
      </c>
      <c r="S299" s="14">
        <f>BT$344</f>
        <v>3.3021876247189427E-2</v>
      </c>
      <c r="T299" s="14">
        <f t="shared" ref="T299:AH299" si="755">BU$344</f>
        <v>2.9366713079939091E-3</v>
      </c>
      <c r="U299" s="14">
        <f t="shared" si="755"/>
        <v>1.9653107984266921E-2</v>
      </c>
      <c r="V299" s="14">
        <f t="shared" si="755"/>
        <v>0</v>
      </c>
      <c r="W299" s="14">
        <f t="shared" si="755"/>
        <v>0.16142462055819431</v>
      </c>
      <c r="X299" s="14">
        <f t="shared" si="755"/>
        <v>0</v>
      </c>
      <c r="Y299" s="14">
        <f t="shared" si="755"/>
        <v>0</v>
      </c>
      <c r="Z299" s="14">
        <f t="shared" si="755"/>
        <v>0</v>
      </c>
      <c r="AA299" s="14">
        <f t="shared" si="755"/>
        <v>0</v>
      </c>
      <c r="AB299" s="14">
        <f t="shared" si="755"/>
        <v>0.37507244202834572</v>
      </c>
      <c r="AC299" s="14">
        <f t="shared" si="755"/>
        <v>0.18309838925091035</v>
      </c>
      <c r="AD299" s="14">
        <f t="shared" si="755"/>
        <v>0.11390268710509913</v>
      </c>
      <c r="AE299" s="14">
        <f t="shared" si="755"/>
        <v>0</v>
      </c>
      <c r="AF299" s="14">
        <f t="shared" si="755"/>
        <v>1.7583628586068862E-3</v>
      </c>
      <c r="AG299" s="14">
        <f t="shared" si="755"/>
        <v>0</v>
      </c>
      <c r="AH299" s="14">
        <f t="shared" si="755"/>
        <v>-4.5942138576433119E-19</v>
      </c>
      <c r="AI299" s="76">
        <f t="shared" si="723"/>
        <v>0</v>
      </c>
      <c r="AK299" s="2">
        <f t="shared" si="735"/>
        <v>0</v>
      </c>
      <c r="AL299" s="2">
        <f t="shared" si="736"/>
        <v>0</v>
      </c>
      <c r="AM299" s="2">
        <f t="shared" si="736"/>
        <v>0</v>
      </c>
      <c r="AN299" s="2">
        <f t="shared" si="736"/>
        <v>0</v>
      </c>
      <c r="AO299" s="2">
        <f t="shared" si="736"/>
        <v>0</v>
      </c>
      <c r="AP299" s="2"/>
      <c r="AQ299" s="61" t="str">
        <f>E$1&amp;$A299&amp;"*      """</f>
        <v>E299*      "</v>
      </c>
      <c r="AS299" s="2">
        <f t="shared" si="737"/>
        <v>0</v>
      </c>
      <c r="AT299" s="2">
        <f t="shared" si="738"/>
        <v>0</v>
      </c>
      <c r="AU299" s="2">
        <f t="shared" si="738"/>
        <v>0</v>
      </c>
      <c r="AV299" s="2">
        <f t="shared" si="738"/>
        <v>0</v>
      </c>
      <c r="AW299" s="2">
        <f t="shared" si="738"/>
        <v>0</v>
      </c>
      <c r="AX299" s="2">
        <f t="shared" si="738"/>
        <v>0</v>
      </c>
      <c r="AY299" s="2">
        <f t="shared" si="738"/>
        <v>0</v>
      </c>
      <c r="BA299" s="2">
        <f t="shared" si="739"/>
        <v>0</v>
      </c>
      <c r="BB299" s="2">
        <f t="shared" si="740"/>
        <v>0</v>
      </c>
      <c r="BC299" s="2">
        <f t="shared" si="740"/>
        <v>0</v>
      </c>
      <c r="BD299" s="2">
        <f t="shared" si="740"/>
        <v>0</v>
      </c>
      <c r="BE299" s="2">
        <f t="shared" si="740"/>
        <v>0</v>
      </c>
      <c r="BF299" s="2">
        <f t="shared" si="740"/>
        <v>0</v>
      </c>
      <c r="BG299" s="2">
        <f t="shared" si="740"/>
        <v>0</v>
      </c>
      <c r="BI299" s="2">
        <f t="shared" si="741"/>
        <v>0</v>
      </c>
      <c r="BJ299" s="2">
        <f t="shared" si="742"/>
        <v>0</v>
      </c>
      <c r="BK299" s="2">
        <f t="shared" si="742"/>
        <v>0</v>
      </c>
      <c r="BL299" s="2">
        <f t="shared" si="742"/>
        <v>0</v>
      </c>
      <c r="BM299" s="2">
        <f t="shared" si="742"/>
        <v>0</v>
      </c>
      <c r="BN299" s="2">
        <f t="shared" si="742"/>
        <v>0</v>
      </c>
      <c r="BO299" s="2">
        <f t="shared" si="742"/>
        <v>0</v>
      </c>
      <c r="BQ299" s="28" t="s">
        <v>355</v>
      </c>
      <c r="BR299" s="23">
        <v>0</v>
      </c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112" t="str">
        <f t="shared" si="746"/>
        <v>as Labor O&amp;M Exp. (BS344)</v>
      </c>
      <c r="CL299" s="76">
        <f t="shared" si="674"/>
        <v>0</v>
      </c>
      <c r="CM299" s="2"/>
      <c r="CN299" s="2"/>
      <c r="CO299" s="2"/>
      <c r="CP299" s="2"/>
      <c r="CQ299" s="2"/>
      <c r="CR299" s="2"/>
    </row>
    <row r="300" spans="1:96">
      <c r="A300" s="50">
        <f t="shared" si="651"/>
        <v>300</v>
      </c>
      <c r="B300" t="s">
        <v>53</v>
      </c>
      <c r="D300" t="s">
        <v>54</v>
      </c>
      <c r="E300" s="2"/>
      <c r="F300" s="60"/>
      <c r="G300" s="60"/>
      <c r="I300" s="49"/>
      <c r="P300" s="61"/>
      <c r="Q300" s="61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76">
        <f t="shared" si="723"/>
        <v>0</v>
      </c>
      <c r="AQ300" s="61"/>
      <c r="BQ300" t="s">
        <v>54</v>
      </c>
      <c r="CK300" s="112"/>
      <c r="CL300" s="76">
        <f t="shared" si="674"/>
        <v>0</v>
      </c>
      <c r="CM300" s="49"/>
    </row>
    <row r="301" spans="1:96">
      <c r="A301" s="50">
        <f t="shared" si="651"/>
        <v>301</v>
      </c>
      <c r="C301" s="36" t="s">
        <v>151</v>
      </c>
      <c r="D301" s="56" t="s">
        <v>147</v>
      </c>
      <c r="E301" s="23">
        <v>0</v>
      </c>
      <c r="F301" s="61" t="s">
        <v>996</v>
      </c>
      <c r="G301" s="60"/>
      <c r="H301" s="2">
        <f t="shared" ref="H301:H306" si="756">SUM(I301:N301)</f>
        <v>0</v>
      </c>
      <c r="I301" s="21">
        <f t="shared" ref="I301:N305" si="757">$E301*SUMPRODUCT($R301:$AH301,INDEX(AllocFactors,I$4,0))</f>
        <v>0</v>
      </c>
      <c r="J301" s="2">
        <f t="shared" si="757"/>
        <v>0</v>
      </c>
      <c r="K301" s="2">
        <f t="shared" si="757"/>
        <v>0</v>
      </c>
      <c r="L301" s="2">
        <f t="shared" si="757"/>
        <v>0</v>
      </c>
      <c r="M301" s="2">
        <f t="shared" si="757"/>
        <v>0</v>
      </c>
      <c r="N301" s="2">
        <f t="shared" si="757"/>
        <v>0</v>
      </c>
      <c r="O301" s="2"/>
      <c r="P301" s="61" t="s">
        <v>997</v>
      </c>
      <c r="Q301" s="61"/>
      <c r="R301" s="14">
        <f>R$259</f>
        <v>9.9370957155623774E-2</v>
      </c>
      <c r="S301" s="14">
        <f t="shared" ref="S301:AH301" si="758">S$259</f>
        <v>1.5218388550417537E-2</v>
      </c>
      <c r="T301" s="14">
        <f t="shared" si="758"/>
        <v>8.699877677308605E-3</v>
      </c>
      <c r="U301" s="14">
        <f t="shared" si="758"/>
        <v>5.822225830198835E-2</v>
      </c>
      <c r="V301" s="14">
        <f t="shared" si="758"/>
        <v>0</v>
      </c>
      <c r="W301" s="14">
        <f t="shared" si="758"/>
        <v>0.15327818313927072</v>
      </c>
      <c r="X301" s="14">
        <f t="shared" si="758"/>
        <v>0</v>
      </c>
      <c r="Y301" s="14">
        <f t="shared" si="758"/>
        <v>0</v>
      </c>
      <c r="Z301" s="14">
        <f t="shared" si="758"/>
        <v>0</v>
      </c>
      <c r="AA301" s="14">
        <f t="shared" si="758"/>
        <v>0</v>
      </c>
      <c r="AB301" s="14">
        <f t="shared" si="758"/>
        <v>0.41313387731559803</v>
      </c>
      <c r="AC301" s="14">
        <f t="shared" si="758"/>
        <v>0.17108548237195526</v>
      </c>
      <c r="AD301" s="14">
        <f t="shared" si="758"/>
        <v>7.9473703927617212E-2</v>
      </c>
      <c r="AE301" s="14">
        <f t="shared" si="758"/>
        <v>0</v>
      </c>
      <c r="AF301" s="14">
        <f t="shared" si="758"/>
        <v>1.5172715602204624E-3</v>
      </c>
      <c r="AG301" s="14">
        <f t="shared" si="758"/>
        <v>0</v>
      </c>
      <c r="AH301" s="14">
        <f t="shared" si="758"/>
        <v>-1.4146429571039994E-18</v>
      </c>
      <c r="AI301" s="76">
        <f t="shared" si="723"/>
        <v>0</v>
      </c>
      <c r="AK301" s="2">
        <f t="shared" ref="AK301:AK306" si="759">SUM(AL301:AO301)</f>
        <v>0</v>
      </c>
      <c r="AL301" s="2">
        <f t="shared" ref="AL301:AO306" si="760">SUMIF($R$4:$AH$4,AL$5,$R301:$AH301)*$E301</f>
        <v>0</v>
      </c>
      <c r="AM301" s="2">
        <f t="shared" si="760"/>
        <v>0</v>
      </c>
      <c r="AN301" s="2">
        <f t="shared" si="760"/>
        <v>0</v>
      </c>
      <c r="AO301" s="2">
        <f t="shared" si="760"/>
        <v>0</v>
      </c>
      <c r="AP301" s="2"/>
      <c r="AQ301" s="61" t="str">
        <f>E$1&amp;$A301&amp;"*["&amp;R$1&amp;$A301&amp;":"&amp;$AH$1&amp;$A301&amp;" when "&amp;R$1&amp;$A$4&amp;":"&amp;$AH$1&amp;$A$4&amp;" = E,D,C,or R]"</f>
        <v>E301*[R301:AH301 when R4:AH4 = E,D,C,or R]</v>
      </c>
      <c r="AS301" s="2">
        <f t="shared" ref="AS301:AS306" si="761">SUM(AT301:AY301)</f>
        <v>0</v>
      </c>
      <c r="AT301" s="2">
        <f t="shared" ref="AT301:AY306" si="762">$E301*SUMPRODUCT($R301:$V301,INDEX(AllocFactors_E,AT$4,0))</f>
        <v>0</v>
      </c>
      <c r="AU301" s="2">
        <f t="shared" si="762"/>
        <v>0</v>
      </c>
      <c r="AV301" s="2">
        <f t="shared" si="762"/>
        <v>0</v>
      </c>
      <c r="AW301" s="2">
        <f t="shared" si="762"/>
        <v>0</v>
      </c>
      <c r="AX301" s="2">
        <f t="shared" si="762"/>
        <v>0</v>
      </c>
      <c r="AY301" s="2">
        <f t="shared" si="762"/>
        <v>0</v>
      </c>
      <c r="BA301" s="2">
        <f t="shared" ref="BA301:BA306" si="763">SUM(BB301:BG301)</f>
        <v>0</v>
      </c>
      <c r="BB301" s="2">
        <f t="shared" ref="BB301:BG306" si="764">$E301*SUMPRODUCT($W301:$AA301,INDEX(AllocFactors_D,BB$4,0))</f>
        <v>0</v>
      </c>
      <c r="BC301" s="2">
        <f t="shared" si="764"/>
        <v>0</v>
      </c>
      <c r="BD301" s="2">
        <f t="shared" si="764"/>
        <v>0</v>
      </c>
      <c r="BE301" s="2">
        <f t="shared" si="764"/>
        <v>0</v>
      </c>
      <c r="BF301" s="2">
        <f t="shared" si="764"/>
        <v>0</v>
      </c>
      <c r="BG301" s="2">
        <f t="shared" si="764"/>
        <v>0</v>
      </c>
      <c r="BI301" s="2">
        <f t="shared" ref="BI301:BI306" si="765">SUM(BJ301:BO301)</f>
        <v>0</v>
      </c>
      <c r="BJ301" s="2">
        <f t="shared" ref="BJ301:BO306" si="766">$E301*SUMPRODUCT($AB301:$AG301,INDEX(AllocFactors_C,BJ$4,0))</f>
        <v>0</v>
      </c>
      <c r="BK301" s="2">
        <f t="shared" si="766"/>
        <v>0</v>
      </c>
      <c r="BL301" s="2">
        <f t="shared" si="766"/>
        <v>0</v>
      </c>
      <c r="BM301" s="2">
        <f t="shared" si="766"/>
        <v>0</v>
      </c>
      <c r="BN301" s="2">
        <f t="shared" si="766"/>
        <v>0</v>
      </c>
      <c r="BO301" s="2">
        <f t="shared" si="766"/>
        <v>0</v>
      </c>
      <c r="BQ301" s="28" t="s">
        <v>351</v>
      </c>
      <c r="BR301" s="23">
        <v>0</v>
      </c>
      <c r="BS301" s="14">
        <f t="shared" ref="BS301:BU302" si="767">R301</f>
        <v>9.9370957155623774E-2</v>
      </c>
      <c r="BT301" s="14">
        <f t="shared" si="767"/>
        <v>1.5218388550417537E-2</v>
      </c>
      <c r="BU301" s="14">
        <f t="shared" si="767"/>
        <v>8.699877677308605E-3</v>
      </c>
      <c r="BV301" s="14">
        <f t="shared" ref="BV301:CB302" si="768">U301</f>
        <v>5.822225830198835E-2</v>
      </c>
      <c r="BW301" s="14">
        <f t="shared" si="768"/>
        <v>0</v>
      </c>
      <c r="BX301" s="14">
        <f t="shared" si="768"/>
        <v>0.15327818313927072</v>
      </c>
      <c r="BY301" s="14">
        <f t="shared" si="768"/>
        <v>0</v>
      </c>
      <c r="BZ301" s="14">
        <f t="shared" si="768"/>
        <v>0</v>
      </c>
      <c r="CA301" s="14">
        <f t="shared" si="768"/>
        <v>0</v>
      </c>
      <c r="CB301" s="14">
        <f t="shared" si="768"/>
        <v>0</v>
      </c>
      <c r="CC301" s="14">
        <f t="shared" ref="CC301:CI302" si="769">AB301</f>
        <v>0.41313387731559803</v>
      </c>
      <c r="CD301" s="14">
        <f t="shared" si="769"/>
        <v>0.17108548237195526</v>
      </c>
      <c r="CE301" s="14">
        <f t="shared" si="769"/>
        <v>7.9473703927617212E-2</v>
      </c>
      <c r="CF301" s="14">
        <f t="shared" si="769"/>
        <v>0</v>
      </c>
      <c r="CG301" s="14">
        <f t="shared" si="769"/>
        <v>1.5172715602204624E-3</v>
      </c>
      <c r="CH301" s="14">
        <f t="shared" si="769"/>
        <v>0</v>
      </c>
      <c r="CI301" s="14">
        <f t="shared" si="769"/>
        <v>-1.4146429571039994E-18</v>
      </c>
      <c r="CJ301" s="14"/>
      <c r="CK301" s="112" t="str">
        <f t="shared" ref="CK301:CK306" si="770">F301</f>
        <v>4-Factor</v>
      </c>
      <c r="CL301" s="76">
        <f t="shared" si="674"/>
        <v>0</v>
      </c>
      <c r="CM301" s="2">
        <f t="shared" ref="CM301:CR305" si="771">$BR301*SUMPRODUCT($BS301:$CI301,INDEX(AllocFactors,CM$172,0))</f>
        <v>0</v>
      </c>
      <c r="CN301" s="2">
        <f t="shared" si="771"/>
        <v>0</v>
      </c>
      <c r="CO301" s="2">
        <f t="shared" si="771"/>
        <v>0</v>
      </c>
      <c r="CP301" s="2">
        <f t="shared" si="771"/>
        <v>0</v>
      </c>
      <c r="CQ301" s="2">
        <f t="shared" si="771"/>
        <v>0</v>
      </c>
      <c r="CR301" s="2">
        <f t="shared" si="771"/>
        <v>0</v>
      </c>
    </row>
    <row r="302" spans="1:96">
      <c r="A302" s="50">
        <f t="shared" si="651"/>
        <v>302</v>
      </c>
      <c r="C302" s="36" t="s">
        <v>151</v>
      </c>
      <c r="D302" s="56" t="s">
        <v>352</v>
      </c>
      <c r="E302" s="23">
        <v>0</v>
      </c>
      <c r="F302" s="442" t="s">
        <v>444</v>
      </c>
      <c r="G302" s="60"/>
      <c r="H302" s="2">
        <f t="shared" si="756"/>
        <v>0</v>
      </c>
      <c r="I302" s="21">
        <f t="shared" si="757"/>
        <v>0</v>
      </c>
      <c r="J302" s="2">
        <f t="shared" si="757"/>
        <v>0</v>
      </c>
      <c r="K302" s="2">
        <f t="shared" si="757"/>
        <v>0</v>
      </c>
      <c r="L302" s="2">
        <f t="shared" si="757"/>
        <v>0</v>
      </c>
      <c r="M302" s="2">
        <f t="shared" si="757"/>
        <v>0</v>
      </c>
      <c r="N302" s="2">
        <f t="shared" si="757"/>
        <v>0</v>
      </c>
      <c r="O302" s="2"/>
      <c r="P302" s="61" t="str">
        <f>E$1&amp;$A302&amp;"*     """</f>
        <v>E302*     "</v>
      </c>
      <c r="Q302" s="61"/>
      <c r="R302" s="441">
        <v>1</v>
      </c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76">
        <f t="shared" si="723"/>
        <v>0</v>
      </c>
      <c r="AK302" s="2">
        <f t="shared" si="759"/>
        <v>0</v>
      </c>
      <c r="AL302" s="2">
        <f t="shared" si="760"/>
        <v>0</v>
      </c>
      <c r="AM302" s="2">
        <f t="shared" si="760"/>
        <v>0</v>
      </c>
      <c r="AN302" s="2">
        <f t="shared" si="760"/>
        <v>0</v>
      </c>
      <c r="AO302" s="2">
        <f t="shared" si="760"/>
        <v>0</v>
      </c>
      <c r="AP302" s="2"/>
      <c r="AQ302" s="61" t="str">
        <f>E$1&amp;$A302&amp;"*      """</f>
        <v>E302*      "</v>
      </c>
      <c r="AS302" s="2">
        <f t="shared" si="761"/>
        <v>0</v>
      </c>
      <c r="AT302" s="2">
        <f t="shared" si="762"/>
        <v>0</v>
      </c>
      <c r="AU302" s="2">
        <f t="shared" si="762"/>
        <v>0</v>
      </c>
      <c r="AV302" s="2">
        <f t="shared" si="762"/>
        <v>0</v>
      </c>
      <c r="AW302" s="2">
        <f t="shared" si="762"/>
        <v>0</v>
      </c>
      <c r="AX302" s="2">
        <f t="shared" si="762"/>
        <v>0</v>
      </c>
      <c r="AY302" s="2">
        <f t="shared" si="762"/>
        <v>0</v>
      </c>
      <c r="BA302" s="2">
        <f t="shared" si="763"/>
        <v>0</v>
      </c>
      <c r="BB302" s="2">
        <f t="shared" si="764"/>
        <v>0</v>
      </c>
      <c r="BC302" s="2">
        <f t="shared" si="764"/>
        <v>0</v>
      </c>
      <c r="BD302" s="2">
        <f t="shared" si="764"/>
        <v>0</v>
      </c>
      <c r="BE302" s="2">
        <f t="shared" si="764"/>
        <v>0</v>
      </c>
      <c r="BF302" s="2">
        <f t="shared" si="764"/>
        <v>0</v>
      </c>
      <c r="BG302" s="2">
        <f t="shared" si="764"/>
        <v>0</v>
      </c>
      <c r="BI302" s="2">
        <f t="shared" si="765"/>
        <v>0</v>
      </c>
      <c r="BJ302" s="2">
        <f t="shared" si="766"/>
        <v>0</v>
      </c>
      <c r="BK302" s="2">
        <f t="shared" si="766"/>
        <v>0</v>
      </c>
      <c r="BL302" s="2">
        <f t="shared" si="766"/>
        <v>0</v>
      </c>
      <c r="BM302" s="2">
        <f t="shared" si="766"/>
        <v>0</v>
      </c>
      <c r="BN302" s="2">
        <f t="shared" si="766"/>
        <v>0</v>
      </c>
      <c r="BO302" s="2">
        <f t="shared" si="766"/>
        <v>0</v>
      </c>
      <c r="BQ302" s="28" t="s">
        <v>352</v>
      </c>
      <c r="BR302" s="23">
        <v>0</v>
      </c>
      <c r="BS302" s="14">
        <f t="shared" si="767"/>
        <v>1</v>
      </c>
      <c r="BT302" s="14">
        <f t="shared" si="767"/>
        <v>0</v>
      </c>
      <c r="BU302" s="14">
        <f t="shared" si="767"/>
        <v>0</v>
      </c>
      <c r="BV302" s="14">
        <f t="shared" si="768"/>
        <v>0</v>
      </c>
      <c r="BW302" s="14">
        <f t="shared" si="768"/>
        <v>0</v>
      </c>
      <c r="BX302" s="14">
        <f t="shared" si="768"/>
        <v>0</v>
      </c>
      <c r="BY302" s="14">
        <f t="shared" si="768"/>
        <v>0</v>
      </c>
      <c r="BZ302" s="14">
        <f t="shared" si="768"/>
        <v>0</v>
      </c>
      <c r="CA302" s="14">
        <f t="shared" si="768"/>
        <v>0</v>
      </c>
      <c r="CB302" s="14">
        <f t="shared" si="768"/>
        <v>0</v>
      </c>
      <c r="CC302" s="14">
        <f t="shared" si="769"/>
        <v>0</v>
      </c>
      <c r="CD302" s="14">
        <f t="shared" si="769"/>
        <v>0</v>
      </c>
      <c r="CE302" s="14">
        <f t="shared" si="769"/>
        <v>0</v>
      </c>
      <c r="CF302" s="14">
        <f t="shared" si="769"/>
        <v>0</v>
      </c>
      <c r="CG302" s="14">
        <f t="shared" si="769"/>
        <v>0</v>
      </c>
      <c r="CH302" s="14">
        <f t="shared" si="769"/>
        <v>0</v>
      </c>
      <c r="CI302" s="14">
        <f t="shared" si="769"/>
        <v>0</v>
      </c>
      <c r="CJ302" s="14"/>
      <c r="CK302" s="112" t="str">
        <f t="shared" si="770"/>
        <v>Input - 100% Throughput</v>
      </c>
      <c r="CL302" s="76">
        <f t="shared" si="674"/>
        <v>0</v>
      </c>
      <c r="CM302" s="2">
        <f t="shared" si="771"/>
        <v>0</v>
      </c>
      <c r="CN302" s="2">
        <f t="shared" si="771"/>
        <v>0</v>
      </c>
      <c r="CO302" s="2">
        <f t="shared" si="771"/>
        <v>0</v>
      </c>
      <c r="CP302" s="2">
        <f t="shared" si="771"/>
        <v>0</v>
      </c>
      <c r="CQ302" s="2">
        <f t="shared" si="771"/>
        <v>0</v>
      </c>
      <c r="CR302" s="2">
        <f t="shared" si="771"/>
        <v>0</v>
      </c>
    </row>
    <row r="303" spans="1:96">
      <c r="A303" s="50">
        <f t="shared" si="651"/>
        <v>303</v>
      </c>
      <c r="C303" s="36" t="s">
        <v>151</v>
      </c>
      <c r="D303" s="28" t="s">
        <v>353</v>
      </c>
      <c r="E303" s="23">
        <v>0</v>
      </c>
      <c r="F303" s="60" t="str">
        <f>"as Plant in Service ("&amp;A$58&amp;")"</f>
        <v>as Plant in Service (58)</v>
      </c>
      <c r="G303" s="60"/>
      <c r="H303" s="2">
        <f t="shared" si="756"/>
        <v>0</v>
      </c>
      <c r="I303" s="21">
        <f t="shared" si="757"/>
        <v>0</v>
      </c>
      <c r="J303" s="2">
        <f t="shared" si="757"/>
        <v>0</v>
      </c>
      <c r="K303" s="2">
        <f t="shared" si="757"/>
        <v>0</v>
      </c>
      <c r="L303" s="2">
        <f t="shared" si="757"/>
        <v>0</v>
      </c>
      <c r="M303" s="2">
        <f t="shared" si="757"/>
        <v>0</v>
      </c>
      <c r="N303" s="2">
        <f t="shared" si="757"/>
        <v>0</v>
      </c>
      <c r="O303" s="2"/>
      <c r="P303" s="61" t="str">
        <f>E$1&amp;$A303&amp;"*     """</f>
        <v>E303*     "</v>
      </c>
      <c r="Q303" s="61"/>
      <c r="R303" s="14">
        <f>R$58</f>
        <v>0.16904766890389558</v>
      </c>
      <c r="S303" s="14">
        <f t="shared" ref="S303:AH303" si="772">S$58</f>
        <v>2.676215166561764E-3</v>
      </c>
      <c r="T303" s="14">
        <f t="shared" si="772"/>
        <v>6.7778250216338808E-3</v>
      </c>
      <c r="U303" s="14">
        <f t="shared" si="772"/>
        <v>4.5359290529395975E-2</v>
      </c>
      <c r="V303" s="14">
        <f t="shared" si="772"/>
        <v>0</v>
      </c>
      <c r="W303" s="14">
        <f t="shared" si="772"/>
        <v>0.27058822771397795</v>
      </c>
      <c r="X303" s="14">
        <f t="shared" si="772"/>
        <v>0</v>
      </c>
      <c r="Y303" s="14">
        <f t="shared" si="772"/>
        <v>0</v>
      </c>
      <c r="Z303" s="14">
        <f t="shared" si="772"/>
        <v>0</v>
      </c>
      <c r="AA303" s="14">
        <f t="shared" si="772"/>
        <v>0</v>
      </c>
      <c r="AB303" s="14">
        <f t="shared" si="772"/>
        <v>7.2651262952682066E-2</v>
      </c>
      <c r="AC303" s="14">
        <f t="shared" si="772"/>
        <v>0.31137572086955634</v>
      </c>
      <c r="AD303" s="14">
        <f t="shared" si="772"/>
        <v>0.11759557901028445</v>
      </c>
      <c r="AE303" s="14">
        <f t="shared" si="772"/>
        <v>0</v>
      </c>
      <c r="AF303" s="14">
        <f t="shared" si="772"/>
        <v>3.9282098320119977E-3</v>
      </c>
      <c r="AG303" s="14">
        <f t="shared" si="772"/>
        <v>0</v>
      </c>
      <c r="AH303" s="14">
        <f t="shared" si="772"/>
        <v>-2.4244162456526846E-19</v>
      </c>
      <c r="AI303" s="76">
        <f t="shared" si="723"/>
        <v>0</v>
      </c>
      <c r="AK303" s="2">
        <f t="shared" si="759"/>
        <v>0</v>
      </c>
      <c r="AL303" s="2">
        <f t="shared" si="760"/>
        <v>0</v>
      </c>
      <c r="AM303" s="2">
        <f t="shared" si="760"/>
        <v>0</v>
      </c>
      <c r="AN303" s="2">
        <f t="shared" si="760"/>
        <v>0</v>
      </c>
      <c r="AO303" s="2">
        <f t="shared" si="760"/>
        <v>0</v>
      </c>
      <c r="AP303" s="2"/>
      <c r="AQ303" s="61" t="str">
        <f>E$1&amp;$A303&amp;"*      """</f>
        <v>E303*      "</v>
      </c>
      <c r="AS303" s="2">
        <f t="shared" si="761"/>
        <v>0</v>
      </c>
      <c r="AT303" s="2">
        <f t="shared" si="762"/>
        <v>0</v>
      </c>
      <c r="AU303" s="2">
        <f t="shared" si="762"/>
        <v>0</v>
      </c>
      <c r="AV303" s="2">
        <f t="shared" si="762"/>
        <v>0</v>
      </c>
      <c r="AW303" s="2">
        <f t="shared" si="762"/>
        <v>0</v>
      </c>
      <c r="AX303" s="2">
        <f t="shared" si="762"/>
        <v>0</v>
      </c>
      <c r="AY303" s="2">
        <f t="shared" si="762"/>
        <v>0</v>
      </c>
      <c r="BA303" s="2">
        <f t="shared" si="763"/>
        <v>0</v>
      </c>
      <c r="BB303" s="2">
        <f t="shared" si="764"/>
        <v>0</v>
      </c>
      <c r="BC303" s="2">
        <f t="shared" si="764"/>
        <v>0</v>
      </c>
      <c r="BD303" s="2">
        <f t="shared" si="764"/>
        <v>0</v>
      </c>
      <c r="BE303" s="2">
        <f t="shared" si="764"/>
        <v>0</v>
      </c>
      <c r="BF303" s="2">
        <f t="shared" si="764"/>
        <v>0</v>
      </c>
      <c r="BG303" s="2">
        <f t="shared" si="764"/>
        <v>0</v>
      </c>
      <c r="BI303" s="2">
        <f t="shared" si="765"/>
        <v>0</v>
      </c>
      <c r="BJ303" s="2">
        <f t="shared" si="766"/>
        <v>0</v>
      </c>
      <c r="BK303" s="2">
        <f t="shared" si="766"/>
        <v>0</v>
      </c>
      <c r="BL303" s="2">
        <f t="shared" si="766"/>
        <v>0</v>
      </c>
      <c r="BM303" s="2">
        <f t="shared" si="766"/>
        <v>0</v>
      </c>
      <c r="BN303" s="2">
        <f t="shared" si="766"/>
        <v>0</v>
      </c>
      <c r="BO303" s="2">
        <f t="shared" si="766"/>
        <v>0</v>
      </c>
      <c r="BQ303" s="28" t="s">
        <v>353</v>
      </c>
      <c r="BR303" s="23">
        <v>0</v>
      </c>
      <c r="BS303" s="14">
        <f>R$58</f>
        <v>0.16904766890389558</v>
      </c>
      <c r="BT303" s="14">
        <f>S$58</f>
        <v>2.676215166561764E-3</v>
      </c>
      <c r="BU303" s="14">
        <f>T$58</f>
        <v>6.7778250216338808E-3</v>
      </c>
      <c r="BV303" s="14">
        <f t="shared" ref="BV303:CI303" si="773">U$58</f>
        <v>4.5359290529395975E-2</v>
      </c>
      <c r="BW303" s="14">
        <f t="shared" si="773"/>
        <v>0</v>
      </c>
      <c r="BX303" s="14">
        <f t="shared" si="773"/>
        <v>0.27058822771397795</v>
      </c>
      <c r="BY303" s="14">
        <f t="shared" si="773"/>
        <v>0</v>
      </c>
      <c r="BZ303" s="14">
        <f t="shared" si="773"/>
        <v>0</v>
      </c>
      <c r="CA303" s="14">
        <f t="shared" si="773"/>
        <v>0</v>
      </c>
      <c r="CB303" s="14">
        <f t="shared" si="773"/>
        <v>0</v>
      </c>
      <c r="CC303" s="14">
        <f t="shared" si="773"/>
        <v>7.2651262952682066E-2</v>
      </c>
      <c r="CD303" s="14">
        <f t="shared" si="773"/>
        <v>0.31137572086955634</v>
      </c>
      <c r="CE303" s="14">
        <f t="shared" si="773"/>
        <v>0.11759557901028445</v>
      </c>
      <c r="CF303" s="14">
        <f t="shared" si="773"/>
        <v>0</v>
      </c>
      <c r="CG303" s="14">
        <f t="shared" si="773"/>
        <v>3.9282098320119977E-3</v>
      </c>
      <c r="CH303" s="14">
        <f t="shared" si="773"/>
        <v>0</v>
      </c>
      <c r="CI303" s="14">
        <f t="shared" si="773"/>
        <v>-2.4244162456526846E-19</v>
      </c>
      <c r="CJ303" s="14"/>
      <c r="CK303" s="112" t="str">
        <f t="shared" si="770"/>
        <v>as Plant in Service (58)</v>
      </c>
      <c r="CL303" s="76">
        <f t="shared" si="674"/>
        <v>0</v>
      </c>
      <c r="CM303" s="2">
        <f t="shared" si="771"/>
        <v>0</v>
      </c>
      <c r="CN303" s="2">
        <f t="shared" si="771"/>
        <v>0</v>
      </c>
      <c r="CO303" s="2">
        <f t="shared" si="771"/>
        <v>0</v>
      </c>
      <c r="CP303" s="2">
        <f t="shared" si="771"/>
        <v>0</v>
      </c>
      <c r="CQ303" s="2">
        <f t="shared" si="771"/>
        <v>0</v>
      </c>
      <c r="CR303" s="2">
        <f t="shared" si="771"/>
        <v>0</v>
      </c>
    </row>
    <row r="304" spans="1:96">
      <c r="A304" s="50">
        <f t="shared" si="651"/>
        <v>304</v>
      </c>
      <c r="C304" s="36" t="s">
        <v>156</v>
      </c>
      <c r="D304" s="28" t="s">
        <v>354</v>
      </c>
      <c r="E304" s="23">
        <v>0</v>
      </c>
      <c r="F304" s="60" t="s">
        <v>450</v>
      </c>
      <c r="G304" s="60"/>
      <c r="H304" s="2">
        <f t="shared" si="756"/>
        <v>0</v>
      </c>
      <c r="I304" s="21">
        <f t="shared" si="757"/>
        <v>0</v>
      </c>
      <c r="J304" s="2">
        <f t="shared" si="757"/>
        <v>0</v>
      </c>
      <c r="K304" s="2">
        <f t="shared" si="757"/>
        <v>0</v>
      </c>
      <c r="L304" s="2">
        <f t="shared" si="757"/>
        <v>0</v>
      </c>
      <c r="M304" s="2">
        <f t="shared" si="757"/>
        <v>0</v>
      </c>
      <c r="N304" s="2">
        <f t="shared" si="757"/>
        <v>0</v>
      </c>
      <c r="O304" s="2"/>
      <c r="P304" s="61" t="str">
        <f>E$1&amp;$A304&amp;"*     """</f>
        <v>E304*     "</v>
      </c>
      <c r="Q304" s="61"/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1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76">
        <f t="shared" si="723"/>
        <v>0</v>
      </c>
      <c r="AK304" s="2">
        <f t="shared" si="759"/>
        <v>0</v>
      </c>
      <c r="AL304" s="2">
        <f t="shared" si="760"/>
        <v>0</v>
      </c>
      <c r="AM304" s="2">
        <f t="shared" si="760"/>
        <v>0</v>
      </c>
      <c r="AN304" s="2">
        <f t="shared" si="760"/>
        <v>0</v>
      </c>
      <c r="AO304" s="2">
        <f t="shared" si="760"/>
        <v>0</v>
      </c>
      <c r="AP304" s="2"/>
      <c r="AQ304" s="61" t="str">
        <f>E$1&amp;$A304&amp;"*      """</f>
        <v>E304*      "</v>
      </c>
      <c r="AS304" s="2">
        <f t="shared" si="761"/>
        <v>0</v>
      </c>
      <c r="AT304" s="2">
        <f t="shared" si="762"/>
        <v>0</v>
      </c>
      <c r="AU304" s="2">
        <f t="shared" si="762"/>
        <v>0</v>
      </c>
      <c r="AV304" s="2">
        <f t="shared" si="762"/>
        <v>0</v>
      </c>
      <c r="AW304" s="2">
        <f t="shared" si="762"/>
        <v>0</v>
      </c>
      <c r="AX304" s="2">
        <f t="shared" si="762"/>
        <v>0</v>
      </c>
      <c r="AY304" s="2">
        <f t="shared" si="762"/>
        <v>0</v>
      </c>
      <c r="BA304" s="2">
        <f t="shared" si="763"/>
        <v>0</v>
      </c>
      <c r="BB304" s="2">
        <f t="shared" si="764"/>
        <v>0</v>
      </c>
      <c r="BC304" s="2">
        <f t="shared" si="764"/>
        <v>0</v>
      </c>
      <c r="BD304" s="2">
        <f t="shared" si="764"/>
        <v>0</v>
      </c>
      <c r="BE304" s="2">
        <f t="shared" si="764"/>
        <v>0</v>
      </c>
      <c r="BF304" s="2">
        <f t="shared" si="764"/>
        <v>0</v>
      </c>
      <c r="BG304" s="2">
        <f t="shared" si="764"/>
        <v>0</v>
      </c>
      <c r="BI304" s="2">
        <f t="shared" si="765"/>
        <v>0</v>
      </c>
      <c r="BJ304" s="2">
        <f t="shared" si="766"/>
        <v>0</v>
      </c>
      <c r="BK304" s="2">
        <f t="shared" si="766"/>
        <v>0</v>
      </c>
      <c r="BL304" s="2">
        <f t="shared" si="766"/>
        <v>0</v>
      </c>
      <c r="BM304" s="2">
        <f t="shared" si="766"/>
        <v>0</v>
      </c>
      <c r="BN304" s="2">
        <f t="shared" si="766"/>
        <v>0</v>
      </c>
      <c r="BO304" s="2">
        <f t="shared" si="766"/>
        <v>0</v>
      </c>
      <c r="BQ304" s="28" t="s">
        <v>354</v>
      </c>
      <c r="BR304" s="23">
        <v>0</v>
      </c>
      <c r="BS304" s="14">
        <f t="shared" ref="BS304:BU305" si="774">R304</f>
        <v>0</v>
      </c>
      <c r="BT304" s="14">
        <f t="shared" si="774"/>
        <v>0</v>
      </c>
      <c r="BU304" s="14">
        <f t="shared" si="774"/>
        <v>0</v>
      </c>
      <c r="BV304" s="14">
        <f t="shared" ref="BV304:CB305" si="775">U304</f>
        <v>0</v>
      </c>
      <c r="BW304" s="14">
        <f t="shared" si="775"/>
        <v>0</v>
      </c>
      <c r="BX304" s="14">
        <f t="shared" si="775"/>
        <v>0</v>
      </c>
      <c r="BY304" s="14">
        <f t="shared" si="775"/>
        <v>0</v>
      </c>
      <c r="BZ304" s="14">
        <f t="shared" si="775"/>
        <v>0</v>
      </c>
      <c r="CA304" s="14">
        <f t="shared" si="775"/>
        <v>0</v>
      </c>
      <c r="CB304" s="14">
        <f t="shared" si="775"/>
        <v>0</v>
      </c>
      <c r="CC304" s="14">
        <f t="shared" ref="CC304:CF305" si="776">AB304</f>
        <v>1</v>
      </c>
      <c r="CD304" s="14">
        <f t="shared" si="776"/>
        <v>0</v>
      </c>
      <c r="CE304" s="14">
        <f t="shared" si="776"/>
        <v>0</v>
      </c>
      <c r="CF304" s="14">
        <f t="shared" si="776"/>
        <v>0</v>
      </c>
      <c r="CG304" s="14">
        <f t="shared" ref="CG304:CI305" si="777">AF304</f>
        <v>0</v>
      </c>
      <c r="CH304" s="14">
        <f t="shared" si="777"/>
        <v>0</v>
      </c>
      <c r="CI304" s="14">
        <f t="shared" si="777"/>
        <v>0</v>
      </c>
      <c r="CJ304" s="14"/>
      <c r="CK304" s="112" t="str">
        <f t="shared" si="770"/>
        <v>Input - 100% Cust</v>
      </c>
      <c r="CL304" s="76">
        <f t="shared" si="674"/>
        <v>0</v>
      </c>
      <c r="CM304" s="2">
        <f t="shared" si="771"/>
        <v>0</v>
      </c>
      <c r="CN304" s="2">
        <f t="shared" si="771"/>
        <v>0</v>
      </c>
      <c r="CO304" s="2">
        <f t="shared" si="771"/>
        <v>0</v>
      </c>
      <c r="CP304" s="2">
        <f t="shared" si="771"/>
        <v>0</v>
      </c>
      <c r="CQ304" s="2">
        <f t="shared" si="771"/>
        <v>0</v>
      </c>
      <c r="CR304" s="2">
        <f t="shared" si="771"/>
        <v>0</v>
      </c>
    </row>
    <row r="305" spans="1:96">
      <c r="A305" s="50">
        <f t="shared" si="651"/>
        <v>305</v>
      </c>
      <c r="C305" s="36" t="s">
        <v>155</v>
      </c>
      <c r="D305" s="28" t="s">
        <v>350</v>
      </c>
      <c r="E305" s="23">
        <v>0</v>
      </c>
      <c r="F305" s="60" t="s">
        <v>451</v>
      </c>
      <c r="G305" s="60"/>
      <c r="H305" s="2">
        <f t="shared" si="756"/>
        <v>0</v>
      </c>
      <c r="I305" s="21">
        <f t="shared" si="757"/>
        <v>0</v>
      </c>
      <c r="J305" s="2">
        <f t="shared" si="757"/>
        <v>0</v>
      </c>
      <c r="K305" s="2">
        <f t="shared" si="757"/>
        <v>0</v>
      </c>
      <c r="L305" s="2">
        <f t="shared" si="757"/>
        <v>0</v>
      </c>
      <c r="M305" s="2">
        <f t="shared" si="757"/>
        <v>0</v>
      </c>
      <c r="N305" s="2">
        <f t="shared" si="757"/>
        <v>0</v>
      </c>
      <c r="O305" s="2"/>
      <c r="P305" s="61" t="str">
        <f>E$1&amp;$A305&amp;"*     """</f>
        <v>E305*     "</v>
      </c>
      <c r="Q305" s="61"/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</v>
      </c>
      <c r="AI305" s="76">
        <f t="shared" si="723"/>
        <v>0</v>
      </c>
      <c r="AK305" s="2">
        <f t="shared" si="759"/>
        <v>0</v>
      </c>
      <c r="AL305" s="2">
        <f t="shared" si="760"/>
        <v>0</v>
      </c>
      <c r="AM305" s="2">
        <f t="shared" si="760"/>
        <v>0</v>
      </c>
      <c r="AN305" s="2">
        <f t="shared" si="760"/>
        <v>0</v>
      </c>
      <c r="AO305" s="2">
        <f t="shared" si="760"/>
        <v>0</v>
      </c>
      <c r="AP305" s="2"/>
      <c r="AQ305" s="61" t="str">
        <f>E$1&amp;$A305&amp;"*      """</f>
        <v>E305*      "</v>
      </c>
      <c r="AS305" s="2">
        <f t="shared" si="761"/>
        <v>0</v>
      </c>
      <c r="AT305" s="2">
        <f t="shared" si="762"/>
        <v>0</v>
      </c>
      <c r="AU305" s="2">
        <f t="shared" si="762"/>
        <v>0</v>
      </c>
      <c r="AV305" s="2">
        <f t="shared" si="762"/>
        <v>0</v>
      </c>
      <c r="AW305" s="2">
        <f t="shared" si="762"/>
        <v>0</v>
      </c>
      <c r="AX305" s="2">
        <f t="shared" si="762"/>
        <v>0</v>
      </c>
      <c r="AY305" s="2">
        <f t="shared" si="762"/>
        <v>0</v>
      </c>
      <c r="BA305" s="2">
        <f t="shared" si="763"/>
        <v>0</v>
      </c>
      <c r="BB305" s="2">
        <f t="shared" si="764"/>
        <v>0</v>
      </c>
      <c r="BC305" s="2">
        <f t="shared" si="764"/>
        <v>0</v>
      </c>
      <c r="BD305" s="2">
        <f t="shared" si="764"/>
        <v>0</v>
      </c>
      <c r="BE305" s="2">
        <f t="shared" si="764"/>
        <v>0</v>
      </c>
      <c r="BF305" s="2">
        <f t="shared" si="764"/>
        <v>0</v>
      </c>
      <c r="BG305" s="2">
        <f t="shared" si="764"/>
        <v>0</v>
      </c>
      <c r="BI305" s="2">
        <f t="shared" si="765"/>
        <v>0</v>
      </c>
      <c r="BJ305" s="2">
        <f t="shared" si="766"/>
        <v>0</v>
      </c>
      <c r="BK305" s="2">
        <f t="shared" si="766"/>
        <v>0</v>
      </c>
      <c r="BL305" s="2">
        <f t="shared" si="766"/>
        <v>0</v>
      </c>
      <c r="BM305" s="2">
        <f t="shared" si="766"/>
        <v>0</v>
      </c>
      <c r="BN305" s="2">
        <f t="shared" si="766"/>
        <v>0</v>
      </c>
      <c r="BO305" s="2">
        <f t="shared" si="766"/>
        <v>0</v>
      </c>
      <c r="BQ305" s="28" t="s">
        <v>350</v>
      </c>
      <c r="BR305" s="23">
        <v>0</v>
      </c>
      <c r="BS305" s="14">
        <f t="shared" si="774"/>
        <v>0</v>
      </c>
      <c r="BT305" s="14">
        <f t="shared" si="774"/>
        <v>0</v>
      </c>
      <c r="BU305" s="14">
        <f t="shared" si="774"/>
        <v>0</v>
      </c>
      <c r="BV305" s="14">
        <f t="shared" si="775"/>
        <v>0</v>
      </c>
      <c r="BW305" s="14">
        <f t="shared" si="775"/>
        <v>0</v>
      </c>
      <c r="BX305" s="14">
        <f t="shared" si="775"/>
        <v>0</v>
      </c>
      <c r="BY305" s="14">
        <f t="shared" si="775"/>
        <v>0</v>
      </c>
      <c r="BZ305" s="14">
        <f t="shared" si="775"/>
        <v>0</v>
      </c>
      <c r="CA305" s="14">
        <f t="shared" si="775"/>
        <v>0</v>
      </c>
      <c r="CB305" s="14">
        <f t="shared" si="775"/>
        <v>0</v>
      </c>
      <c r="CC305" s="14">
        <f t="shared" si="776"/>
        <v>0</v>
      </c>
      <c r="CD305" s="14">
        <f t="shared" si="776"/>
        <v>0</v>
      </c>
      <c r="CE305" s="14">
        <f t="shared" si="776"/>
        <v>0</v>
      </c>
      <c r="CF305" s="14">
        <f t="shared" si="776"/>
        <v>0</v>
      </c>
      <c r="CG305" s="14">
        <f t="shared" si="777"/>
        <v>0</v>
      </c>
      <c r="CH305" s="14">
        <f t="shared" si="777"/>
        <v>0</v>
      </c>
      <c r="CI305" s="14">
        <f t="shared" si="777"/>
        <v>1</v>
      </c>
      <c r="CJ305" s="14"/>
      <c r="CK305" s="112" t="str">
        <f t="shared" si="770"/>
        <v>Input - 100% Rev</v>
      </c>
      <c r="CL305" s="76">
        <f t="shared" si="674"/>
        <v>0</v>
      </c>
      <c r="CM305" s="2">
        <f t="shared" si="771"/>
        <v>0</v>
      </c>
      <c r="CN305" s="2">
        <f t="shared" si="771"/>
        <v>0</v>
      </c>
      <c r="CO305" s="2">
        <f t="shared" si="771"/>
        <v>0</v>
      </c>
      <c r="CP305" s="2">
        <f t="shared" si="771"/>
        <v>0</v>
      </c>
      <c r="CQ305" s="2">
        <f t="shared" si="771"/>
        <v>0</v>
      </c>
      <c r="CR305" s="2">
        <f t="shared" si="771"/>
        <v>0</v>
      </c>
    </row>
    <row r="306" spans="1:96">
      <c r="A306" s="50">
        <f t="shared" si="651"/>
        <v>306</v>
      </c>
      <c r="C306" s="36" t="s">
        <v>151</v>
      </c>
      <c r="D306" s="28" t="s">
        <v>355</v>
      </c>
      <c r="E306" s="373">
        <f>PROFORMA!AY134</f>
        <v>7002000</v>
      </c>
      <c r="F306" s="60" t="str">
        <f>"as Labor O&amp;M Exp. ("&amp;BS$1&amp;A$344&amp;")"</f>
        <v>as Labor O&amp;M Exp. (BS344)</v>
      </c>
      <c r="G306" s="60"/>
      <c r="H306" s="2">
        <f t="shared" si="756"/>
        <v>7002000.3304439541</v>
      </c>
      <c r="I306" s="21">
        <f t="shared" ref="I306:N306" si="778">$E306*CM$344/$BR$344</f>
        <v>5853518.0273445118</v>
      </c>
      <c r="J306" s="21">
        <f t="shared" si="778"/>
        <v>922200.2365558343</v>
      </c>
      <c r="K306" s="21">
        <f t="shared" si="778"/>
        <v>0</v>
      </c>
      <c r="L306" s="21">
        <f t="shared" si="778"/>
        <v>22442.428649285332</v>
      </c>
      <c r="M306" s="21">
        <f t="shared" si="778"/>
        <v>203839.63789432353</v>
      </c>
      <c r="N306" s="21">
        <f t="shared" si="778"/>
        <v>0</v>
      </c>
      <c r="O306" s="2"/>
      <c r="P306" s="61" t="str">
        <f>E$1&amp;$A306&amp;"* "&amp;CM$1&amp;A$344&amp;" / "&amp;BR$1&amp;A$344</f>
        <v>E306* CM344 / BR344</v>
      </c>
      <c r="Q306" s="61"/>
      <c r="R306" s="14">
        <f>BS$344</f>
        <v>0.10913184265939331</v>
      </c>
      <c r="S306" s="14">
        <f>BT$344</f>
        <v>3.3021876247189427E-2</v>
      </c>
      <c r="T306" s="14">
        <f t="shared" ref="T306:AH306" si="779">BU$344</f>
        <v>2.9366713079939091E-3</v>
      </c>
      <c r="U306" s="14">
        <f t="shared" si="779"/>
        <v>1.9653107984266921E-2</v>
      </c>
      <c r="V306" s="14">
        <f t="shared" si="779"/>
        <v>0</v>
      </c>
      <c r="W306" s="14">
        <f t="shared" si="779"/>
        <v>0.16142462055819431</v>
      </c>
      <c r="X306" s="14">
        <f t="shared" si="779"/>
        <v>0</v>
      </c>
      <c r="Y306" s="14">
        <f t="shared" si="779"/>
        <v>0</v>
      </c>
      <c r="Z306" s="14">
        <f t="shared" si="779"/>
        <v>0</v>
      </c>
      <c r="AA306" s="14">
        <f t="shared" si="779"/>
        <v>0</v>
      </c>
      <c r="AB306" s="14">
        <f t="shared" si="779"/>
        <v>0.37507244202834572</v>
      </c>
      <c r="AC306" s="14">
        <f t="shared" si="779"/>
        <v>0.18309838925091035</v>
      </c>
      <c r="AD306" s="14">
        <f t="shared" si="779"/>
        <v>0.11390268710509913</v>
      </c>
      <c r="AE306" s="14">
        <f t="shared" si="779"/>
        <v>0</v>
      </c>
      <c r="AF306" s="14">
        <f t="shared" si="779"/>
        <v>1.7583628586068862E-3</v>
      </c>
      <c r="AG306" s="14">
        <f t="shared" si="779"/>
        <v>0</v>
      </c>
      <c r="AH306" s="14">
        <f t="shared" si="779"/>
        <v>-4.5942138576433119E-19</v>
      </c>
      <c r="AI306" s="76">
        <f t="shared" si="723"/>
        <v>0</v>
      </c>
      <c r="AK306" s="2">
        <f t="shared" si="759"/>
        <v>7001999.9999999991</v>
      </c>
      <c r="AL306" s="2">
        <f t="shared" si="760"/>
        <v>1153533.9743883028</v>
      </c>
      <c r="AM306" s="2">
        <f t="shared" si="760"/>
        <v>1130295.1931484765</v>
      </c>
      <c r="AN306" s="2">
        <f t="shared" si="760"/>
        <v>4718170.8324632198</v>
      </c>
      <c r="AO306" s="2">
        <f t="shared" si="760"/>
        <v>-3.2168685431218468E-12</v>
      </c>
      <c r="AP306" s="2"/>
      <c r="AQ306" s="61" t="str">
        <f>E$1&amp;$A306&amp;"*      """</f>
        <v>E306*      "</v>
      </c>
      <c r="AS306" s="2">
        <f t="shared" si="761"/>
        <v>1153533.9743883028</v>
      </c>
      <c r="AT306" s="2">
        <f t="shared" si="762"/>
        <v>705584.42304694606</v>
      </c>
      <c r="AU306" s="2">
        <f t="shared" si="762"/>
        <v>329265.41998361691</v>
      </c>
      <c r="AV306" s="2">
        <f t="shared" si="762"/>
        <v>0</v>
      </c>
      <c r="AW306" s="2">
        <f t="shared" si="762"/>
        <v>12872.466983532868</v>
      </c>
      <c r="AX306" s="2">
        <f t="shared" si="762"/>
        <v>105811.6643742069</v>
      </c>
      <c r="AY306" s="2">
        <f t="shared" si="762"/>
        <v>0</v>
      </c>
      <c r="BA306" s="2">
        <f t="shared" si="763"/>
        <v>1130295.1931484765</v>
      </c>
      <c r="BB306" s="2">
        <f t="shared" si="764"/>
        <v>639014.05024706572</v>
      </c>
      <c r="BC306" s="2">
        <f t="shared" si="764"/>
        <v>394368.65527297958</v>
      </c>
      <c r="BD306" s="2">
        <f t="shared" si="764"/>
        <v>0</v>
      </c>
      <c r="BE306" s="2">
        <f t="shared" si="764"/>
        <v>8497.3331733605155</v>
      </c>
      <c r="BF306" s="2">
        <f t="shared" si="764"/>
        <v>88415.15445507066</v>
      </c>
      <c r="BG306" s="2">
        <f t="shared" si="764"/>
        <v>0</v>
      </c>
      <c r="BI306" s="2">
        <f t="shared" si="765"/>
        <v>4718170.8324632207</v>
      </c>
      <c r="BJ306" s="2">
        <f t="shared" si="766"/>
        <v>4508919.2236065455</v>
      </c>
      <c r="BK306" s="2">
        <f t="shared" si="766"/>
        <v>198566.16129923792</v>
      </c>
      <c r="BL306" s="2">
        <f t="shared" si="766"/>
        <v>0</v>
      </c>
      <c r="BM306" s="2">
        <f t="shared" si="766"/>
        <v>1072.6284923919497</v>
      </c>
      <c r="BN306" s="2">
        <f t="shared" si="766"/>
        <v>9612.8190650460147</v>
      </c>
      <c r="BO306" s="2">
        <f t="shared" si="766"/>
        <v>0</v>
      </c>
      <c r="BQ306" s="28" t="s">
        <v>355</v>
      </c>
      <c r="BR306" s="23">
        <v>0</v>
      </c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112" t="str">
        <f t="shared" si="770"/>
        <v>as Labor O&amp;M Exp. (BS344)</v>
      </c>
      <c r="CL306" s="76">
        <f t="shared" ref="CL306:CL337" si="780">IF(SUM(BS306:CI306)&lt;&gt;0,(ROUND(SUM(BS306:CI306),4)&lt;&gt;1)+0,0)</f>
        <v>0</v>
      </c>
      <c r="CM306" s="2"/>
      <c r="CN306" s="2"/>
      <c r="CO306" s="2"/>
      <c r="CP306" s="2"/>
      <c r="CQ306" s="2"/>
      <c r="CR306" s="2"/>
    </row>
    <row r="307" spans="1:96">
      <c r="A307" s="50">
        <f t="shared" si="651"/>
        <v>307</v>
      </c>
      <c r="B307" t="s">
        <v>55</v>
      </c>
      <c r="D307" t="s">
        <v>56</v>
      </c>
      <c r="E307" s="2"/>
      <c r="F307" s="60"/>
      <c r="G307" s="60"/>
      <c r="P307" s="61"/>
      <c r="Q307" s="61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76">
        <f t="shared" si="723"/>
        <v>0</v>
      </c>
      <c r="AQ307" s="61"/>
      <c r="BQ307" t="s">
        <v>56</v>
      </c>
      <c r="CK307" s="112"/>
      <c r="CL307" s="76">
        <f t="shared" si="780"/>
        <v>0</v>
      </c>
    </row>
    <row r="308" spans="1:96">
      <c r="A308" s="50">
        <f t="shared" si="651"/>
        <v>308</v>
      </c>
      <c r="C308" s="36" t="s">
        <v>151</v>
      </c>
      <c r="D308" s="56" t="s">
        <v>147</v>
      </c>
      <c r="E308" s="23">
        <v>0</v>
      </c>
      <c r="F308" s="61" t="s">
        <v>996</v>
      </c>
      <c r="G308" s="60"/>
      <c r="H308" s="2">
        <f t="shared" ref="H308:H313" si="781">SUM(I308:N308)</f>
        <v>0</v>
      </c>
      <c r="I308" s="2">
        <f t="shared" ref="I308:N312" si="782">$E308*SUMPRODUCT($R308:$AH308,INDEX(AllocFactors,I$4,0))</f>
        <v>0</v>
      </c>
      <c r="J308" s="2">
        <f t="shared" si="782"/>
        <v>0</v>
      </c>
      <c r="K308" s="2">
        <f t="shared" si="782"/>
        <v>0</v>
      </c>
      <c r="L308" s="2">
        <f t="shared" si="782"/>
        <v>0</v>
      </c>
      <c r="M308" s="2">
        <f t="shared" si="782"/>
        <v>0</v>
      </c>
      <c r="N308" s="2">
        <f t="shared" si="782"/>
        <v>0</v>
      </c>
      <c r="O308" s="2"/>
      <c r="P308" s="61" t="s">
        <v>997</v>
      </c>
      <c r="Q308" s="61"/>
      <c r="R308" s="14">
        <f>R$259</f>
        <v>9.9370957155623774E-2</v>
      </c>
      <c r="S308" s="14">
        <f t="shared" ref="S308:AH308" si="783">S$259</f>
        <v>1.5218388550417537E-2</v>
      </c>
      <c r="T308" s="14">
        <f t="shared" si="783"/>
        <v>8.699877677308605E-3</v>
      </c>
      <c r="U308" s="14">
        <f t="shared" si="783"/>
        <v>5.822225830198835E-2</v>
      </c>
      <c r="V308" s="14">
        <f t="shared" si="783"/>
        <v>0</v>
      </c>
      <c r="W308" s="14">
        <f t="shared" si="783"/>
        <v>0.15327818313927072</v>
      </c>
      <c r="X308" s="14">
        <f t="shared" si="783"/>
        <v>0</v>
      </c>
      <c r="Y308" s="14">
        <f t="shared" si="783"/>
        <v>0</v>
      </c>
      <c r="Z308" s="14">
        <f t="shared" si="783"/>
        <v>0</v>
      </c>
      <c r="AA308" s="14">
        <f t="shared" si="783"/>
        <v>0</v>
      </c>
      <c r="AB308" s="14">
        <f t="shared" si="783"/>
        <v>0.41313387731559803</v>
      </c>
      <c r="AC308" s="14">
        <f t="shared" si="783"/>
        <v>0.17108548237195526</v>
      </c>
      <c r="AD308" s="14">
        <f t="shared" si="783"/>
        <v>7.9473703927617212E-2</v>
      </c>
      <c r="AE308" s="14">
        <f t="shared" si="783"/>
        <v>0</v>
      </c>
      <c r="AF308" s="14">
        <f t="shared" si="783"/>
        <v>1.5172715602204624E-3</v>
      </c>
      <c r="AG308" s="14">
        <f t="shared" si="783"/>
        <v>0</v>
      </c>
      <c r="AH308" s="14">
        <f t="shared" si="783"/>
        <v>-1.4146429571039994E-18</v>
      </c>
      <c r="AI308" s="76">
        <f t="shared" si="723"/>
        <v>0</v>
      </c>
      <c r="AK308" s="2">
        <f t="shared" ref="AK308:AK313" si="784">SUM(AL308:AO308)</f>
        <v>0</v>
      </c>
      <c r="AL308" s="2">
        <f t="shared" ref="AL308:AO313" si="785">SUMIF($R$4:$AH$4,AL$5,$R308:$AH308)*$E308</f>
        <v>0</v>
      </c>
      <c r="AM308" s="2">
        <f t="shared" si="785"/>
        <v>0</v>
      </c>
      <c r="AN308" s="2">
        <f t="shared" si="785"/>
        <v>0</v>
      </c>
      <c r="AO308" s="2">
        <f t="shared" si="785"/>
        <v>0</v>
      </c>
      <c r="AP308" s="2"/>
      <c r="AQ308" s="61" t="str">
        <f>E$1&amp;$A308&amp;"*["&amp;R$1&amp;$A308&amp;":"&amp;$AH$1&amp;$A308&amp;" when "&amp;R$1&amp;$A$4&amp;":"&amp;$AH$1&amp;$A$4&amp;" = E,D,C,or R]"</f>
        <v>E308*[R308:AH308 when R4:AH4 = E,D,C,or R]</v>
      </c>
      <c r="AS308" s="2">
        <f t="shared" ref="AS308:AS313" si="786">SUM(AT308:AY308)</f>
        <v>0</v>
      </c>
      <c r="AT308" s="2">
        <f t="shared" ref="AT308:AY313" si="787">$E308*SUMPRODUCT($R308:$V308,INDEX(AllocFactors_E,AT$4,0))</f>
        <v>0</v>
      </c>
      <c r="AU308" s="2">
        <f t="shared" si="787"/>
        <v>0</v>
      </c>
      <c r="AV308" s="2">
        <f t="shared" si="787"/>
        <v>0</v>
      </c>
      <c r="AW308" s="2">
        <f t="shared" si="787"/>
        <v>0</v>
      </c>
      <c r="AX308" s="2">
        <f t="shared" si="787"/>
        <v>0</v>
      </c>
      <c r="AY308" s="2">
        <f t="shared" si="787"/>
        <v>0</v>
      </c>
      <c r="BA308" s="2">
        <f t="shared" ref="BA308:BA313" si="788">SUM(BB308:BG308)</f>
        <v>0</v>
      </c>
      <c r="BB308" s="2">
        <f t="shared" ref="BB308:BG313" si="789">$E308*SUMPRODUCT($W308:$AA308,INDEX(AllocFactors_D,BB$4,0))</f>
        <v>0</v>
      </c>
      <c r="BC308" s="2">
        <f t="shared" si="789"/>
        <v>0</v>
      </c>
      <c r="BD308" s="2">
        <f t="shared" si="789"/>
        <v>0</v>
      </c>
      <c r="BE308" s="2">
        <f t="shared" si="789"/>
        <v>0</v>
      </c>
      <c r="BF308" s="2">
        <f t="shared" si="789"/>
        <v>0</v>
      </c>
      <c r="BG308" s="2">
        <f t="shared" si="789"/>
        <v>0</v>
      </c>
      <c r="BI308" s="2">
        <f t="shared" ref="BI308:BI313" si="790">SUM(BJ308:BO308)</f>
        <v>0</v>
      </c>
      <c r="BJ308" s="2">
        <f t="shared" ref="BJ308:BO313" si="791">$E308*SUMPRODUCT($AB308:$AG308,INDEX(AllocFactors_C,BJ$4,0))</f>
        <v>0</v>
      </c>
      <c r="BK308" s="2">
        <f t="shared" si="791"/>
        <v>0</v>
      </c>
      <c r="BL308" s="2">
        <f t="shared" si="791"/>
        <v>0</v>
      </c>
      <c r="BM308" s="2">
        <f t="shared" si="791"/>
        <v>0</v>
      </c>
      <c r="BN308" s="2">
        <f t="shared" si="791"/>
        <v>0</v>
      </c>
      <c r="BO308" s="2">
        <f t="shared" si="791"/>
        <v>0</v>
      </c>
      <c r="BQ308" s="28" t="s">
        <v>351</v>
      </c>
      <c r="BR308" s="23">
        <v>0</v>
      </c>
      <c r="BS308" s="14">
        <f t="shared" ref="BS308:BU309" si="792">R308</f>
        <v>9.9370957155623774E-2</v>
      </c>
      <c r="BT308" s="14">
        <f t="shared" si="792"/>
        <v>1.5218388550417537E-2</v>
      </c>
      <c r="BU308" s="14">
        <f t="shared" si="792"/>
        <v>8.699877677308605E-3</v>
      </c>
      <c r="BV308" s="14">
        <f t="shared" ref="BV308:CB309" si="793">U308</f>
        <v>5.822225830198835E-2</v>
      </c>
      <c r="BW308" s="14">
        <f t="shared" si="793"/>
        <v>0</v>
      </c>
      <c r="BX308" s="14">
        <f t="shared" si="793"/>
        <v>0.15327818313927072</v>
      </c>
      <c r="BY308" s="14">
        <f t="shared" si="793"/>
        <v>0</v>
      </c>
      <c r="BZ308" s="14">
        <f t="shared" si="793"/>
        <v>0</v>
      </c>
      <c r="CA308" s="14">
        <f t="shared" si="793"/>
        <v>0</v>
      </c>
      <c r="CB308" s="14">
        <f t="shared" si="793"/>
        <v>0</v>
      </c>
      <c r="CC308" s="14">
        <f t="shared" ref="CC308:CI309" si="794">AB308</f>
        <v>0.41313387731559803</v>
      </c>
      <c r="CD308" s="14">
        <f t="shared" si="794"/>
        <v>0.17108548237195526</v>
      </c>
      <c r="CE308" s="14">
        <f t="shared" si="794"/>
        <v>7.9473703927617212E-2</v>
      </c>
      <c r="CF308" s="14">
        <f t="shared" si="794"/>
        <v>0</v>
      </c>
      <c r="CG308" s="14">
        <f t="shared" si="794"/>
        <v>1.5172715602204624E-3</v>
      </c>
      <c r="CH308" s="14">
        <f t="shared" si="794"/>
        <v>0</v>
      </c>
      <c r="CI308" s="14">
        <f t="shared" si="794"/>
        <v>-1.4146429571039994E-18</v>
      </c>
      <c r="CJ308" s="14"/>
      <c r="CK308" s="112" t="str">
        <f t="shared" ref="CK308:CK313" si="795">F308</f>
        <v>4-Factor</v>
      </c>
      <c r="CL308" s="76">
        <f t="shared" si="780"/>
        <v>0</v>
      </c>
      <c r="CM308" s="2">
        <f t="shared" ref="CM308:CR312" si="796">$BR308*SUMPRODUCT($BS308:$CI308,INDEX(AllocFactors,CM$172,0))</f>
        <v>0</v>
      </c>
      <c r="CN308" s="2">
        <f t="shared" si="796"/>
        <v>0</v>
      </c>
      <c r="CO308" s="2">
        <f t="shared" si="796"/>
        <v>0</v>
      </c>
      <c r="CP308" s="2">
        <f t="shared" si="796"/>
        <v>0</v>
      </c>
      <c r="CQ308" s="2">
        <f t="shared" si="796"/>
        <v>0</v>
      </c>
      <c r="CR308" s="2">
        <f t="shared" si="796"/>
        <v>0</v>
      </c>
    </row>
    <row r="309" spans="1:96">
      <c r="A309" s="50">
        <f t="shared" si="651"/>
        <v>309</v>
      </c>
      <c r="C309" s="36" t="s">
        <v>151</v>
      </c>
      <c r="D309" s="56" t="s">
        <v>352</v>
      </c>
      <c r="E309" s="23">
        <v>0</v>
      </c>
      <c r="F309" s="442" t="s">
        <v>444</v>
      </c>
      <c r="G309" s="60"/>
      <c r="H309" s="2">
        <f t="shared" si="781"/>
        <v>0</v>
      </c>
      <c r="I309" s="2">
        <f t="shared" si="782"/>
        <v>0</v>
      </c>
      <c r="J309" s="2">
        <f t="shared" si="782"/>
        <v>0</v>
      </c>
      <c r="K309" s="2">
        <f t="shared" si="782"/>
        <v>0</v>
      </c>
      <c r="L309" s="2">
        <f t="shared" si="782"/>
        <v>0</v>
      </c>
      <c r="M309" s="2">
        <f t="shared" si="782"/>
        <v>0</v>
      </c>
      <c r="N309" s="2">
        <f t="shared" si="782"/>
        <v>0</v>
      </c>
      <c r="O309" s="2"/>
      <c r="P309" s="61" t="str">
        <f>E$1&amp;$A309&amp;"*     """</f>
        <v>E309*     "</v>
      </c>
      <c r="Q309" s="61"/>
      <c r="R309" s="441">
        <v>1</v>
      </c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76">
        <f t="shared" si="723"/>
        <v>0</v>
      </c>
      <c r="AK309" s="2">
        <f t="shared" si="784"/>
        <v>0</v>
      </c>
      <c r="AL309" s="2">
        <f t="shared" si="785"/>
        <v>0</v>
      </c>
      <c r="AM309" s="2">
        <f t="shared" si="785"/>
        <v>0</v>
      </c>
      <c r="AN309" s="2">
        <f t="shared" si="785"/>
        <v>0</v>
      </c>
      <c r="AO309" s="2">
        <f t="shared" si="785"/>
        <v>0</v>
      </c>
      <c r="AP309" s="2"/>
      <c r="AQ309" s="61" t="str">
        <f>E$1&amp;$A309&amp;"*      """</f>
        <v>E309*      "</v>
      </c>
      <c r="AS309" s="2">
        <f t="shared" si="786"/>
        <v>0</v>
      </c>
      <c r="AT309" s="2">
        <f t="shared" si="787"/>
        <v>0</v>
      </c>
      <c r="AU309" s="2">
        <f t="shared" si="787"/>
        <v>0</v>
      </c>
      <c r="AV309" s="2">
        <f t="shared" si="787"/>
        <v>0</v>
      </c>
      <c r="AW309" s="2">
        <f t="shared" si="787"/>
        <v>0</v>
      </c>
      <c r="AX309" s="2">
        <f t="shared" si="787"/>
        <v>0</v>
      </c>
      <c r="AY309" s="2">
        <f t="shared" si="787"/>
        <v>0</v>
      </c>
      <c r="BA309" s="2">
        <f t="shared" si="788"/>
        <v>0</v>
      </c>
      <c r="BB309" s="2">
        <f t="shared" si="789"/>
        <v>0</v>
      </c>
      <c r="BC309" s="2">
        <f t="shared" si="789"/>
        <v>0</v>
      </c>
      <c r="BD309" s="2">
        <f t="shared" si="789"/>
        <v>0</v>
      </c>
      <c r="BE309" s="2">
        <f t="shared" si="789"/>
        <v>0</v>
      </c>
      <c r="BF309" s="2">
        <f t="shared" si="789"/>
        <v>0</v>
      </c>
      <c r="BG309" s="2">
        <f t="shared" si="789"/>
        <v>0</v>
      </c>
      <c r="BI309" s="2">
        <f t="shared" si="790"/>
        <v>0</v>
      </c>
      <c r="BJ309" s="2">
        <f t="shared" si="791"/>
        <v>0</v>
      </c>
      <c r="BK309" s="2">
        <f t="shared" si="791"/>
        <v>0</v>
      </c>
      <c r="BL309" s="2">
        <f t="shared" si="791"/>
        <v>0</v>
      </c>
      <c r="BM309" s="2">
        <f t="shared" si="791"/>
        <v>0</v>
      </c>
      <c r="BN309" s="2">
        <f t="shared" si="791"/>
        <v>0</v>
      </c>
      <c r="BO309" s="2">
        <f t="shared" si="791"/>
        <v>0</v>
      </c>
      <c r="BQ309" s="28" t="s">
        <v>352</v>
      </c>
      <c r="BR309" s="23">
        <v>0</v>
      </c>
      <c r="BS309" s="14">
        <f t="shared" si="792"/>
        <v>1</v>
      </c>
      <c r="BT309" s="14">
        <f t="shared" si="792"/>
        <v>0</v>
      </c>
      <c r="BU309" s="14">
        <f t="shared" si="792"/>
        <v>0</v>
      </c>
      <c r="BV309" s="14">
        <f t="shared" si="793"/>
        <v>0</v>
      </c>
      <c r="BW309" s="14">
        <f t="shared" si="793"/>
        <v>0</v>
      </c>
      <c r="BX309" s="14">
        <f t="shared" si="793"/>
        <v>0</v>
      </c>
      <c r="BY309" s="14">
        <f t="shared" si="793"/>
        <v>0</v>
      </c>
      <c r="BZ309" s="14">
        <f t="shared" si="793"/>
        <v>0</v>
      </c>
      <c r="CA309" s="14">
        <f t="shared" si="793"/>
        <v>0</v>
      </c>
      <c r="CB309" s="14">
        <f t="shared" si="793"/>
        <v>0</v>
      </c>
      <c r="CC309" s="14">
        <f t="shared" si="794"/>
        <v>0</v>
      </c>
      <c r="CD309" s="14">
        <f t="shared" si="794"/>
        <v>0</v>
      </c>
      <c r="CE309" s="14">
        <f t="shared" si="794"/>
        <v>0</v>
      </c>
      <c r="CF309" s="14">
        <f t="shared" si="794"/>
        <v>0</v>
      </c>
      <c r="CG309" s="14">
        <f t="shared" si="794"/>
        <v>0</v>
      </c>
      <c r="CH309" s="14">
        <f t="shared" si="794"/>
        <v>0</v>
      </c>
      <c r="CI309" s="14">
        <f t="shared" si="794"/>
        <v>0</v>
      </c>
      <c r="CJ309" s="14"/>
      <c r="CK309" s="112" t="str">
        <f t="shared" si="795"/>
        <v>Input - 100% Throughput</v>
      </c>
      <c r="CL309" s="76">
        <f t="shared" si="780"/>
        <v>0</v>
      </c>
      <c r="CM309" s="2">
        <f t="shared" si="796"/>
        <v>0</v>
      </c>
      <c r="CN309" s="2">
        <f t="shared" si="796"/>
        <v>0</v>
      </c>
      <c r="CO309" s="2">
        <f t="shared" si="796"/>
        <v>0</v>
      </c>
      <c r="CP309" s="2">
        <f t="shared" si="796"/>
        <v>0</v>
      </c>
      <c r="CQ309" s="2">
        <f t="shared" si="796"/>
        <v>0</v>
      </c>
      <c r="CR309" s="2">
        <f t="shared" si="796"/>
        <v>0</v>
      </c>
    </row>
    <row r="310" spans="1:96">
      <c r="A310" s="50">
        <f t="shared" si="651"/>
        <v>310</v>
      </c>
      <c r="C310" s="36" t="s">
        <v>151</v>
      </c>
      <c r="D310" s="28" t="s">
        <v>353</v>
      </c>
      <c r="E310" s="373">
        <f>PROFORMA!AY135</f>
        <v>0</v>
      </c>
      <c r="F310" s="60" t="str">
        <f>"as Plant in Service ("&amp;A$58&amp;")"</f>
        <v>as Plant in Service (58)</v>
      </c>
      <c r="G310" s="60"/>
      <c r="H310" s="2">
        <f t="shared" si="781"/>
        <v>0</v>
      </c>
      <c r="I310" s="2">
        <f t="shared" si="782"/>
        <v>0</v>
      </c>
      <c r="J310" s="2">
        <f t="shared" si="782"/>
        <v>0</v>
      </c>
      <c r="K310" s="2">
        <f t="shared" si="782"/>
        <v>0</v>
      </c>
      <c r="L310" s="2">
        <f t="shared" si="782"/>
        <v>0</v>
      </c>
      <c r="M310" s="2">
        <f t="shared" si="782"/>
        <v>0</v>
      </c>
      <c r="N310" s="2">
        <f t="shared" si="782"/>
        <v>0</v>
      </c>
      <c r="O310" s="2"/>
      <c r="P310" s="61" t="str">
        <f>E$1&amp;$A310&amp;"*     """</f>
        <v>E310*     "</v>
      </c>
      <c r="Q310" s="61"/>
      <c r="R310" s="14">
        <f>R$58</f>
        <v>0.16904766890389558</v>
      </c>
      <c r="S310" s="14">
        <f t="shared" ref="S310:AH310" si="797">S$58</f>
        <v>2.676215166561764E-3</v>
      </c>
      <c r="T310" s="14">
        <f t="shared" si="797"/>
        <v>6.7778250216338808E-3</v>
      </c>
      <c r="U310" s="14">
        <f t="shared" si="797"/>
        <v>4.5359290529395975E-2</v>
      </c>
      <c r="V310" s="14">
        <f t="shared" si="797"/>
        <v>0</v>
      </c>
      <c r="W310" s="14">
        <f t="shared" si="797"/>
        <v>0.27058822771397795</v>
      </c>
      <c r="X310" s="14">
        <f t="shared" si="797"/>
        <v>0</v>
      </c>
      <c r="Y310" s="14">
        <f t="shared" si="797"/>
        <v>0</v>
      </c>
      <c r="Z310" s="14">
        <f t="shared" si="797"/>
        <v>0</v>
      </c>
      <c r="AA310" s="14">
        <f t="shared" si="797"/>
        <v>0</v>
      </c>
      <c r="AB310" s="14">
        <f t="shared" si="797"/>
        <v>7.2651262952682066E-2</v>
      </c>
      <c r="AC310" s="14">
        <f t="shared" si="797"/>
        <v>0.31137572086955634</v>
      </c>
      <c r="AD310" s="14">
        <f t="shared" si="797"/>
        <v>0.11759557901028445</v>
      </c>
      <c r="AE310" s="14">
        <f t="shared" si="797"/>
        <v>0</v>
      </c>
      <c r="AF310" s="14">
        <f t="shared" si="797"/>
        <v>3.9282098320119977E-3</v>
      </c>
      <c r="AG310" s="14">
        <f t="shared" si="797"/>
        <v>0</v>
      </c>
      <c r="AH310" s="14">
        <f t="shared" si="797"/>
        <v>-2.4244162456526846E-19</v>
      </c>
      <c r="AI310" s="76">
        <f t="shared" si="723"/>
        <v>0</v>
      </c>
      <c r="AK310" s="2">
        <f t="shared" si="784"/>
        <v>0</v>
      </c>
      <c r="AL310" s="2">
        <f t="shared" si="785"/>
        <v>0</v>
      </c>
      <c r="AM310" s="2">
        <f t="shared" si="785"/>
        <v>0</v>
      </c>
      <c r="AN310" s="2">
        <f t="shared" si="785"/>
        <v>0</v>
      </c>
      <c r="AO310" s="2">
        <f t="shared" si="785"/>
        <v>0</v>
      </c>
      <c r="AP310" s="2"/>
      <c r="AQ310" s="61" t="str">
        <f>E$1&amp;$A310&amp;"*      """</f>
        <v>E310*      "</v>
      </c>
      <c r="AS310" s="2">
        <f t="shared" si="786"/>
        <v>0</v>
      </c>
      <c r="AT310" s="2">
        <f t="shared" si="787"/>
        <v>0</v>
      </c>
      <c r="AU310" s="2">
        <f t="shared" si="787"/>
        <v>0</v>
      </c>
      <c r="AV310" s="2">
        <f t="shared" si="787"/>
        <v>0</v>
      </c>
      <c r="AW310" s="2">
        <f t="shared" si="787"/>
        <v>0</v>
      </c>
      <c r="AX310" s="2">
        <f t="shared" si="787"/>
        <v>0</v>
      </c>
      <c r="AY310" s="2">
        <f t="shared" si="787"/>
        <v>0</v>
      </c>
      <c r="BA310" s="2">
        <f t="shared" si="788"/>
        <v>0</v>
      </c>
      <c r="BB310" s="2">
        <f t="shared" si="789"/>
        <v>0</v>
      </c>
      <c r="BC310" s="2">
        <f t="shared" si="789"/>
        <v>0</v>
      </c>
      <c r="BD310" s="2">
        <f t="shared" si="789"/>
        <v>0</v>
      </c>
      <c r="BE310" s="2">
        <f t="shared" si="789"/>
        <v>0</v>
      </c>
      <c r="BF310" s="2">
        <f t="shared" si="789"/>
        <v>0</v>
      </c>
      <c r="BG310" s="2">
        <f t="shared" si="789"/>
        <v>0</v>
      </c>
      <c r="BI310" s="2">
        <f t="shared" si="790"/>
        <v>0</v>
      </c>
      <c r="BJ310" s="2">
        <f t="shared" si="791"/>
        <v>0</v>
      </c>
      <c r="BK310" s="2">
        <f t="shared" si="791"/>
        <v>0</v>
      </c>
      <c r="BL310" s="2">
        <f t="shared" si="791"/>
        <v>0</v>
      </c>
      <c r="BM310" s="2">
        <f t="shared" si="791"/>
        <v>0</v>
      </c>
      <c r="BN310" s="2">
        <f t="shared" si="791"/>
        <v>0</v>
      </c>
      <c r="BO310" s="2">
        <f t="shared" si="791"/>
        <v>0</v>
      </c>
      <c r="BQ310" s="28" t="s">
        <v>353</v>
      </c>
      <c r="BR310" s="23">
        <v>0</v>
      </c>
      <c r="BS310" s="14">
        <f>R$58</f>
        <v>0.16904766890389558</v>
      </c>
      <c r="BT310" s="14">
        <f>S$58</f>
        <v>2.676215166561764E-3</v>
      </c>
      <c r="BU310" s="14">
        <f>T$58</f>
        <v>6.7778250216338808E-3</v>
      </c>
      <c r="BV310" s="14">
        <f t="shared" ref="BV310:CI310" si="798">U$58</f>
        <v>4.5359290529395975E-2</v>
      </c>
      <c r="BW310" s="14">
        <f t="shared" si="798"/>
        <v>0</v>
      </c>
      <c r="BX310" s="14">
        <f t="shared" si="798"/>
        <v>0.27058822771397795</v>
      </c>
      <c r="BY310" s="14">
        <f t="shared" si="798"/>
        <v>0</v>
      </c>
      <c r="BZ310" s="14">
        <f t="shared" si="798"/>
        <v>0</v>
      </c>
      <c r="CA310" s="14">
        <f t="shared" si="798"/>
        <v>0</v>
      </c>
      <c r="CB310" s="14">
        <f t="shared" si="798"/>
        <v>0</v>
      </c>
      <c r="CC310" s="14">
        <f t="shared" si="798"/>
        <v>7.2651262952682066E-2</v>
      </c>
      <c r="CD310" s="14">
        <f t="shared" si="798"/>
        <v>0.31137572086955634</v>
      </c>
      <c r="CE310" s="14">
        <f t="shared" si="798"/>
        <v>0.11759557901028445</v>
      </c>
      <c r="CF310" s="14">
        <f t="shared" si="798"/>
        <v>0</v>
      </c>
      <c r="CG310" s="14">
        <f t="shared" si="798"/>
        <v>3.9282098320119977E-3</v>
      </c>
      <c r="CH310" s="14">
        <f t="shared" si="798"/>
        <v>0</v>
      </c>
      <c r="CI310" s="14">
        <f t="shared" si="798"/>
        <v>-2.4244162456526846E-19</v>
      </c>
      <c r="CJ310" s="14"/>
      <c r="CK310" s="112" t="str">
        <f t="shared" si="795"/>
        <v>as Plant in Service (58)</v>
      </c>
      <c r="CL310" s="76">
        <f t="shared" si="780"/>
        <v>0</v>
      </c>
      <c r="CM310" s="2">
        <f t="shared" si="796"/>
        <v>0</v>
      </c>
      <c r="CN310" s="2">
        <f t="shared" si="796"/>
        <v>0</v>
      </c>
      <c r="CO310" s="2">
        <f t="shared" si="796"/>
        <v>0</v>
      </c>
      <c r="CP310" s="2">
        <f t="shared" si="796"/>
        <v>0</v>
      </c>
      <c r="CQ310" s="2">
        <f t="shared" si="796"/>
        <v>0</v>
      </c>
      <c r="CR310" s="2">
        <f t="shared" si="796"/>
        <v>0</v>
      </c>
    </row>
    <row r="311" spans="1:96">
      <c r="A311" s="50">
        <f t="shared" si="651"/>
        <v>311</v>
      </c>
      <c r="C311" s="36" t="s">
        <v>156</v>
      </c>
      <c r="D311" s="28" t="s">
        <v>354</v>
      </c>
      <c r="E311" s="23">
        <v>0</v>
      </c>
      <c r="F311" s="60" t="s">
        <v>450</v>
      </c>
      <c r="G311" s="60"/>
      <c r="H311" s="2">
        <f t="shared" si="781"/>
        <v>0</v>
      </c>
      <c r="I311" s="2">
        <f t="shared" si="782"/>
        <v>0</v>
      </c>
      <c r="J311" s="2">
        <f t="shared" si="782"/>
        <v>0</v>
      </c>
      <c r="K311" s="2">
        <f t="shared" si="782"/>
        <v>0</v>
      </c>
      <c r="L311" s="2">
        <f t="shared" si="782"/>
        <v>0</v>
      </c>
      <c r="M311" s="2">
        <f t="shared" si="782"/>
        <v>0</v>
      </c>
      <c r="N311" s="2">
        <f t="shared" si="782"/>
        <v>0</v>
      </c>
      <c r="O311" s="2"/>
      <c r="P311" s="61" t="str">
        <f>E$1&amp;$A311&amp;"*     """</f>
        <v>E311*     "</v>
      </c>
      <c r="Q311" s="61"/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1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76">
        <f t="shared" si="723"/>
        <v>0</v>
      </c>
      <c r="AK311" s="2">
        <f t="shared" si="784"/>
        <v>0</v>
      </c>
      <c r="AL311" s="2">
        <f t="shared" si="785"/>
        <v>0</v>
      </c>
      <c r="AM311" s="2">
        <f t="shared" si="785"/>
        <v>0</v>
      </c>
      <c r="AN311" s="2">
        <f t="shared" si="785"/>
        <v>0</v>
      </c>
      <c r="AO311" s="2">
        <f t="shared" si="785"/>
        <v>0</v>
      </c>
      <c r="AP311" s="2"/>
      <c r="AQ311" s="61" t="str">
        <f>E$1&amp;$A311&amp;"*      """</f>
        <v>E311*      "</v>
      </c>
      <c r="AS311" s="2">
        <f t="shared" si="786"/>
        <v>0</v>
      </c>
      <c r="AT311" s="2">
        <f t="shared" si="787"/>
        <v>0</v>
      </c>
      <c r="AU311" s="2">
        <f t="shared" si="787"/>
        <v>0</v>
      </c>
      <c r="AV311" s="2">
        <f t="shared" si="787"/>
        <v>0</v>
      </c>
      <c r="AW311" s="2">
        <f t="shared" si="787"/>
        <v>0</v>
      </c>
      <c r="AX311" s="2">
        <f t="shared" si="787"/>
        <v>0</v>
      </c>
      <c r="AY311" s="2">
        <f t="shared" si="787"/>
        <v>0</v>
      </c>
      <c r="BA311" s="2">
        <f t="shared" si="788"/>
        <v>0</v>
      </c>
      <c r="BB311" s="2">
        <f t="shared" si="789"/>
        <v>0</v>
      </c>
      <c r="BC311" s="2">
        <f t="shared" si="789"/>
        <v>0</v>
      </c>
      <c r="BD311" s="2">
        <f t="shared" si="789"/>
        <v>0</v>
      </c>
      <c r="BE311" s="2">
        <f t="shared" si="789"/>
        <v>0</v>
      </c>
      <c r="BF311" s="2">
        <f t="shared" si="789"/>
        <v>0</v>
      </c>
      <c r="BG311" s="2">
        <f t="shared" si="789"/>
        <v>0</v>
      </c>
      <c r="BI311" s="2">
        <f t="shared" si="790"/>
        <v>0</v>
      </c>
      <c r="BJ311" s="2">
        <f t="shared" si="791"/>
        <v>0</v>
      </c>
      <c r="BK311" s="2">
        <f t="shared" si="791"/>
        <v>0</v>
      </c>
      <c r="BL311" s="2">
        <f t="shared" si="791"/>
        <v>0</v>
      </c>
      <c r="BM311" s="2">
        <f t="shared" si="791"/>
        <v>0</v>
      </c>
      <c r="BN311" s="2">
        <f t="shared" si="791"/>
        <v>0</v>
      </c>
      <c r="BO311" s="2">
        <f t="shared" si="791"/>
        <v>0</v>
      </c>
      <c r="BQ311" s="28" t="s">
        <v>354</v>
      </c>
      <c r="BR311" s="23">
        <v>0</v>
      </c>
      <c r="BS311" s="14">
        <f t="shared" ref="BS311:BU312" si="799">R311</f>
        <v>0</v>
      </c>
      <c r="BT311" s="14">
        <f t="shared" si="799"/>
        <v>0</v>
      </c>
      <c r="BU311" s="14">
        <f t="shared" si="799"/>
        <v>0</v>
      </c>
      <c r="BV311" s="14">
        <f t="shared" ref="BV311:CB312" si="800">U311</f>
        <v>0</v>
      </c>
      <c r="BW311" s="14">
        <f t="shared" si="800"/>
        <v>0</v>
      </c>
      <c r="BX311" s="14">
        <f t="shared" si="800"/>
        <v>0</v>
      </c>
      <c r="BY311" s="14">
        <f t="shared" si="800"/>
        <v>0</v>
      </c>
      <c r="BZ311" s="14">
        <f t="shared" si="800"/>
        <v>0</v>
      </c>
      <c r="CA311" s="14">
        <f t="shared" si="800"/>
        <v>0</v>
      </c>
      <c r="CB311" s="14">
        <f t="shared" si="800"/>
        <v>0</v>
      </c>
      <c r="CC311" s="14">
        <f t="shared" ref="CC311:CF312" si="801">AB311</f>
        <v>1</v>
      </c>
      <c r="CD311" s="14">
        <f t="shared" si="801"/>
        <v>0</v>
      </c>
      <c r="CE311" s="14">
        <f t="shared" si="801"/>
        <v>0</v>
      </c>
      <c r="CF311" s="14">
        <f t="shared" si="801"/>
        <v>0</v>
      </c>
      <c r="CG311" s="14">
        <f t="shared" ref="CG311:CI312" si="802">AF311</f>
        <v>0</v>
      </c>
      <c r="CH311" s="14">
        <f t="shared" si="802"/>
        <v>0</v>
      </c>
      <c r="CI311" s="14">
        <f t="shared" si="802"/>
        <v>0</v>
      </c>
      <c r="CJ311" s="14"/>
      <c r="CK311" s="112" t="str">
        <f t="shared" si="795"/>
        <v>Input - 100% Cust</v>
      </c>
      <c r="CL311" s="76">
        <f t="shared" si="780"/>
        <v>0</v>
      </c>
      <c r="CM311" s="2">
        <f t="shared" si="796"/>
        <v>0</v>
      </c>
      <c r="CN311" s="2">
        <f t="shared" si="796"/>
        <v>0</v>
      </c>
      <c r="CO311" s="2">
        <f t="shared" si="796"/>
        <v>0</v>
      </c>
      <c r="CP311" s="2">
        <f t="shared" si="796"/>
        <v>0</v>
      </c>
      <c r="CQ311" s="2">
        <f t="shared" si="796"/>
        <v>0</v>
      </c>
      <c r="CR311" s="2">
        <f t="shared" si="796"/>
        <v>0</v>
      </c>
    </row>
    <row r="312" spans="1:96">
      <c r="A312" s="50">
        <f t="shared" si="651"/>
        <v>312</v>
      </c>
      <c r="C312" s="36" t="s">
        <v>155</v>
      </c>
      <c r="D312" s="28" t="s">
        <v>350</v>
      </c>
      <c r="E312" s="23">
        <v>0</v>
      </c>
      <c r="F312" s="60" t="s">
        <v>451</v>
      </c>
      <c r="G312" s="60"/>
      <c r="H312" s="2">
        <f t="shared" si="781"/>
        <v>0</v>
      </c>
      <c r="I312" s="2">
        <f t="shared" si="782"/>
        <v>0</v>
      </c>
      <c r="J312" s="2">
        <f t="shared" si="782"/>
        <v>0</v>
      </c>
      <c r="K312" s="2">
        <f t="shared" si="782"/>
        <v>0</v>
      </c>
      <c r="L312" s="2">
        <f t="shared" si="782"/>
        <v>0</v>
      </c>
      <c r="M312" s="2">
        <f t="shared" si="782"/>
        <v>0</v>
      </c>
      <c r="N312" s="2">
        <f t="shared" si="782"/>
        <v>0</v>
      </c>
      <c r="O312" s="2"/>
      <c r="P312" s="61" t="str">
        <f>E$1&amp;$A312&amp;"*     """</f>
        <v>E312*     "</v>
      </c>
      <c r="Q312" s="61"/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76">
        <f t="shared" si="723"/>
        <v>0</v>
      </c>
      <c r="AK312" s="2">
        <f t="shared" si="784"/>
        <v>0</v>
      </c>
      <c r="AL312" s="2">
        <f t="shared" si="785"/>
        <v>0</v>
      </c>
      <c r="AM312" s="2">
        <f t="shared" si="785"/>
        <v>0</v>
      </c>
      <c r="AN312" s="2">
        <f t="shared" si="785"/>
        <v>0</v>
      </c>
      <c r="AO312" s="2">
        <f t="shared" si="785"/>
        <v>0</v>
      </c>
      <c r="AP312" s="2"/>
      <c r="AQ312" s="61" t="str">
        <f>E$1&amp;$A312&amp;"*      """</f>
        <v>E312*      "</v>
      </c>
      <c r="AS312" s="2">
        <f t="shared" si="786"/>
        <v>0</v>
      </c>
      <c r="AT312" s="2">
        <f t="shared" si="787"/>
        <v>0</v>
      </c>
      <c r="AU312" s="2">
        <f t="shared" si="787"/>
        <v>0</v>
      </c>
      <c r="AV312" s="2">
        <f t="shared" si="787"/>
        <v>0</v>
      </c>
      <c r="AW312" s="2">
        <f t="shared" si="787"/>
        <v>0</v>
      </c>
      <c r="AX312" s="2">
        <f t="shared" si="787"/>
        <v>0</v>
      </c>
      <c r="AY312" s="2">
        <f t="shared" si="787"/>
        <v>0</v>
      </c>
      <c r="BA312" s="2">
        <f t="shared" si="788"/>
        <v>0</v>
      </c>
      <c r="BB312" s="2">
        <f t="shared" si="789"/>
        <v>0</v>
      </c>
      <c r="BC312" s="2">
        <f t="shared" si="789"/>
        <v>0</v>
      </c>
      <c r="BD312" s="2">
        <f t="shared" si="789"/>
        <v>0</v>
      </c>
      <c r="BE312" s="2">
        <f t="shared" si="789"/>
        <v>0</v>
      </c>
      <c r="BF312" s="2">
        <f t="shared" si="789"/>
        <v>0</v>
      </c>
      <c r="BG312" s="2">
        <f t="shared" si="789"/>
        <v>0</v>
      </c>
      <c r="BI312" s="2">
        <f t="shared" si="790"/>
        <v>0</v>
      </c>
      <c r="BJ312" s="2">
        <f t="shared" si="791"/>
        <v>0</v>
      </c>
      <c r="BK312" s="2">
        <f t="shared" si="791"/>
        <v>0</v>
      </c>
      <c r="BL312" s="2">
        <f t="shared" si="791"/>
        <v>0</v>
      </c>
      <c r="BM312" s="2">
        <f t="shared" si="791"/>
        <v>0</v>
      </c>
      <c r="BN312" s="2">
        <f t="shared" si="791"/>
        <v>0</v>
      </c>
      <c r="BO312" s="2">
        <f t="shared" si="791"/>
        <v>0</v>
      </c>
      <c r="BQ312" s="28" t="s">
        <v>350</v>
      </c>
      <c r="BR312" s="23">
        <v>0</v>
      </c>
      <c r="BS312" s="14">
        <f t="shared" si="799"/>
        <v>0</v>
      </c>
      <c r="BT312" s="14">
        <f t="shared" si="799"/>
        <v>0</v>
      </c>
      <c r="BU312" s="14">
        <f t="shared" si="799"/>
        <v>0</v>
      </c>
      <c r="BV312" s="14">
        <f t="shared" si="800"/>
        <v>0</v>
      </c>
      <c r="BW312" s="14">
        <f t="shared" si="800"/>
        <v>0</v>
      </c>
      <c r="BX312" s="14">
        <f t="shared" si="800"/>
        <v>0</v>
      </c>
      <c r="BY312" s="14">
        <f t="shared" si="800"/>
        <v>0</v>
      </c>
      <c r="BZ312" s="14">
        <f t="shared" si="800"/>
        <v>0</v>
      </c>
      <c r="CA312" s="14">
        <f t="shared" si="800"/>
        <v>0</v>
      </c>
      <c r="CB312" s="14">
        <f t="shared" si="800"/>
        <v>0</v>
      </c>
      <c r="CC312" s="14">
        <f t="shared" si="801"/>
        <v>0</v>
      </c>
      <c r="CD312" s="14">
        <f t="shared" si="801"/>
        <v>0</v>
      </c>
      <c r="CE312" s="14">
        <f t="shared" si="801"/>
        <v>0</v>
      </c>
      <c r="CF312" s="14">
        <f t="shared" si="801"/>
        <v>0</v>
      </c>
      <c r="CG312" s="14">
        <f t="shared" si="802"/>
        <v>0</v>
      </c>
      <c r="CH312" s="14">
        <f t="shared" si="802"/>
        <v>0</v>
      </c>
      <c r="CI312" s="14">
        <f t="shared" si="802"/>
        <v>1</v>
      </c>
      <c r="CJ312" s="14"/>
      <c r="CK312" s="112" t="str">
        <f t="shared" si="795"/>
        <v>Input - 100% Rev</v>
      </c>
      <c r="CL312" s="76">
        <f t="shared" si="780"/>
        <v>0</v>
      </c>
      <c r="CM312" s="2">
        <f t="shared" si="796"/>
        <v>0</v>
      </c>
      <c r="CN312" s="2">
        <f t="shared" si="796"/>
        <v>0</v>
      </c>
      <c r="CO312" s="2">
        <f t="shared" si="796"/>
        <v>0</v>
      </c>
      <c r="CP312" s="2">
        <f t="shared" si="796"/>
        <v>0</v>
      </c>
      <c r="CQ312" s="2">
        <f t="shared" si="796"/>
        <v>0</v>
      </c>
      <c r="CR312" s="2">
        <f t="shared" si="796"/>
        <v>0</v>
      </c>
    </row>
    <row r="313" spans="1:96">
      <c r="A313" s="50">
        <f t="shared" si="651"/>
        <v>313</v>
      </c>
      <c r="C313" s="36" t="s">
        <v>151</v>
      </c>
      <c r="D313" s="28" t="s">
        <v>355</v>
      </c>
      <c r="E313" s="23">
        <v>0</v>
      </c>
      <c r="F313" s="60" t="str">
        <f>"as Labor O&amp;M Exp. ("&amp;BS$1&amp;A$344&amp;")"</f>
        <v>as Labor O&amp;M Exp. (BS344)</v>
      </c>
      <c r="G313" s="60"/>
      <c r="H313" s="2">
        <f t="shared" si="781"/>
        <v>0</v>
      </c>
      <c r="I313" s="21">
        <f t="shared" ref="I313:N313" si="803">$E313*CM$344/$BR$344</f>
        <v>0</v>
      </c>
      <c r="J313" s="21">
        <f t="shared" si="803"/>
        <v>0</v>
      </c>
      <c r="K313" s="21">
        <f t="shared" si="803"/>
        <v>0</v>
      </c>
      <c r="L313" s="21">
        <f t="shared" si="803"/>
        <v>0</v>
      </c>
      <c r="M313" s="21">
        <f t="shared" si="803"/>
        <v>0</v>
      </c>
      <c r="N313" s="21">
        <f t="shared" si="803"/>
        <v>0</v>
      </c>
      <c r="O313" s="2"/>
      <c r="P313" s="61" t="str">
        <f>E$1&amp;$A313&amp;"* "&amp;CM$1&amp;A$344&amp;" / "&amp;BR$1&amp;A$344</f>
        <v>E313* CM344 / BR344</v>
      </c>
      <c r="Q313" s="61"/>
      <c r="R313" s="14">
        <f>BS$344</f>
        <v>0.10913184265939331</v>
      </c>
      <c r="S313" s="14">
        <f>BT$344</f>
        <v>3.3021876247189427E-2</v>
      </c>
      <c r="T313" s="14">
        <f t="shared" ref="T313:AH313" si="804">BU$344</f>
        <v>2.9366713079939091E-3</v>
      </c>
      <c r="U313" s="14">
        <f t="shared" si="804"/>
        <v>1.9653107984266921E-2</v>
      </c>
      <c r="V313" s="14">
        <f t="shared" si="804"/>
        <v>0</v>
      </c>
      <c r="W313" s="14">
        <f t="shared" si="804"/>
        <v>0.16142462055819431</v>
      </c>
      <c r="X313" s="14">
        <f t="shared" si="804"/>
        <v>0</v>
      </c>
      <c r="Y313" s="14">
        <f t="shared" si="804"/>
        <v>0</v>
      </c>
      <c r="Z313" s="14">
        <f t="shared" si="804"/>
        <v>0</v>
      </c>
      <c r="AA313" s="14">
        <f t="shared" si="804"/>
        <v>0</v>
      </c>
      <c r="AB313" s="14">
        <f t="shared" si="804"/>
        <v>0.37507244202834572</v>
      </c>
      <c r="AC313" s="14">
        <f t="shared" si="804"/>
        <v>0.18309838925091035</v>
      </c>
      <c r="AD313" s="14">
        <f t="shared" si="804"/>
        <v>0.11390268710509913</v>
      </c>
      <c r="AE313" s="14">
        <f t="shared" si="804"/>
        <v>0</v>
      </c>
      <c r="AF313" s="14">
        <f t="shared" si="804"/>
        <v>1.7583628586068862E-3</v>
      </c>
      <c r="AG313" s="14">
        <f t="shared" si="804"/>
        <v>0</v>
      </c>
      <c r="AH313" s="14">
        <f t="shared" si="804"/>
        <v>-4.5942138576433119E-19</v>
      </c>
      <c r="AI313" s="76">
        <f t="shared" si="723"/>
        <v>0</v>
      </c>
      <c r="AK313" s="2">
        <f t="shared" si="784"/>
        <v>0</v>
      </c>
      <c r="AL313" s="2">
        <f t="shared" si="785"/>
        <v>0</v>
      </c>
      <c r="AM313" s="2">
        <f t="shared" si="785"/>
        <v>0</v>
      </c>
      <c r="AN313" s="2">
        <f t="shared" si="785"/>
        <v>0</v>
      </c>
      <c r="AO313" s="2">
        <f t="shared" si="785"/>
        <v>0</v>
      </c>
      <c r="AP313" s="2"/>
      <c r="AQ313" s="61" t="str">
        <f>E$1&amp;$A313&amp;"*      """</f>
        <v>E313*      "</v>
      </c>
      <c r="AS313" s="2">
        <f t="shared" si="786"/>
        <v>0</v>
      </c>
      <c r="AT313" s="2">
        <f t="shared" si="787"/>
        <v>0</v>
      </c>
      <c r="AU313" s="2">
        <f t="shared" si="787"/>
        <v>0</v>
      </c>
      <c r="AV313" s="2">
        <f t="shared" si="787"/>
        <v>0</v>
      </c>
      <c r="AW313" s="2">
        <f t="shared" si="787"/>
        <v>0</v>
      </c>
      <c r="AX313" s="2">
        <f t="shared" si="787"/>
        <v>0</v>
      </c>
      <c r="AY313" s="2">
        <f t="shared" si="787"/>
        <v>0</v>
      </c>
      <c r="BA313" s="2">
        <f t="shared" si="788"/>
        <v>0</v>
      </c>
      <c r="BB313" s="2">
        <f t="shared" si="789"/>
        <v>0</v>
      </c>
      <c r="BC313" s="2">
        <f t="shared" si="789"/>
        <v>0</v>
      </c>
      <c r="BD313" s="2">
        <f t="shared" si="789"/>
        <v>0</v>
      </c>
      <c r="BE313" s="2">
        <f t="shared" si="789"/>
        <v>0</v>
      </c>
      <c r="BF313" s="2">
        <f t="shared" si="789"/>
        <v>0</v>
      </c>
      <c r="BG313" s="2">
        <f t="shared" si="789"/>
        <v>0</v>
      </c>
      <c r="BI313" s="2">
        <f t="shared" si="790"/>
        <v>0</v>
      </c>
      <c r="BJ313" s="2">
        <f t="shared" si="791"/>
        <v>0</v>
      </c>
      <c r="BK313" s="2">
        <f t="shared" si="791"/>
        <v>0</v>
      </c>
      <c r="BL313" s="2">
        <f t="shared" si="791"/>
        <v>0</v>
      </c>
      <c r="BM313" s="2">
        <f t="shared" si="791"/>
        <v>0</v>
      </c>
      <c r="BN313" s="2">
        <f t="shared" si="791"/>
        <v>0</v>
      </c>
      <c r="BO313" s="2">
        <f t="shared" si="791"/>
        <v>0</v>
      </c>
      <c r="BQ313" s="28" t="s">
        <v>355</v>
      </c>
      <c r="BR313" s="23">
        <v>0</v>
      </c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112" t="str">
        <f t="shared" si="795"/>
        <v>as Labor O&amp;M Exp. (BS344)</v>
      </c>
      <c r="CL313" s="76">
        <f t="shared" si="780"/>
        <v>0</v>
      </c>
      <c r="CM313" s="2"/>
      <c r="CN313" s="2"/>
      <c r="CO313" s="2"/>
      <c r="CP313" s="2"/>
      <c r="CQ313" s="2"/>
      <c r="CR313" s="2"/>
    </row>
    <row r="314" spans="1:96">
      <c r="A314" s="50">
        <f t="shared" si="651"/>
        <v>314</v>
      </c>
      <c r="B314" t="s">
        <v>57</v>
      </c>
      <c r="D314" t="s">
        <v>58</v>
      </c>
      <c r="E314" s="2"/>
      <c r="F314" s="60"/>
      <c r="G314" s="60"/>
      <c r="P314" s="61"/>
      <c r="Q314" s="61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76">
        <f t="shared" si="723"/>
        <v>0</v>
      </c>
      <c r="AQ314" s="61"/>
      <c r="BQ314" t="s">
        <v>58</v>
      </c>
      <c r="CK314" s="112"/>
      <c r="CL314" s="76">
        <f t="shared" si="780"/>
        <v>0</v>
      </c>
    </row>
    <row r="315" spans="1:96">
      <c r="A315" s="50">
        <f t="shared" si="651"/>
        <v>315</v>
      </c>
      <c r="C315" s="36" t="s">
        <v>151</v>
      </c>
      <c r="D315" s="56" t="s">
        <v>147</v>
      </c>
      <c r="E315" s="373">
        <f>'Acct 928'!E19</f>
        <v>292256</v>
      </c>
      <c r="F315" s="61" t="s">
        <v>996</v>
      </c>
      <c r="G315" s="60"/>
      <c r="H315" s="2">
        <f t="shared" ref="H315:H320" si="805">SUM(I315:N315)</f>
        <v>292256</v>
      </c>
      <c r="I315" s="2">
        <f t="shared" ref="I315:N319" si="806">$E315*SUMPRODUCT($R315:$AH315,INDEX(AllocFactors,I$4,0))</f>
        <v>245998.06150075101</v>
      </c>
      <c r="J315" s="2">
        <f t="shared" si="806"/>
        <v>37331.360592074481</v>
      </c>
      <c r="K315" s="2">
        <f t="shared" si="806"/>
        <v>0</v>
      </c>
      <c r="L315" s="2">
        <f t="shared" si="806"/>
        <v>900.89559750753051</v>
      </c>
      <c r="M315" s="2">
        <f t="shared" si="806"/>
        <v>8025.6823096669796</v>
      </c>
      <c r="N315" s="2">
        <f t="shared" si="806"/>
        <v>0</v>
      </c>
      <c r="O315" s="2"/>
      <c r="P315" s="61" t="s">
        <v>997</v>
      </c>
      <c r="Q315" s="61"/>
      <c r="R315" s="14">
        <f>R$259</f>
        <v>9.9370957155623774E-2</v>
      </c>
      <c r="S315" s="14">
        <f t="shared" ref="S315:AH316" si="807">S$259</f>
        <v>1.5218388550417537E-2</v>
      </c>
      <c r="T315" s="14">
        <f t="shared" si="807"/>
        <v>8.699877677308605E-3</v>
      </c>
      <c r="U315" s="14">
        <f t="shared" si="807"/>
        <v>5.822225830198835E-2</v>
      </c>
      <c r="V315" s="14">
        <f t="shared" si="807"/>
        <v>0</v>
      </c>
      <c r="W315" s="14">
        <f t="shared" si="807"/>
        <v>0.15327818313927072</v>
      </c>
      <c r="X315" s="14">
        <f t="shared" si="807"/>
        <v>0</v>
      </c>
      <c r="Y315" s="14">
        <f t="shared" si="807"/>
        <v>0</v>
      </c>
      <c r="Z315" s="14">
        <f t="shared" si="807"/>
        <v>0</v>
      </c>
      <c r="AA315" s="14">
        <f t="shared" si="807"/>
        <v>0</v>
      </c>
      <c r="AB315" s="14">
        <f t="shared" si="807"/>
        <v>0.41313387731559803</v>
      </c>
      <c r="AC315" s="14">
        <f t="shared" si="807"/>
        <v>0.17108548237195526</v>
      </c>
      <c r="AD315" s="14">
        <f t="shared" si="807"/>
        <v>7.9473703927617212E-2</v>
      </c>
      <c r="AE315" s="14">
        <f t="shared" si="807"/>
        <v>0</v>
      </c>
      <c r="AF315" s="14">
        <f t="shared" si="807"/>
        <v>1.5172715602204624E-3</v>
      </c>
      <c r="AG315" s="14">
        <f t="shared" si="807"/>
        <v>0</v>
      </c>
      <c r="AH315" s="14">
        <f t="shared" si="807"/>
        <v>-1.4146429571039994E-18</v>
      </c>
      <c r="AI315" s="76">
        <f t="shared" si="723"/>
        <v>0</v>
      </c>
      <c r="AK315" s="2">
        <f t="shared" ref="AK315:AK320" si="808">SUM(AL315:AO315)</f>
        <v>292256</v>
      </c>
      <c r="AL315" s="2">
        <f t="shared" ref="AL315:AO320" si="809">SUMIF($R$4:$AH$4,AL$5,$R315:$AH315)*$E315</f>
        <v>53047.81959143022</v>
      </c>
      <c r="AM315" s="2">
        <f t="shared" si="809"/>
        <v>44796.468691550705</v>
      </c>
      <c r="AN315" s="2">
        <f t="shared" si="809"/>
        <v>194411.71171701906</v>
      </c>
      <c r="AO315" s="2">
        <f t="shared" si="809"/>
        <v>-4.1343789207138644E-13</v>
      </c>
      <c r="AP315" s="2"/>
      <c r="AQ315" s="61" t="str">
        <f>E$1&amp;$A315&amp;"*["&amp;R$1&amp;$A315&amp;":"&amp;$AH$1&amp;$A315&amp;" when "&amp;R$1&amp;$A$4&amp;":"&amp;$AH$1&amp;$A$4&amp;" = E,D,C,or R]"</f>
        <v>E315*[R315:AH315 when R4:AH4 = E,D,C,or R]</v>
      </c>
      <c r="AS315" s="2">
        <f t="shared" ref="AS315:AS320" si="810">SUM(AT315:AY315)</f>
        <v>53047.819591430227</v>
      </c>
      <c r="AT315" s="2">
        <f t="shared" ref="AT315:AY320" si="811">$E315*SUMPRODUCT($R315:$V315,INDEX(AllocFactors_E,AT$4,0))</f>
        <v>33602.900574789019</v>
      </c>
      <c r="AU315" s="2">
        <f t="shared" si="811"/>
        <v>14722.993164278907</v>
      </c>
      <c r="AV315" s="2">
        <f t="shared" si="811"/>
        <v>0</v>
      </c>
      <c r="AW315" s="2">
        <f t="shared" si="811"/>
        <v>530.36194517051115</v>
      </c>
      <c r="AX315" s="2">
        <f t="shared" si="811"/>
        <v>4191.5639071917913</v>
      </c>
      <c r="AY315" s="2">
        <f t="shared" si="811"/>
        <v>0</v>
      </c>
      <c r="BA315" s="2">
        <f t="shared" ref="BA315:BA320" si="812">SUM(BB315:BG315)</f>
        <v>44796.468691550697</v>
      </c>
      <c r="BB315" s="2">
        <f t="shared" ref="BB315:BG320" si="813">$E315*SUMPRODUCT($W315:$AA315,INDEX(AllocFactors_D,BB$4,0))</f>
        <v>25325.749475777349</v>
      </c>
      <c r="BC315" s="2">
        <f t="shared" si="813"/>
        <v>15629.831238735806</v>
      </c>
      <c r="BD315" s="2">
        <f t="shared" si="813"/>
        <v>0</v>
      </c>
      <c r="BE315" s="2">
        <f t="shared" si="813"/>
        <v>336.77089115260611</v>
      </c>
      <c r="BF315" s="2">
        <f t="shared" si="813"/>
        <v>3504.1170858849373</v>
      </c>
      <c r="BG315" s="2">
        <f t="shared" si="813"/>
        <v>0</v>
      </c>
      <c r="BI315" s="2">
        <f t="shared" ref="BI315:BI320" si="814">SUM(BJ315:BO315)</f>
        <v>194411.71171701909</v>
      </c>
      <c r="BJ315" s="2">
        <f t="shared" ref="BJ315:BO320" si="815">$E315*SUMPRODUCT($AB315:$AG315,INDEX(AllocFactors_C,BJ$4,0))</f>
        <v>187069.41145018465</v>
      </c>
      <c r="BK315" s="2">
        <f t="shared" si="815"/>
        <v>6978.5361890597696</v>
      </c>
      <c r="BL315" s="2">
        <f t="shared" si="815"/>
        <v>0</v>
      </c>
      <c r="BM315" s="2">
        <f t="shared" si="815"/>
        <v>33.762761184413201</v>
      </c>
      <c r="BN315" s="2">
        <f t="shared" si="815"/>
        <v>330.0013165902522</v>
      </c>
      <c r="BO315" s="2">
        <f t="shared" si="815"/>
        <v>0</v>
      </c>
      <c r="BQ315" s="28" t="s">
        <v>351</v>
      </c>
      <c r="BR315" s="23">
        <v>222215</v>
      </c>
      <c r="BS315" s="14">
        <f t="shared" ref="BS315:BU316" si="816">R315</f>
        <v>9.9370957155623774E-2</v>
      </c>
      <c r="BT315" s="14">
        <f t="shared" si="816"/>
        <v>1.5218388550417537E-2</v>
      </c>
      <c r="BU315" s="14">
        <f t="shared" si="816"/>
        <v>8.699877677308605E-3</v>
      </c>
      <c r="BV315" s="14">
        <f t="shared" ref="BV315:CB316" si="817">U315</f>
        <v>5.822225830198835E-2</v>
      </c>
      <c r="BW315" s="14">
        <f t="shared" si="817"/>
        <v>0</v>
      </c>
      <c r="BX315" s="14">
        <f t="shared" si="817"/>
        <v>0.15327818313927072</v>
      </c>
      <c r="BY315" s="14">
        <f t="shared" si="817"/>
        <v>0</v>
      </c>
      <c r="BZ315" s="14">
        <f t="shared" si="817"/>
        <v>0</v>
      </c>
      <c r="CA315" s="14">
        <f t="shared" si="817"/>
        <v>0</v>
      </c>
      <c r="CB315" s="14">
        <f t="shared" si="817"/>
        <v>0</v>
      </c>
      <c r="CC315" s="14">
        <f t="shared" ref="CC315:CI316" si="818">AB315</f>
        <v>0.41313387731559803</v>
      </c>
      <c r="CD315" s="14">
        <f t="shared" si="818"/>
        <v>0.17108548237195526</v>
      </c>
      <c r="CE315" s="14">
        <f t="shared" si="818"/>
        <v>7.9473703927617212E-2</v>
      </c>
      <c r="CF315" s="14">
        <f t="shared" si="818"/>
        <v>0</v>
      </c>
      <c r="CG315" s="14">
        <f t="shared" si="818"/>
        <v>1.5172715602204624E-3</v>
      </c>
      <c r="CH315" s="14">
        <f t="shared" si="818"/>
        <v>0</v>
      </c>
      <c r="CI315" s="14">
        <f t="shared" si="818"/>
        <v>-1.4146429571039994E-18</v>
      </c>
      <c r="CJ315" s="14"/>
      <c r="CK315" s="112" t="str">
        <f t="shared" ref="CK315:CK320" si="819">F315</f>
        <v>4-Factor</v>
      </c>
      <c r="CL315" s="76">
        <f t="shared" si="780"/>
        <v>0</v>
      </c>
      <c r="CM315" s="2">
        <f t="shared" ref="CM315:CR319" si="820">$BR315*SUMPRODUCT($BS315:$CI315,INDEX(AllocFactors,CM$172,0))</f>
        <v>187043.06921462482</v>
      </c>
      <c r="CN315" s="2">
        <f t="shared" si="820"/>
        <v>28384.663767271948</v>
      </c>
      <c r="CO315" s="2">
        <f t="shared" si="820"/>
        <v>0</v>
      </c>
      <c r="CP315" s="2">
        <f t="shared" si="820"/>
        <v>684.99026606856967</v>
      </c>
      <c r="CQ315" s="2">
        <f t="shared" si="820"/>
        <v>6102.2767520346815</v>
      </c>
      <c r="CR315" s="2">
        <f t="shared" si="820"/>
        <v>0</v>
      </c>
    </row>
    <row r="316" spans="1:96">
      <c r="A316" s="50">
        <f t="shared" si="651"/>
        <v>316</v>
      </c>
      <c r="C316" s="36" t="s">
        <v>151</v>
      </c>
      <c r="D316" s="56" t="s">
        <v>352</v>
      </c>
      <c r="E316" s="135">
        <v>0</v>
      </c>
      <c r="F316" s="442" t="s">
        <v>444</v>
      </c>
      <c r="G316" s="60"/>
      <c r="H316" s="2">
        <f t="shared" si="805"/>
        <v>0</v>
      </c>
      <c r="I316" s="2">
        <f t="shared" si="806"/>
        <v>0</v>
      </c>
      <c r="J316" s="2">
        <f t="shared" si="806"/>
        <v>0</v>
      </c>
      <c r="K316" s="2">
        <f t="shared" si="806"/>
        <v>0</v>
      </c>
      <c r="L316" s="2">
        <f t="shared" si="806"/>
        <v>0</v>
      </c>
      <c r="M316" s="2">
        <f t="shared" si="806"/>
        <v>0</v>
      </c>
      <c r="N316" s="2">
        <f t="shared" si="806"/>
        <v>0</v>
      </c>
      <c r="O316" s="2"/>
      <c r="P316" s="61" t="str">
        <f>E$1&amp;$A316&amp;"*     """</f>
        <v>E316*     "</v>
      </c>
      <c r="Q316" s="61"/>
      <c r="R316" s="441">
        <v>1</v>
      </c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>
        <f t="shared" si="807"/>
        <v>-1.4146429571039994E-18</v>
      </c>
      <c r="AI316" s="76">
        <f t="shared" si="723"/>
        <v>0</v>
      </c>
      <c r="AK316" s="2">
        <f t="shared" si="808"/>
        <v>0</v>
      </c>
      <c r="AL316" s="2">
        <f t="shared" si="809"/>
        <v>0</v>
      </c>
      <c r="AM316" s="2">
        <f t="shared" si="809"/>
        <v>0</v>
      </c>
      <c r="AN316" s="2">
        <f t="shared" si="809"/>
        <v>0</v>
      </c>
      <c r="AO316" s="2">
        <f t="shared" si="809"/>
        <v>0</v>
      </c>
      <c r="AP316" s="2"/>
      <c r="AQ316" s="61" t="str">
        <f>E$1&amp;$A316&amp;"*      """</f>
        <v>E316*      "</v>
      </c>
      <c r="AS316" s="2">
        <f t="shared" si="810"/>
        <v>0</v>
      </c>
      <c r="AT316" s="2">
        <f t="shared" si="811"/>
        <v>0</v>
      </c>
      <c r="AU316" s="2">
        <f t="shared" si="811"/>
        <v>0</v>
      </c>
      <c r="AV316" s="2">
        <f t="shared" si="811"/>
        <v>0</v>
      </c>
      <c r="AW316" s="2">
        <f t="shared" si="811"/>
        <v>0</v>
      </c>
      <c r="AX316" s="2">
        <f t="shared" si="811"/>
        <v>0</v>
      </c>
      <c r="AY316" s="2">
        <f t="shared" si="811"/>
        <v>0</v>
      </c>
      <c r="BA316" s="2">
        <f t="shared" si="812"/>
        <v>0</v>
      </c>
      <c r="BB316" s="2">
        <f t="shared" si="813"/>
        <v>0</v>
      </c>
      <c r="BC316" s="2">
        <f t="shared" si="813"/>
        <v>0</v>
      </c>
      <c r="BD316" s="2">
        <f t="shared" si="813"/>
        <v>0</v>
      </c>
      <c r="BE316" s="2">
        <f t="shared" si="813"/>
        <v>0</v>
      </c>
      <c r="BF316" s="2">
        <f t="shared" si="813"/>
        <v>0</v>
      </c>
      <c r="BG316" s="2">
        <f t="shared" si="813"/>
        <v>0</v>
      </c>
      <c r="BI316" s="2">
        <f t="shared" si="814"/>
        <v>0</v>
      </c>
      <c r="BJ316" s="2">
        <f t="shared" si="815"/>
        <v>0</v>
      </c>
      <c r="BK316" s="2">
        <f t="shared" si="815"/>
        <v>0</v>
      </c>
      <c r="BL316" s="2">
        <f t="shared" si="815"/>
        <v>0</v>
      </c>
      <c r="BM316" s="2">
        <f t="shared" si="815"/>
        <v>0</v>
      </c>
      <c r="BN316" s="2">
        <f t="shared" si="815"/>
        <v>0</v>
      </c>
      <c r="BO316" s="2">
        <f t="shared" si="815"/>
        <v>0</v>
      </c>
      <c r="BQ316" s="28" t="s">
        <v>352</v>
      </c>
      <c r="BR316" s="23">
        <v>0</v>
      </c>
      <c r="BS316" s="14">
        <f t="shared" si="816"/>
        <v>1</v>
      </c>
      <c r="BT316" s="14">
        <f t="shared" si="816"/>
        <v>0</v>
      </c>
      <c r="BU316" s="14">
        <f t="shared" si="816"/>
        <v>0</v>
      </c>
      <c r="BV316" s="14">
        <f t="shared" si="817"/>
        <v>0</v>
      </c>
      <c r="BW316" s="14">
        <f t="shared" si="817"/>
        <v>0</v>
      </c>
      <c r="BX316" s="14">
        <f t="shared" si="817"/>
        <v>0</v>
      </c>
      <c r="BY316" s="14">
        <f t="shared" si="817"/>
        <v>0</v>
      </c>
      <c r="BZ316" s="14">
        <f t="shared" si="817"/>
        <v>0</v>
      </c>
      <c r="CA316" s="14">
        <f t="shared" si="817"/>
        <v>0</v>
      </c>
      <c r="CB316" s="14">
        <f t="shared" si="817"/>
        <v>0</v>
      </c>
      <c r="CC316" s="14">
        <f t="shared" si="818"/>
        <v>0</v>
      </c>
      <c r="CD316" s="14">
        <f t="shared" si="818"/>
        <v>0</v>
      </c>
      <c r="CE316" s="14">
        <f t="shared" si="818"/>
        <v>0</v>
      </c>
      <c r="CF316" s="14">
        <f t="shared" si="818"/>
        <v>0</v>
      </c>
      <c r="CG316" s="14">
        <f t="shared" si="818"/>
        <v>0</v>
      </c>
      <c r="CH316" s="14">
        <f t="shared" si="818"/>
        <v>0</v>
      </c>
      <c r="CI316" s="14">
        <f t="shared" si="818"/>
        <v>-1.4146429571039994E-18</v>
      </c>
      <c r="CJ316" s="14"/>
      <c r="CK316" s="112" t="str">
        <f t="shared" si="819"/>
        <v>Input - 100% Throughput</v>
      </c>
      <c r="CL316" s="76">
        <f t="shared" si="780"/>
        <v>0</v>
      </c>
      <c r="CM316" s="2">
        <f t="shared" si="820"/>
        <v>0</v>
      </c>
      <c r="CN316" s="2">
        <f t="shared" si="820"/>
        <v>0</v>
      </c>
      <c r="CO316" s="2">
        <f t="shared" si="820"/>
        <v>0</v>
      </c>
      <c r="CP316" s="2">
        <f t="shared" si="820"/>
        <v>0</v>
      </c>
      <c r="CQ316" s="2">
        <f t="shared" si="820"/>
        <v>0</v>
      </c>
      <c r="CR316" s="2">
        <f t="shared" si="820"/>
        <v>0</v>
      </c>
    </row>
    <row r="317" spans="1:96">
      <c r="A317" s="50">
        <f t="shared" si="651"/>
        <v>317</v>
      </c>
      <c r="C317" s="36" t="s">
        <v>151</v>
      </c>
      <c r="D317" s="28" t="s">
        <v>353</v>
      </c>
      <c r="E317" s="23">
        <v>0</v>
      </c>
      <c r="F317" s="60" t="str">
        <f>"as Plant in Service ("&amp;A$58&amp;")"</f>
        <v>as Plant in Service (58)</v>
      </c>
      <c r="G317" s="60"/>
      <c r="H317" s="2">
        <f t="shared" si="805"/>
        <v>0</v>
      </c>
      <c r="I317" s="2">
        <f t="shared" si="806"/>
        <v>0</v>
      </c>
      <c r="J317" s="2">
        <f t="shared" si="806"/>
        <v>0</v>
      </c>
      <c r="K317" s="2">
        <f t="shared" si="806"/>
        <v>0</v>
      </c>
      <c r="L317" s="2">
        <f t="shared" si="806"/>
        <v>0</v>
      </c>
      <c r="M317" s="2">
        <f t="shared" si="806"/>
        <v>0</v>
      </c>
      <c r="N317" s="2">
        <f t="shared" si="806"/>
        <v>0</v>
      </c>
      <c r="O317" s="2"/>
      <c r="P317" s="61" t="str">
        <f>E$1&amp;$A317&amp;"*     """</f>
        <v>E317*     "</v>
      </c>
      <c r="Q317" s="61"/>
      <c r="R317" s="14">
        <f>R$58</f>
        <v>0.16904766890389558</v>
      </c>
      <c r="S317" s="14">
        <f t="shared" ref="S317:AH317" si="821">S$58</f>
        <v>2.676215166561764E-3</v>
      </c>
      <c r="T317" s="14">
        <f t="shared" si="821"/>
        <v>6.7778250216338808E-3</v>
      </c>
      <c r="U317" s="14">
        <f t="shared" si="821"/>
        <v>4.5359290529395975E-2</v>
      </c>
      <c r="V317" s="14">
        <f t="shared" si="821"/>
        <v>0</v>
      </c>
      <c r="W317" s="14">
        <f t="shared" si="821"/>
        <v>0.27058822771397795</v>
      </c>
      <c r="X317" s="14">
        <f t="shared" si="821"/>
        <v>0</v>
      </c>
      <c r="Y317" s="14">
        <f t="shared" si="821"/>
        <v>0</v>
      </c>
      <c r="Z317" s="14">
        <f t="shared" si="821"/>
        <v>0</v>
      </c>
      <c r="AA317" s="14">
        <f t="shared" si="821"/>
        <v>0</v>
      </c>
      <c r="AB317" s="14">
        <f t="shared" si="821"/>
        <v>7.2651262952682066E-2</v>
      </c>
      <c r="AC317" s="14">
        <f t="shared" si="821"/>
        <v>0.31137572086955634</v>
      </c>
      <c r="AD317" s="14">
        <f t="shared" si="821"/>
        <v>0.11759557901028445</v>
      </c>
      <c r="AE317" s="14">
        <f t="shared" si="821"/>
        <v>0</v>
      </c>
      <c r="AF317" s="14">
        <f t="shared" si="821"/>
        <v>3.9282098320119977E-3</v>
      </c>
      <c r="AG317" s="14">
        <f t="shared" si="821"/>
        <v>0</v>
      </c>
      <c r="AH317" s="14">
        <f t="shared" si="821"/>
        <v>-2.4244162456526846E-19</v>
      </c>
      <c r="AI317" s="76">
        <f t="shared" si="723"/>
        <v>0</v>
      </c>
      <c r="AK317" s="2">
        <f t="shared" si="808"/>
        <v>0</v>
      </c>
      <c r="AL317" s="2">
        <f t="shared" si="809"/>
        <v>0</v>
      </c>
      <c r="AM317" s="2">
        <f t="shared" si="809"/>
        <v>0</v>
      </c>
      <c r="AN317" s="2">
        <f t="shared" si="809"/>
        <v>0</v>
      </c>
      <c r="AO317" s="2">
        <f t="shared" si="809"/>
        <v>0</v>
      </c>
      <c r="AP317" s="2"/>
      <c r="AQ317" s="61" t="str">
        <f>E$1&amp;$A317&amp;"*      """</f>
        <v>E317*      "</v>
      </c>
      <c r="AS317" s="2">
        <f t="shared" si="810"/>
        <v>0</v>
      </c>
      <c r="AT317" s="2">
        <f t="shared" si="811"/>
        <v>0</v>
      </c>
      <c r="AU317" s="2">
        <f t="shared" si="811"/>
        <v>0</v>
      </c>
      <c r="AV317" s="2">
        <f t="shared" si="811"/>
        <v>0</v>
      </c>
      <c r="AW317" s="2">
        <f t="shared" si="811"/>
        <v>0</v>
      </c>
      <c r="AX317" s="2">
        <f t="shared" si="811"/>
        <v>0</v>
      </c>
      <c r="AY317" s="2">
        <f t="shared" si="811"/>
        <v>0</v>
      </c>
      <c r="BA317" s="2">
        <f t="shared" si="812"/>
        <v>0</v>
      </c>
      <c r="BB317" s="2">
        <f t="shared" si="813"/>
        <v>0</v>
      </c>
      <c r="BC317" s="2">
        <f t="shared" si="813"/>
        <v>0</v>
      </c>
      <c r="BD317" s="2">
        <f t="shared" si="813"/>
        <v>0</v>
      </c>
      <c r="BE317" s="2">
        <f t="shared" si="813"/>
        <v>0</v>
      </c>
      <c r="BF317" s="2">
        <f t="shared" si="813"/>
        <v>0</v>
      </c>
      <c r="BG317" s="2">
        <f t="shared" si="813"/>
        <v>0</v>
      </c>
      <c r="BI317" s="2">
        <f t="shared" si="814"/>
        <v>0</v>
      </c>
      <c r="BJ317" s="2">
        <f t="shared" si="815"/>
        <v>0</v>
      </c>
      <c r="BK317" s="2">
        <f t="shared" si="815"/>
        <v>0</v>
      </c>
      <c r="BL317" s="2">
        <f t="shared" si="815"/>
        <v>0</v>
      </c>
      <c r="BM317" s="2">
        <f t="shared" si="815"/>
        <v>0</v>
      </c>
      <c r="BN317" s="2">
        <f t="shared" si="815"/>
        <v>0</v>
      </c>
      <c r="BO317" s="2">
        <f t="shared" si="815"/>
        <v>0</v>
      </c>
      <c r="BQ317" s="28" t="s">
        <v>353</v>
      </c>
      <c r="BR317" s="23">
        <v>0</v>
      </c>
      <c r="BS317" s="14">
        <f>R$58</f>
        <v>0.16904766890389558</v>
      </c>
      <c r="BT317" s="14">
        <f>S$58</f>
        <v>2.676215166561764E-3</v>
      </c>
      <c r="BU317" s="14">
        <f>T$58</f>
        <v>6.7778250216338808E-3</v>
      </c>
      <c r="BV317" s="14">
        <f t="shared" ref="BV317:CI317" si="822">U$58</f>
        <v>4.5359290529395975E-2</v>
      </c>
      <c r="BW317" s="14">
        <f t="shared" si="822"/>
        <v>0</v>
      </c>
      <c r="BX317" s="14">
        <f t="shared" si="822"/>
        <v>0.27058822771397795</v>
      </c>
      <c r="BY317" s="14">
        <f t="shared" si="822"/>
        <v>0</v>
      </c>
      <c r="BZ317" s="14">
        <f t="shared" si="822"/>
        <v>0</v>
      </c>
      <c r="CA317" s="14">
        <f t="shared" si="822"/>
        <v>0</v>
      </c>
      <c r="CB317" s="14">
        <f t="shared" si="822"/>
        <v>0</v>
      </c>
      <c r="CC317" s="14">
        <f t="shared" si="822"/>
        <v>7.2651262952682066E-2</v>
      </c>
      <c r="CD317" s="14">
        <f t="shared" si="822"/>
        <v>0.31137572086955634</v>
      </c>
      <c r="CE317" s="14">
        <f t="shared" si="822"/>
        <v>0.11759557901028445</v>
      </c>
      <c r="CF317" s="14">
        <f t="shared" si="822"/>
        <v>0</v>
      </c>
      <c r="CG317" s="14">
        <f t="shared" si="822"/>
        <v>3.9282098320119977E-3</v>
      </c>
      <c r="CH317" s="14">
        <f t="shared" si="822"/>
        <v>0</v>
      </c>
      <c r="CI317" s="14">
        <f t="shared" si="822"/>
        <v>-2.4244162456526846E-19</v>
      </c>
      <c r="CJ317" s="14"/>
      <c r="CK317" s="112" t="str">
        <f t="shared" si="819"/>
        <v>as Plant in Service (58)</v>
      </c>
      <c r="CL317" s="76">
        <f t="shared" si="780"/>
        <v>0</v>
      </c>
      <c r="CM317" s="2">
        <f t="shared" si="820"/>
        <v>0</v>
      </c>
      <c r="CN317" s="2">
        <f t="shared" si="820"/>
        <v>0</v>
      </c>
      <c r="CO317" s="2">
        <f t="shared" si="820"/>
        <v>0</v>
      </c>
      <c r="CP317" s="2">
        <f t="shared" si="820"/>
        <v>0</v>
      </c>
      <c r="CQ317" s="2">
        <f t="shared" si="820"/>
        <v>0</v>
      </c>
      <c r="CR317" s="2">
        <f t="shared" si="820"/>
        <v>0</v>
      </c>
    </row>
    <row r="318" spans="1:96">
      <c r="A318" s="50">
        <f t="shared" si="651"/>
        <v>318</v>
      </c>
      <c r="C318" s="36" t="s">
        <v>156</v>
      </c>
      <c r="D318" s="28" t="s">
        <v>354</v>
      </c>
      <c r="E318" s="23">
        <v>0</v>
      </c>
      <c r="F318" s="60" t="s">
        <v>450</v>
      </c>
      <c r="G318" s="60"/>
      <c r="H318" s="2">
        <f t="shared" si="805"/>
        <v>0</v>
      </c>
      <c r="I318" s="2">
        <f t="shared" si="806"/>
        <v>0</v>
      </c>
      <c r="J318" s="2">
        <f t="shared" si="806"/>
        <v>0</v>
      </c>
      <c r="K318" s="2">
        <f t="shared" si="806"/>
        <v>0</v>
      </c>
      <c r="L318" s="2">
        <f t="shared" si="806"/>
        <v>0</v>
      </c>
      <c r="M318" s="2">
        <f t="shared" si="806"/>
        <v>0</v>
      </c>
      <c r="N318" s="2">
        <f t="shared" si="806"/>
        <v>0</v>
      </c>
      <c r="O318" s="2"/>
      <c r="P318" s="61" t="str">
        <f>E$1&amp;$A318&amp;"*     """</f>
        <v>E318*     "</v>
      </c>
      <c r="Q318" s="61"/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76">
        <f t="shared" si="723"/>
        <v>0</v>
      </c>
      <c r="AK318" s="2">
        <f t="shared" si="808"/>
        <v>0</v>
      </c>
      <c r="AL318" s="2">
        <f t="shared" si="809"/>
        <v>0</v>
      </c>
      <c r="AM318" s="2">
        <f t="shared" si="809"/>
        <v>0</v>
      </c>
      <c r="AN318" s="2">
        <f t="shared" si="809"/>
        <v>0</v>
      </c>
      <c r="AO318" s="2">
        <f t="shared" si="809"/>
        <v>0</v>
      </c>
      <c r="AP318" s="2"/>
      <c r="AQ318" s="61" t="str">
        <f>E$1&amp;$A318&amp;"*      """</f>
        <v>E318*      "</v>
      </c>
      <c r="AS318" s="2">
        <f t="shared" si="810"/>
        <v>0</v>
      </c>
      <c r="AT318" s="2">
        <f t="shared" si="811"/>
        <v>0</v>
      </c>
      <c r="AU318" s="2">
        <f t="shared" si="811"/>
        <v>0</v>
      </c>
      <c r="AV318" s="2">
        <f t="shared" si="811"/>
        <v>0</v>
      </c>
      <c r="AW318" s="2">
        <f t="shared" si="811"/>
        <v>0</v>
      </c>
      <c r="AX318" s="2">
        <f t="shared" si="811"/>
        <v>0</v>
      </c>
      <c r="AY318" s="2">
        <f t="shared" si="811"/>
        <v>0</v>
      </c>
      <c r="BA318" s="2">
        <f t="shared" si="812"/>
        <v>0</v>
      </c>
      <c r="BB318" s="2">
        <f t="shared" si="813"/>
        <v>0</v>
      </c>
      <c r="BC318" s="2">
        <f t="shared" si="813"/>
        <v>0</v>
      </c>
      <c r="BD318" s="2">
        <f t="shared" si="813"/>
        <v>0</v>
      </c>
      <c r="BE318" s="2">
        <f t="shared" si="813"/>
        <v>0</v>
      </c>
      <c r="BF318" s="2">
        <f t="shared" si="813"/>
        <v>0</v>
      </c>
      <c r="BG318" s="2">
        <f t="shared" si="813"/>
        <v>0</v>
      </c>
      <c r="BI318" s="2">
        <f t="shared" si="814"/>
        <v>0</v>
      </c>
      <c r="BJ318" s="2">
        <f t="shared" si="815"/>
        <v>0</v>
      </c>
      <c r="BK318" s="2">
        <f t="shared" si="815"/>
        <v>0</v>
      </c>
      <c r="BL318" s="2">
        <f t="shared" si="815"/>
        <v>0</v>
      </c>
      <c r="BM318" s="2">
        <f t="shared" si="815"/>
        <v>0</v>
      </c>
      <c r="BN318" s="2">
        <f t="shared" si="815"/>
        <v>0</v>
      </c>
      <c r="BO318" s="2">
        <f t="shared" si="815"/>
        <v>0</v>
      </c>
      <c r="BQ318" s="28" t="s">
        <v>354</v>
      </c>
      <c r="BR318" s="23">
        <v>0</v>
      </c>
      <c r="BS318" s="14">
        <f t="shared" ref="BS318:BU319" si="823">R318</f>
        <v>0</v>
      </c>
      <c r="BT318" s="14">
        <f t="shared" si="823"/>
        <v>0</v>
      </c>
      <c r="BU318" s="14">
        <f t="shared" si="823"/>
        <v>0</v>
      </c>
      <c r="BV318" s="14">
        <f t="shared" ref="BV318:CB319" si="824">U318</f>
        <v>0</v>
      </c>
      <c r="BW318" s="14">
        <f t="shared" si="824"/>
        <v>0</v>
      </c>
      <c r="BX318" s="14">
        <f t="shared" si="824"/>
        <v>0</v>
      </c>
      <c r="BY318" s="14">
        <f t="shared" si="824"/>
        <v>0</v>
      </c>
      <c r="BZ318" s="14">
        <f t="shared" si="824"/>
        <v>0</v>
      </c>
      <c r="CA318" s="14">
        <f t="shared" si="824"/>
        <v>0</v>
      </c>
      <c r="CB318" s="14">
        <f t="shared" si="824"/>
        <v>0</v>
      </c>
      <c r="CC318" s="14">
        <f t="shared" ref="CC318:CF319" si="825">AB318</f>
        <v>1</v>
      </c>
      <c r="CD318" s="14">
        <f t="shared" si="825"/>
        <v>0</v>
      </c>
      <c r="CE318" s="14">
        <f t="shared" si="825"/>
        <v>0</v>
      </c>
      <c r="CF318" s="14">
        <f t="shared" si="825"/>
        <v>0</v>
      </c>
      <c r="CG318" s="14">
        <f t="shared" ref="CG318:CI319" si="826">AF318</f>
        <v>0</v>
      </c>
      <c r="CH318" s="14">
        <f t="shared" si="826"/>
        <v>0</v>
      </c>
      <c r="CI318" s="14">
        <f t="shared" si="826"/>
        <v>0</v>
      </c>
      <c r="CJ318" s="14"/>
      <c r="CK318" s="112" t="str">
        <f t="shared" si="819"/>
        <v>Input - 100% Cust</v>
      </c>
      <c r="CL318" s="76">
        <f t="shared" si="780"/>
        <v>0</v>
      </c>
      <c r="CM318" s="2">
        <f t="shared" si="820"/>
        <v>0</v>
      </c>
      <c r="CN318" s="2">
        <f t="shared" si="820"/>
        <v>0</v>
      </c>
      <c r="CO318" s="2">
        <f t="shared" si="820"/>
        <v>0</v>
      </c>
      <c r="CP318" s="2">
        <f t="shared" si="820"/>
        <v>0</v>
      </c>
      <c r="CQ318" s="2">
        <f t="shared" si="820"/>
        <v>0</v>
      </c>
      <c r="CR318" s="2">
        <f t="shared" si="820"/>
        <v>0</v>
      </c>
    </row>
    <row r="319" spans="1:96">
      <c r="A319" s="50">
        <f t="shared" si="651"/>
        <v>319</v>
      </c>
      <c r="C319" s="36" t="s">
        <v>155</v>
      </c>
      <c r="D319" s="28" t="s">
        <v>350</v>
      </c>
      <c r="E319" s="373">
        <f>'Acct 928'!E17</f>
        <v>649744</v>
      </c>
      <c r="F319" s="60" t="s">
        <v>451</v>
      </c>
      <c r="G319" s="60"/>
      <c r="H319" s="2">
        <f t="shared" si="805"/>
        <v>649744</v>
      </c>
      <c r="I319" s="2">
        <f t="shared" si="806"/>
        <v>503495.93844444666</v>
      </c>
      <c r="J319" s="2">
        <f t="shared" si="806"/>
        <v>123573.91661795111</v>
      </c>
      <c r="K319" s="2">
        <f t="shared" si="806"/>
        <v>0</v>
      </c>
      <c r="L319" s="2">
        <f t="shared" si="806"/>
        <v>3315.0409917292768</v>
      </c>
      <c r="M319" s="2">
        <f t="shared" si="806"/>
        <v>19359.103945872968</v>
      </c>
      <c r="N319" s="2">
        <f t="shared" si="806"/>
        <v>0</v>
      </c>
      <c r="O319" s="2"/>
      <c r="P319" s="61" t="str">
        <f>E$1&amp;$A319&amp;"*     """</f>
        <v>E319*     "</v>
      </c>
      <c r="Q319" s="61"/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1</v>
      </c>
      <c r="AI319" s="76">
        <f t="shared" si="723"/>
        <v>0</v>
      </c>
      <c r="AK319" s="2">
        <f t="shared" si="808"/>
        <v>649744</v>
      </c>
      <c r="AL319" s="2">
        <f t="shared" si="809"/>
        <v>0</v>
      </c>
      <c r="AM319" s="2">
        <f t="shared" si="809"/>
        <v>0</v>
      </c>
      <c r="AN319" s="2">
        <f t="shared" si="809"/>
        <v>0</v>
      </c>
      <c r="AO319" s="2">
        <f t="shared" si="809"/>
        <v>649744</v>
      </c>
      <c r="AP319" s="2"/>
      <c r="AQ319" s="61" t="str">
        <f>E$1&amp;$A319&amp;"*      """</f>
        <v>E319*      "</v>
      </c>
      <c r="AS319" s="2">
        <f t="shared" si="810"/>
        <v>0</v>
      </c>
      <c r="AT319" s="2">
        <f t="shared" si="811"/>
        <v>0</v>
      </c>
      <c r="AU319" s="2">
        <f t="shared" si="811"/>
        <v>0</v>
      </c>
      <c r="AV319" s="2">
        <f t="shared" si="811"/>
        <v>0</v>
      </c>
      <c r="AW319" s="2">
        <f t="shared" si="811"/>
        <v>0</v>
      </c>
      <c r="AX319" s="2">
        <f t="shared" si="811"/>
        <v>0</v>
      </c>
      <c r="AY319" s="2">
        <f t="shared" si="811"/>
        <v>0</v>
      </c>
      <c r="BA319" s="2">
        <f t="shared" si="812"/>
        <v>0</v>
      </c>
      <c r="BB319" s="2">
        <f t="shared" si="813"/>
        <v>0</v>
      </c>
      <c r="BC319" s="2">
        <f t="shared" si="813"/>
        <v>0</v>
      </c>
      <c r="BD319" s="2">
        <f t="shared" si="813"/>
        <v>0</v>
      </c>
      <c r="BE319" s="2">
        <f t="shared" si="813"/>
        <v>0</v>
      </c>
      <c r="BF319" s="2">
        <f t="shared" si="813"/>
        <v>0</v>
      </c>
      <c r="BG319" s="2">
        <f t="shared" si="813"/>
        <v>0</v>
      </c>
      <c r="BI319" s="2">
        <f t="shared" si="814"/>
        <v>0</v>
      </c>
      <c r="BJ319" s="2">
        <f t="shared" si="815"/>
        <v>0</v>
      </c>
      <c r="BK319" s="2">
        <f t="shared" si="815"/>
        <v>0</v>
      </c>
      <c r="BL319" s="2">
        <f t="shared" si="815"/>
        <v>0</v>
      </c>
      <c r="BM319" s="2">
        <f t="shared" si="815"/>
        <v>0</v>
      </c>
      <c r="BN319" s="2">
        <f t="shared" si="815"/>
        <v>0</v>
      </c>
      <c r="BO319" s="2">
        <f t="shared" si="815"/>
        <v>0</v>
      </c>
      <c r="BQ319" s="28" t="s">
        <v>350</v>
      </c>
      <c r="BR319" s="23">
        <v>0</v>
      </c>
      <c r="BS319" s="14">
        <f t="shared" si="823"/>
        <v>0</v>
      </c>
      <c r="BT319" s="14">
        <f t="shared" si="823"/>
        <v>0</v>
      </c>
      <c r="BU319" s="14">
        <f t="shared" si="823"/>
        <v>0</v>
      </c>
      <c r="BV319" s="14">
        <f t="shared" si="824"/>
        <v>0</v>
      </c>
      <c r="BW319" s="14">
        <f t="shared" si="824"/>
        <v>0</v>
      </c>
      <c r="BX319" s="14">
        <f t="shared" si="824"/>
        <v>0</v>
      </c>
      <c r="BY319" s="14">
        <f t="shared" si="824"/>
        <v>0</v>
      </c>
      <c r="BZ319" s="14">
        <f t="shared" si="824"/>
        <v>0</v>
      </c>
      <c r="CA319" s="14">
        <f t="shared" si="824"/>
        <v>0</v>
      </c>
      <c r="CB319" s="14">
        <f t="shared" si="824"/>
        <v>0</v>
      </c>
      <c r="CC319" s="14">
        <f t="shared" si="825"/>
        <v>0</v>
      </c>
      <c r="CD319" s="14">
        <f t="shared" si="825"/>
        <v>0</v>
      </c>
      <c r="CE319" s="14">
        <f t="shared" si="825"/>
        <v>0</v>
      </c>
      <c r="CF319" s="14">
        <f t="shared" si="825"/>
        <v>0</v>
      </c>
      <c r="CG319" s="14">
        <f t="shared" si="826"/>
        <v>0</v>
      </c>
      <c r="CH319" s="14">
        <f t="shared" si="826"/>
        <v>0</v>
      </c>
      <c r="CI319" s="14">
        <f t="shared" si="826"/>
        <v>1</v>
      </c>
      <c r="CJ319" s="14"/>
      <c r="CK319" s="112" t="str">
        <f t="shared" si="819"/>
        <v>Input - 100% Rev</v>
      </c>
      <c r="CL319" s="76">
        <f t="shared" si="780"/>
        <v>0</v>
      </c>
      <c r="CM319" s="2">
        <f t="shared" si="820"/>
        <v>0</v>
      </c>
      <c r="CN319" s="2">
        <f t="shared" si="820"/>
        <v>0</v>
      </c>
      <c r="CO319" s="2">
        <f t="shared" si="820"/>
        <v>0</v>
      </c>
      <c r="CP319" s="2">
        <f t="shared" si="820"/>
        <v>0</v>
      </c>
      <c r="CQ319" s="2">
        <f t="shared" si="820"/>
        <v>0</v>
      </c>
      <c r="CR319" s="2">
        <f t="shared" si="820"/>
        <v>0</v>
      </c>
    </row>
    <row r="320" spans="1:96">
      <c r="A320" s="50">
        <f t="shared" si="651"/>
        <v>320</v>
      </c>
      <c r="C320" s="36" t="s">
        <v>151</v>
      </c>
      <c r="D320" s="28" t="s">
        <v>355</v>
      </c>
      <c r="E320" s="23">
        <v>0</v>
      </c>
      <c r="F320" s="60" t="str">
        <f>"as Labor O&amp;M Exp. ("&amp;BS$1&amp;A$344&amp;")"</f>
        <v>as Labor O&amp;M Exp. (BS344)</v>
      </c>
      <c r="G320" s="60"/>
      <c r="H320" s="2">
        <f t="shared" si="805"/>
        <v>0</v>
      </c>
      <c r="I320" s="21">
        <f t="shared" ref="I320:N320" si="827">$E320*CM$344/$BR$344</f>
        <v>0</v>
      </c>
      <c r="J320" s="21">
        <f t="shared" si="827"/>
        <v>0</v>
      </c>
      <c r="K320" s="21">
        <f t="shared" si="827"/>
        <v>0</v>
      </c>
      <c r="L320" s="21">
        <f t="shared" si="827"/>
        <v>0</v>
      </c>
      <c r="M320" s="21">
        <f t="shared" si="827"/>
        <v>0</v>
      </c>
      <c r="N320" s="21">
        <f t="shared" si="827"/>
        <v>0</v>
      </c>
      <c r="O320" s="2"/>
      <c r="P320" s="61" t="str">
        <f>E$1&amp;$A320&amp;"* "&amp;CM$1&amp;A$344&amp;" / "&amp;BR$1&amp;A$344</f>
        <v>E320* CM344 / BR344</v>
      </c>
      <c r="Q320" s="61"/>
      <c r="R320" s="14">
        <f>BS$344</f>
        <v>0.10913184265939331</v>
      </c>
      <c r="S320" s="14">
        <f>BT$344</f>
        <v>3.3021876247189427E-2</v>
      </c>
      <c r="T320" s="14">
        <f t="shared" ref="T320:AH320" si="828">BU$344</f>
        <v>2.9366713079939091E-3</v>
      </c>
      <c r="U320" s="14">
        <f t="shared" si="828"/>
        <v>1.9653107984266921E-2</v>
      </c>
      <c r="V320" s="14">
        <f t="shared" si="828"/>
        <v>0</v>
      </c>
      <c r="W320" s="14">
        <f t="shared" si="828"/>
        <v>0.16142462055819431</v>
      </c>
      <c r="X320" s="14">
        <f t="shared" si="828"/>
        <v>0</v>
      </c>
      <c r="Y320" s="14">
        <f t="shared" si="828"/>
        <v>0</v>
      </c>
      <c r="Z320" s="14">
        <f t="shared" si="828"/>
        <v>0</v>
      </c>
      <c r="AA320" s="14">
        <f t="shared" si="828"/>
        <v>0</v>
      </c>
      <c r="AB320" s="14">
        <f t="shared" si="828"/>
        <v>0.37507244202834572</v>
      </c>
      <c r="AC320" s="14">
        <f t="shared" si="828"/>
        <v>0.18309838925091035</v>
      </c>
      <c r="AD320" s="14">
        <f t="shared" si="828"/>
        <v>0.11390268710509913</v>
      </c>
      <c r="AE320" s="14">
        <f t="shared" si="828"/>
        <v>0</v>
      </c>
      <c r="AF320" s="14">
        <f t="shared" si="828"/>
        <v>1.7583628586068862E-3</v>
      </c>
      <c r="AG320" s="14">
        <f t="shared" si="828"/>
        <v>0</v>
      </c>
      <c r="AH320" s="14">
        <f t="shared" si="828"/>
        <v>-4.5942138576433119E-19</v>
      </c>
      <c r="AI320" s="76">
        <f t="shared" ref="AI320:AI351" si="829">IF(SUM(R320:AH320)&lt;&gt;0,(ROUND(SUM(R320:AH320),8)&lt;&gt;1)+0,0)</f>
        <v>0</v>
      </c>
      <c r="AK320" s="2">
        <f t="shared" si="808"/>
        <v>0</v>
      </c>
      <c r="AL320" s="2">
        <f t="shared" si="809"/>
        <v>0</v>
      </c>
      <c r="AM320" s="2">
        <f t="shared" si="809"/>
        <v>0</v>
      </c>
      <c r="AN320" s="2">
        <f t="shared" si="809"/>
        <v>0</v>
      </c>
      <c r="AO320" s="2">
        <f t="shared" si="809"/>
        <v>0</v>
      </c>
      <c r="AP320" s="2"/>
      <c r="AQ320" s="61" t="str">
        <f>E$1&amp;$A320&amp;"*      """</f>
        <v>E320*      "</v>
      </c>
      <c r="AS320" s="2">
        <f t="shared" si="810"/>
        <v>0</v>
      </c>
      <c r="AT320" s="2">
        <f t="shared" si="811"/>
        <v>0</v>
      </c>
      <c r="AU320" s="2">
        <f t="shared" si="811"/>
        <v>0</v>
      </c>
      <c r="AV320" s="2">
        <f t="shared" si="811"/>
        <v>0</v>
      </c>
      <c r="AW320" s="2">
        <f t="shared" si="811"/>
        <v>0</v>
      </c>
      <c r="AX320" s="2">
        <f t="shared" si="811"/>
        <v>0</v>
      </c>
      <c r="AY320" s="2">
        <f t="shared" si="811"/>
        <v>0</v>
      </c>
      <c r="BA320" s="2">
        <f t="shared" si="812"/>
        <v>0</v>
      </c>
      <c r="BB320" s="2">
        <f t="shared" si="813"/>
        <v>0</v>
      </c>
      <c r="BC320" s="2">
        <f t="shared" si="813"/>
        <v>0</v>
      </c>
      <c r="BD320" s="2">
        <f t="shared" si="813"/>
        <v>0</v>
      </c>
      <c r="BE320" s="2">
        <f t="shared" si="813"/>
        <v>0</v>
      </c>
      <c r="BF320" s="2">
        <f t="shared" si="813"/>
        <v>0</v>
      </c>
      <c r="BG320" s="2">
        <f t="shared" si="813"/>
        <v>0</v>
      </c>
      <c r="BI320" s="2">
        <f t="shared" si="814"/>
        <v>0</v>
      </c>
      <c r="BJ320" s="2">
        <f t="shared" si="815"/>
        <v>0</v>
      </c>
      <c r="BK320" s="2">
        <f t="shared" si="815"/>
        <v>0</v>
      </c>
      <c r="BL320" s="2">
        <f t="shared" si="815"/>
        <v>0</v>
      </c>
      <c r="BM320" s="2">
        <f t="shared" si="815"/>
        <v>0</v>
      </c>
      <c r="BN320" s="2">
        <f t="shared" si="815"/>
        <v>0</v>
      </c>
      <c r="BO320" s="2">
        <f t="shared" si="815"/>
        <v>0</v>
      </c>
      <c r="BQ320" s="28" t="s">
        <v>355</v>
      </c>
      <c r="BR320" s="23">
        <v>0</v>
      </c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112" t="str">
        <f t="shared" si="819"/>
        <v>as Labor O&amp;M Exp. (BS344)</v>
      </c>
      <c r="CL320" s="76">
        <f t="shared" si="780"/>
        <v>0</v>
      </c>
      <c r="CM320" s="2"/>
      <c r="CN320" s="2"/>
      <c r="CO320" s="2"/>
      <c r="CP320" s="2"/>
      <c r="CQ320" s="2"/>
      <c r="CR320" s="2"/>
    </row>
    <row r="321" spans="1:96">
      <c r="A321" s="50">
        <f t="shared" si="651"/>
        <v>321</v>
      </c>
      <c r="B321" t="s">
        <v>59</v>
      </c>
      <c r="D321" t="s">
        <v>60</v>
      </c>
      <c r="E321" s="2"/>
      <c r="F321" s="60"/>
      <c r="G321" s="60"/>
      <c r="I321" s="49"/>
      <c r="P321" s="61"/>
      <c r="Q321" s="61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76">
        <f t="shared" si="829"/>
        <v>0</v>
      </c>
      <c r="AQ321" s="61"/>
      <c r="BQ321" t="s">
        <v>60</v>
      </c>
      <c r="CK321" s="112"/>
      <c r="CL321" s="76">
        <f t="shared" si="780"/>
        <v>0</v>
      </c>
      <c r="CM321" s="49"/>
    </row>
    <row r="322" spans="1:96">
      <c r="A322" s="50">
        <f t="shared" si="651"/>
        <v>322</v>
      </c>
      <c r="C322" s="36" t="s">
        <v>151</v>
      </c>
      <c r="D322" s="56" t="s">
        <v>147</v>
      </c>
      <c r="E322" s="373">
        <f>PROFORMA!AY137</f>
        <v>1699000</v>
      </c>
      <c r="F322" s="61" t="s">
        <v>996</v>
      </c>
      <c r="G322" s="60"/>
      <c r="H322" s="2">
        <f t="shared" ref="H322:H327" si="830">SUM(I322:N322)</f>
        <v>1699000</v>
      </c>
      <c r="I322" s="21">
        <f t="shared" ref="I322:N326" si="831">$E322*SUMPRODUCT($R322:$AH322,INDEX(AllocFactors,I$4,0))</f>
        <v>1430084.2634189751</v>
      </c>
      <c r="J322" s="2">
        <f t="shared" si="831"/>
        <v>217022.00004767923</v>
      </c>
      <c r="K322" s="2">
        <f t="shared" si="831"/>
        <v>0</v>
      </c>
      <c r="L322" s="2">
        <f t="shared" si="831"/>
        <v>5237.2632902841833</v>
      </c>
      <c r="M322" s="2">
        <f t="shared" si="831"/>
        <v>46656.473243061555</v>
      </c>
      <c r="N322" s="2">
        <f t="shared" si="831"/>
        <v>0</v>
      </c>
      <c r="O322" s="2"/>
      <c r="P322" s="61" t="s">
        <v>997</v>
      </c>
      <c r="Q322" s="61"/>
      <c r="R322" s="14">
        <f>R$259</f>
        <v>9.9370957155623774E-2</v>
      </c>
      <c r="S322" s="14">
        <f t="shared" ref="S322:AH322" si="832">S$259</f>
        <v>1.5218388550417537E-2</v>
      </c>
      <c r="T322" s="14">
        <f t="shared" si="832"/>
        <v>8.699877677308605E-3</v>
      </c>
      <c r="U322" s="14">
        <f t="shared" si="832"/>
        <v>5.822225830198835E-2</v>
      </c>
      <c r="V322" s="14">
        <f t="shared" si="832"/>
        <v>0</v>
      </c>
      <c r="W322" s="14">
        <f t="shared" si="832"/>
        <v>0.15327818313927072</v>
      </c>
      <c r="X322" s="14">
        <f t="shared" si="832"/>
        <v>0</v>
      </c>
      <c r="Y322" s="14">
        <f t="shared" si="832"/>
        <v>0</v>
      </c>
      <c r="Z322" s="14">
        <f t="shared" si="832"/>
        <v>0</v>
      </c>
      <c r="AA322" s="14">
        <f t="shared" si="832"/>
        <v>0</v>
      </c>
      <c r="AB322" s="14">
        <f t="shared" si="832"/>
        <v>0.41313387731559803</v>
      </c>
      <c r="AC322" s="14">
        <f t="shared" si="832"/>
        <v>0.17108548237195526</v>
      </c>
      <c r="AD322" s="14">
        <f t="shared" si="832"/>
        <v>7.9473703927617212E-2</v>
      </c>
      <c r="AE322" s="14">
        <f t="shared" si="832"/>
        <v>0</v>
      </c>
      <c r="AF322" s="14">
        <f t="shared" si="832"/>
        <v>1.5172715602204624E-3</v>
      </c>
      <c r="AG322" s="14">
        <f t="shared" si="832"/>
        <v>0</v>
      </c>
      <c r="AH322" s="14">
        <f t="shared" si="832"/>
        <v>-1.4146429571039994E-18</v>
      </c>
      <c r="AI322" s="76">
        <f t="shared" si="829"/>
        <v>0</v>
      </c>
      <c r="AK322" s="2">
        <f t="shared" ref="AK322:AK327" si="833">SUM(AL322:AO322)</f>
        <v>1699000</v>
      </c>
      <c r="AL322" s="2">
        <f t="shared" ref="AL322:AO327" si="834">SUMIF($R$4:$AH$4,AL$5,$R322:$AH322)*$E322</f>
        <v>308388.00738338969</v>
      </c>
      <c r="AM322" s="2">
        <f t="shared" si="834"/>
        <v>260419.63315362096</v>
      </c>
      <c r="AN322" s="2">
        <f t="shared" si="834"/>
        <v>1130192.3594629893</v>
      </c>
      <c r="AO322" s="2">
        <f t="shared" si="834"/>
        <v>-2.403478384119695E-12</v>
      </c>
      <c r="AP322" s="2"/>
      <c r="AQ322" s="61" t="str">
        <f>E$1&amp;$A322&amp;"*["&amp;R$1&amp;$A322&amp;":"&amp;$AH$1&amp;$A322&amp;" when "&amp;R$1&amp;$A$4&amp;":"&amp;$AH$1&amp;$A$4&amp;" = E,D,C,or R]"</f>
        <v>E322*[R322:AH322 when R4:AH4 = E,D,C,or R]</v>
      </c>
      <c r="AS322" s="2">
        <f t="shared" ref="AS322:AS327" si="835">SUM(AT322:AY322)</f>
        <v>308388.00738338975</v>
      </c>
      <c r="AT322" s="2">
        <f t="shared" ref="AT322:AY327" si="836">$E322*SUMPRODUCT($R322:$V322,INDEX(AllocFactors_E,AT$4,0))</f>
        <v>195346.98372853437</v>
      </c>
      <c r="AU322" s="2">
        <f t="shared" si="836"/>
        <v>85590.596552713585</v>
      </c>
      <c r="AV322" s="2">
        <f t="shared" si="836"/>
        <v>0</v>
      </c>
      <c r="AW322" s="2">
        <f t="shared" si="836"/>
        <v>3083.2042621698047</v>
      </c>
      <c r="AX322" s="2">
        <f t="shared" si="836"/>
        <v>24367.222839971986</v>
      </c>
      <c r="AY322" s="2">
        <f t="shared" si="836"/>
        <v>0</v>
      </c>
      <c r="BA322" s="2">
        <f t="shared" ref="BA322:BA327" si="837">SUM(BB322:BG322)</f>
        <v>260419.63315362093</v>
      </c>
      <c r="BB322" s="2">
        <f t="shared" ref="BB322:BG327" si="838">$E322*SUMPRODUCT($W322:$AA322,INDEX(AllocFactors_D,BB$4,0))</f>
        <v>147228.6227120939</v>
      </c>
      <c r="BC322" s="2">
        <f t="shared" si="838"/>
        <v>90862.405817543986</v>
      </c>
      <c r="BD322" s="2">
        <f t="shared" si="838"/>
        <v>0</v>
      </c>
      <c r="BE322" s="2">
        <f t="shared" si="838"/>
        <v>1957.7827112814716</v>
      </c>
      <c r="BF322" s="2">
        <f t="shared" si="838"/>
        <v>20370.821912701562</v>
      </c>
      <c r="BG322" s="2">
        <f t="shared" si="838"/>
        <v>0</v>
      </c>
      <c r="BI322" s="2">
        <f t="shared" ref="BI322:BI327" si="839">SUM(BJ322:BO322)</f>
        <v>1130192.3594629893</v>
      </c>
      <c r="BJ322" s="2">
        <f t="shared" ref="BJ322:BO327" si="840">$E322*SUMPRODUCT($AB322:$AG322,INDEX(AllocFactors_C,BJ$4,0))</f>
        <v>1087508.6569783466</v>
      </c>
      <c r="BK322" s="2">
        <f t="shared" si="840"/>
        <v>40568.99767742167</v>
      </c>
      <c r="BL322" s="2">
        <f t="shared" si="840"/>
        <v>0</v>
      </c>
      <c r="BM322" s="2">
        <f t="shared" si="840"/>
        <v>196.27631683290687</v>
      </c>
      <c r="BN322" s="2">
        <f t="shared" si="840"/>
        <v>1918.4284903880107</v>
      </c>
      <c r="BO322" s="2">
        <f t="shared" si="840"/>
        <v>0</v>
      </c>
      <c r="BQ322" s="28" t="s">
        <v>351</v>
      </c>
      <c r="BR322" s="23">
        <v>135834</v>
      </c>
      <c r="BS322" s="14">
        <f t="shared" ref="BS322:BU323" si="841">R322</f>
        <v>9.9370957155623774E-2</v>
      </c>
      <c r="BT322" s="14">
        <f t="shared" si="841"/>
        <v>1.5218388550417537E-2</v>
      </c>
      <c r="BU322" s="14">
        <f t="shared" si="841"/>
        <v>8.699877677308605E-3</v>
      </c>
      <c r="BV322" s="14">
        <f t="shared" ref="BV322:CB323" si="842">U322</f>
        <v>5.822225830198835E-2</v>
      </c>
      <c r="BW322" s="14">
        <f t="shared" si="842"/>
        <v>0</v>
      </c>
      <c r="BX322" s="14">
        <f t="shared" si="842"/>
        <v>0.15327818313927072</v>
      </c>
      <c r="BY322" s="14">
        <f t="shared" si="842"/>
        <v>0</v>
      </c>
      <c r="BZ322" s="14">
        <f t="shared" si="842"/>
        <v>0</v>
      </c>
      <c r="CA322" s="14">
        <f t="shared" si="842"/>
        <v>0</v>
      </c>
      <c r="CB322" s="14">
        <f t="shared" si="842"/>
        <v>0</v>
      </c>
      <c r="CC322" s="14">
        <f t="shared" ref="CC322:CI323" si="843">AB322</f>
        <v>0.41313387731559803</v>
      </c>
      <c r="CD322" s="14">
        <f t="shared" si="843"/>
        <v>0.17108548237195526</v>
      </c>
      <c r="CE322" s="14">
        <f t="shared" si="843"/>
        <v>7.9473703927617212E-2</v>
      </c>
      <c r="CF322" s="14">
        <f t="shared" si="843"/>
        <v>0</v>
      </c>
      <c r="CG322" s="14">
        <f t="shared" si="843"/>
        <v>1.5172715602204624E-3</v>
      </c>
      <c r="CH322" s="14">
        <f t="shared" si="843"/>
        <v>0</v>
      </c>
      <c r="CI322" s="14">
        <f t="shared" si="843"/>
        <v>-1.4146429571039994E-18</v>
      </c>
      <c r="CJ322" s="14"/>
      <c r="CK322" s="112" t="str">
        <f t="shared" ref="CK322:CK327" si="844">F322</f>
        <v>4-Factor</v>
      </c>
      <c r="CL322" s="76">
        <f t="shared" si="780"/>
        <v>0</v>
      </c>
      <c r="CM322" s="2">
        <f t="shared" ref="CM322:CR326" si="845">$BR322*SUMPRODUCT($BS322:$CI322,INDEX(AllocFactors,CM$172,0))</f>
        <v>114334.35305312129</v>
      </c>
      <c r="CN322" s="2">
        <f t="shared" si="845"/>
        <v>17350.774781916694</v>
      </c>
      <c r="CO322" s="2">
        <f t="shared" si="845"/>
        <v>0</v>
      </c>
      <c r="CP322" s="2">
        <f t="shared" si="845"/>
        <v>418.71596337402104</v>
      </c>
      <c r="CQ322" s="2">
        <f t="shared" si="845"/>
        <v>3730.1562015880068</v>
      </c>
      <c r="CR322" s="2">
        <f t="shared" si="845"/>
        <v>0</v>
      </c>
    </row>
    <row r="323" spans="1:96">
      <c r="A323" s="50">
        <f t="shared" si="651"/>
        <v>323</v>
      </c>
      <c r="C323" s="36" t="s">
        <v>151</v>
      </c>
      <c r="D323" s="56" t="s">
        <v>352</v>
      </c>
      <c r="E323" s="135">
        <v>0</v>
      </c>
      <c r="F323" s="442" t="s">
        <v>444</v>
      </c>
      <c r="G323" s="60"/>
      <c r="H323" s="2">
        <f t="shared" si="830"/>
        <v>0</v>
      </c>
      <c r="I323" s="21">
        <f t="shared" si="831"/>
        <v>0</v>
      </c>
      <c r="J323" s="2">
        <f t="shared" si="831"/>
        <v>0</v>
      </c>
      <c r="K323" s="2">
        <f t="shared" si="831"/>
        <v>0</v>
      </c>
      <c r="L323" s="2">
        <f t="shared" si="831"/>
        <v>0</v>
      </c>
      <c r="M323" s="2">
        <f t="shared" si="831"/>
        <v>0</v>
      </c>
      <c r="N323" s="2">
        <f t="shared" si="831"/>
        <v>0</v>
      </c>
      <c r="O323" s="2"/>
      <c r="P323" s="61" t="str">
        <f>E$1&amp;$A323&amp;"*     """</f>
        <v>E323*     "</v>
      </c>
      <c r="Q323" s="61"/>
      <c r="R323" s="441">
        <v>1</v>
      </c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76">
        <f t="shared" si="829"/>
        <v>0</v>
      </c>
      <c r="AK323" s="2">
        <f t="shared" si="833"/>
        <v>0</v>
      </c>
      <c r="AL323" s="2">
        <f t="shared" si="834"/>
        <v>0</v>
      </c>
      <c r="AM323" s="2">
        <f t="shared" si="834"/>
        <v>0</v>
      </c>
      <c r="AN323" s="2">
        <f t="shared" si="834"/>
        <v>0</v>
      </c>
      <c r="AO323" s="2">
        <f t="shared" si="834"/>
        <v>0</v>
      </c>
      <c r="AP323" s="2"/>
      <c r="AQ323" s="61" t="str">
        <f>E$1&amp;$A323&amp;"*      """</f>
        <v>E323*      "</v>
      </c>
      <c r="AS323" s="2">
        <f t="shared" si="835"/>
        <v>0</v>
      </c>
      <c r="AT323" s="2">
        <f t="shared" si="836"/>
        <v>0</v>
      </c>
      <c r="AU323" s="2">
        <f t="shared" si="836"/>
        <v>0</v>
      </c>
      <c r="AV323" s="2">
        <f t="shared" si="836"/>
        <v>0</v>
      </c>
      <c r="AW323" s="2">
        <f t="shared" si="836"/>
        <v>0</v>
      </c>
      <c r="AX323" s="2">
        <f t="shared" si="836"/>
        <v>0</v>
      </c>
      <c r="AY323" s="2">
        <f t="shared" si="836"/>
        <v>0</v>
      </c>
      <c r="BA323" s="2">
        <f t="shared" si="837"/>
        <v>0</v>
      </c>
      <c r="BB323" s="2">
        <f t="shared" si="838"/>
        <v>0</v>
      </c>
      <c r="BC323" s="2">
        <f t="shared" si="838"/>
        <v>0</v>
      </c>
      <c r="BD323" s="2">
        <f t="shared" si="838"/>
        <v>0</v>
      </c>
      <c r="BE323" s="2">
        <f t="shared" si="838"/>
        <v>0</v>
      </c>
      <c r="BF323" s="2">
        <f t="shared" si="838"/>
        <v>0</v>
      </c>
      <c r="BG323" s="2">
        <f t="shared" si="838"/>
        <v>0</v>
      </c>
      <c r="BI323" s="2">
        <f t="shared" si="839"/>
        <v>0</v>
      </c>
      <c r="BJ323" s="2">
        <f t="shared" si="840"/>
        <v>0</v>
      </c>
      <c r="BK323" s="2">
        <f t="shared" si="840"/>
        <v>0</v>
      </c>
      <c r="BL323" s="2">
        <f t="shared" si="840"/>
        <v>0</v>
      </c>
      <c r="BM323" s="2">
        <f t="shared" si="840"/>
        <v>0</v>
      </c>
      <c r="BN323" s="2">
        <f t="shared" si="840"/>
        <v>0</v>
      </c>
      <c r="BO323" s="2">
        <f t="shared" si="840"/>
        <v>0</v>
      </c>
      <c r="BQ323" s="28" t="s">
        <v>352</v>
      </c>
      <c r="BR323" s="23">
        <v>0</v>
      </c>
      <c r="BS323" s="14">
        <f t="shared" si="841"/>
        <v>1</v>
      </c>
      <c r="BT323" s="14">
        <f t="shared" si="841"/>
        <v>0</v>
      </c>
      <c r="BU323" s="14">
        <f t="shared" si="841"/>
        <v>0</v>
      </c>
      <c r="BV323" s="14">
        <f t="shared" si="842"/>
        <v>0</v>
      </c>
      <c r="BW323" s="14">
        <f t="shared" si="842"/>
        <v>0</v>
      </c>
      <c r="BX323" s="14">
        <f t="shared" si="842"/>
        <v>0</v>
      </c>
      <c r="BY323" s="14">
        <f t="shared" si="842"/>
        <v>0</v>
      </c>
      <c r="BZ323" s="14">
        <f t="shared" si="842"/>
        <v>0</v>
      </c>
      <c r="CA323" s="14">
        <f t="shared" si="842"/>
        <v>0</v>
      </c>
      <c r="CB323" s="14">
        <f t="shared" si="842"/>
        <v>0</v>
      </c>
      <c r="CC323" s="14">
        <f t="shared" si="843"/>
        <v>0</v>
      </c>
      <c r="CD323" s="14">
        <f t="shared" si="843"/>
        <v>0</v>
      </c>
      <c r="CE323" s="14">
        <f t="shared" si="843"/>
        <v>0</v>
      </c>
      <c r="CF323" s="14">
        <f t="shared" si="843"/>
        <v>0</v>
      </c>
      <c r="CG323" s="14">
        <f t="shared" si="843"/>
        <v>0</v>
      </c>
      <c r="CH323" s="14">
        <f t="shared" si="843"/>
        <v>0</v>
      </c>
      <c r="CI323" s="14">
        <f t="shared" si="843"/>
        <v>0</v>
      </c>
      <c r="CJ323" s="14"/>
      <c r="CK323" s="112" t="str">
        <f t="shared" si="844"/>
        <v>Input - 100% Throughput</v>
      </c>
      <c r="CL323" s="76">
        <f t="shared" si="780"/>
        <v>0</v>
      </c>
      <c r="CM323" s="2">
        <f t="shared" si="845"/>
        <v>0</v>
      </c>
      <c r="CN323" s="2">
        <f t="shared" si="845"/>
        <v>0</v>
      </c>
      <c r="CO323" s="2">
        <f t="shared" si="845"/>
        <v>0</v>
      </c>
      <c r="CP323" s="2">
        <f t="shared" si="845"/>
        <v>0</v>
      </c>
      <c r="CQ323" s="2">
        <f t="shared" si="845"/>
        <v>0</v>
      </c>
      <c r="CR323" s="2">
        <f t="shared" si="845"/>
        <v>0</v>
      </c>
    </row>
    <row r="324" spans="1:96">
      <c r="A324" s="50">
        <f t="shared" si="651"/>
        <v>324</v>
      </c>
      <c r="C324" s="36" t="s">
        <v>151</v>
      </c>
      <c r="D324" s="28" t="s">
        <v>353</v>
      </c>
      <c r="E324" s="23">
        <v>0</v>
      </c>
      <c r="F324" s="60" t="str">
        <f>"as Plant in Service ("&amp;A$58&amp;")"</f>
        <v>as Plant in Service (58)</v>
      </c>
      <c r="G324" s="60"/>
      <c r="H324" s="2">
        <f t="shared" si="830"/>
        <v>0</v>
      </c>
      <c r="I324" s="21">
        <f t="shared" si="831"/>
        <v>0</v>
      </c>
      <c r="J324" s="2">
        <f t="shared" si="831"/>
        <v>0</v>
      </c>
      <c r="K324" s="2">
        <f t="shared" si="831"/>
        <v>0</v>
      </c>
      <c r="L324" s="2">
        <f t="shared" si="831"/>
        <v>0</v>
      </c>
      <c r="M324" s="2">
        <f t="shared" si="831"/>
        <v>0</v>
      </c>
      <c r="N324" s="2">
        <f t="shared" si="831"/>
        <v>0</v>
      </c>
      <c r="O324" s="2"/>
      <c r="P324" s="61" t="str">
        <f>E$1&amp;$A324&amp;"*     """</f>
        <v>E324*     "</v>
      </c>
      <c r="Q324" s="61"/>
      <c r="R324" s="14">
        <f>R$58</f>
        <v>0.16904766890389558</v>
      </c>
      <c r="S324" s="14">
        <f t="shared" ref="S324:AH324" si="846">S$58</f>
        <v>2.676215166561764E-3</v>
      </c>
      <c r="T324" s="14">
        <f t="shared" si="846"/>
        <v>6.7778250216338808E-3</v>
      </c>
      <c r="U324" s="14">
        <f t="shared" si="846"/>
        <v>4.5359290529395975E-2</v>
      </c>
      <c r="V324" s="14">
        <f t="shared" si="846"/>
        <v>0</v>
      </c>
      <c r="W324" s="14">
        <f t="shared" si="846"/>
        <v>0.27058822771397795</v>
      </c>
      <c r="X324" s="14">
        <f t="shared" si="846"/>
        <v>0</v>
      </c>
      <c r="Y324" s="14">
        <f t="shared" si="846"/>
        <v>0</v>
      </c>
      <c r="Z324" s="14">
        <f t="shared" si="846"/>
        <v>0</v>
      </c>
      <c r="AA324" s="14">
        <f t="shared" si="846"/>
        <v>0</v>
      </c>
      <c r="AB324" s="14">
        <f t="shared" si="846"/>
        <v>7.2651262952682066E-2</v>
      </c>
      <c r="AC324" s="14">
        <f t="shared" si="846"/>
        <v>0.31137572086955634</v>
      </c>
      <c r="AD324" s="14">
        <f t="shared" si="846"/>
        <v>0.11759557901028445</v>
      </c>
      <c r="AE324" s="14">
        <f t="shared" si="846"/>
        <v>0</v>
      </c>
      <c r="AF324" s="14">
        <f t="shared" si="846"/>
        <v>3.9282098320119977E-3</v>
      </c>
      <c r="AG324" s="14">
        <f t="shared" si="846"/>
        <v>0</v>
      </c>
      <c r="AH324" s="14">
        <f t="shared" si="846"/>
        <v>-2.4244162456526846E-19</v>
      </c>
      <c r="AI324" s="76">
        <f t="shared" si="829"/>
        <v>0</v>
      </c>
      <c r="AK324" s="2">
        <f t="shared" si="833"/>
        <v>0</v>
      </c>
      <c r="AL324" s="2">
        <f t="shared" si="834"/>
        <v>0</v>
      </c>
      <c r="AM324" s="2">
        <f t="shared" si="834"/>
        <v>0</v>
      </c>
      <c r="AN324" s="2">
        <f t="shared" si="834"/>
        <v>0</v>
      </c>
      <c r="AO324" s="2">
        <f t="shared" si="834"/>
        <v>0</v>
      </c>
      <c r="AP324" s="2"/>
      <c r="AQ324" s="61" t="str">
        <f>E$1&amp;$A324&amp;"*      """</f>
        <v>E324*      "</v>
      </c>
      <c r="AS324" s="2">
        <f t="shared" si="835"/>
        <v>0</v>
      </c>
      <c r="AT324" s="2">
        <f t="shared" si="836"/>
        <v>0</v>
      </c>
      <c r="AU324" s="2">
        <f t="shared" si="836"/>
        <v>0</v>
      </c>
      <c r="AV324" s="2">
        <f t="shared" si="836"/>
        <v>0</v>
      </c>
      <c r="AW324" s="2">
        <f t="shared" si="836"/>
        <v>0</v>
      </c>
      <c r="AX324" s="2">
        <f t="shared" si="836"/>
        <v>0</v>
      </c>
      <c r="AY324" s="2">
        <f t="shared" si="836"/>
        <v>0</v>
      </c>
      <c r="BA324" s="2">
        <f t="shared" si="837"/>
        <v>0</v>
      </c>
      <c r="BB324" s="2">
        <f t="shared" si="838"/>
        <v>0</v>
      </c>
      <c r="BC324" s="2">
        <f t="shared" si="838"/>
        <v>0</v>
      </c>
      <c r="BD324" s="2">
        <f t="shared" si="838"/>
        <v>0</v>
      </c>
      <c r="BE324" s="2">
        <f t="shared" si="838"/>
        <v>0</v>
      </c>
      <c r="BF324" s="2">
        <f t="shared" si="838"/>
        <v>0</v>
      </c>
      <c r="BG324" s="2">
        <f t="shared" si="838"/>
        <v>0</v>
      </c>
      <c r="BI324" s="2">
        <f t="shared" si="839"/>
        <v>0</v>
      </c>
      <c r="BJ324" s="2">
        <f t="shared" si="840"/>
        <v>0</v>
      </c>
      <c r="BK324" s="2">
        <f t="shared" si="840"/>
        <v>0</v>
      </c>
      <c r="BL324" s="2">
        <f t="shared" si="840"/>
        <v>0</v>
      </c>
      <c r="BM324" s="2">
        <f t="shared" si="840"/>
        <v>0</v>
      </c>
      <c r="BN324" s="2">
        <f t="shared" si="840"/>
        <v>0</v>
      </c>
      <c r="BO324" s="2">
        <f t="shared" si="840"/>
        <v>0</v>
      </c>
      <c r="BQ324" s="28" t="s">
        <v>353</v>
      </c>
      <c r="BR324" s="23">
        <v>0</v>
      </c>
      <c r="BS324" s="14">
        <f>R$58</f>
        <v>0.16904766890389558</v>
      </c>
      <c r="BT324" s="14">
        <f>S$58</f>
        <v>2.676215166561764E-3</v>
      </c>
      <c r="BU324" s="14">
        <f>T$58</f>
        <v>6.7778250216338808E-3</v>
      </c>
      <c r="BV324" s="14">
        <f t="shared" ref="BV324:CI324" si="847">U$58</f>
        <v>4.5359290529395975E-2</v>
      </c>
      <c r="BW324" s="14">
        <f t="shared" si="847"/>
        <v>0</v>
      </c>
      <c r="BX324" s="14">
        <f t="shared" si="847"/>
        <v>0.27058822771397795</v>
      </c>
      <c r="BY324" s="14">
        <f t="shared" si="847"/>
        <v>0</v>
      </c>
      <c r="BZ324" s="14">
        <f t="shared" si="847"/>
        <v>0</v>
      </c>
      <c r="CA324" s="14">
        <f t="shared" si="847"/>
        <v>0</v>
      </c>
      <c r="CB324" s="14">
        <f t="shared" si="847"/>
        <v>0</v>
      </c>
      <c r="CC324" s="14">
        <f t="shared" si="847"/>
        <v>7.2651262952682066E-2</v>
      </c>
      <c r="CD324" s="14">
        <f t="shared" si="847"/>
        <v>0.31137572086955634</v>
      </c>
      <c r="CE324" s="14">
        <f t="shared" si="847"/>
        <v>0.11759557901028445</v>
      </c>
      <c r="CF324" s="14">
        <f t="shared" si="847"/>
        <v>0</v>
      </c>
      <c r="CG324" s="14">
        <f t="shared" si="847"/>
        <v>3.9282098320119977E-3</v>
      </c>
      <c r="CH324" s="14">
        <f t="shared" si="847"/>
        <v>0</v>
      </c>
      <c r="CI324" s="14">
        <f t="shared" si="847"/>
        <v>-2.4244162456526846E-19</v>
      </c>
      <c r="CJ324" s="14"/>
      <c r="CK324" s="112" t="str">
        <f t="shared" si="844"/>
        <v>as Plant in Service (58)</v>
      </c>
      <c r="CL324" s="76">
        <f t="shared" si="780"/>
        <v>0</v>
      </c>
      <c r="CM324" s="2">
        <f t="shared" si="845"/>
        <v>0</v>
      </c>
      <c r="CN324" s="2">
        <f t="shared" si="845"/>
        <v>0</v>
      </c>
      <c r="CO324" s="2">
        <f t="shared" si="845"/>
        <v>0</v>
      </c>
      <c r="CP324" s="2">
        <f t="shared" si="845"/>
        <v>0</v>
      </c>
      <c r="CQ324" s="2">
        <f t="shared" si="845"/>
        <v>0</v>
      </c>
      <c r="CR324" s="2">
        <f t="shared" si="845"/>
        <v>0</v>
      </c>
    </row>
    <row r="325" spans="1:96">
      <c r="A325" s="50">
        <f t="shared" si="651"/>
        <v>325</v>
      </c>
      <c r="C325" s="36" t="s">
        <v>156</v>
      </c>
      <c r="D325" s="28" t="s">
        <v>354</v>
      </c>
      <c r="E325" s="23">
        <v>0</v>
      </c>
      <c r="F325" s="60" t="s">
        <v>450</v>
      </c>
      <c r="G325" s="60"/>
      <c r="H325" s="2">
        <f t="shared" si="830"/>
        <v>0</v>
      </c>
      <c r="I325" s="21">
        <f t="shared" si="831"/>
        <v>0</v>
      </c>
      <c r="J325" s="2">
        <f t="shared" si="831"/>
        <v>0</v>
      </c>
      <c r="K325" s="2">
        <f t="shared" si="831"/>
        <v>0</v>
      </c>
      <c r="L325" s="2">
        <f t="shared" si="831"/>
        <v>0</v>
      </c>
      <c r="M325" s="2">
        <f t="shared" si="831"/>
        <v>0</v>
      </c>
      <c r="N325" s="2">
        <f t="shared" si="831"/>
        <v>0</v>
      </c>
      <c r="O325" s="2"/>
      <c r="P325" s="61" t="str">
        <f>E$1&amp;$A325&amp;"*     """</f>
        <v>E325*     "</v>
      </c>
      <c r="Q325" s="61"/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76">
        <f t="shared" si="829"/>
        <v>0</v>
      </c>
      <c r="AK325" s="2">
        <f t="shared" si="833"/>
        <v>0</v>
      </c>
      <c r="AL325" s="2">
        <f t="shared" si="834"/>
        <v>0</v>
      </c>
      <c r="AM325" s="2">
        <f t="shared" si="834"/>
        <v>0</v>
      </c>
      <c r="AN325" s="2">
        <f t="shared" si="834"/>
        <v>0</v>
      </c>
      <c r="AO325" s="2">
        <f t="shared" si="834"/>
        <v>0</v>
      </c>
      <c r="AP325" s="2"/>
      <c r="AQ325" s="61" t="str">
        <f>E$1&amp;$A325&amp;"*      """</f>
        <v>E325*      "</v>
      </c>
      <c r="AS325" s="2">
        <f t="shared" si="835"/>
        <v>0</v>
      </c>
      <c r="AT325" s="2">
        <f t="shared" si="836"/>
        <v>0</v>
      </c>
      <c r="AU325" s="2">
        <f t="shared" si="836"/>
        <v>0</v>
      </c>
      <c r="AV325" s="2">
        <f t="shared" si="836"/>
        <v>0</v>
      </c>
      <c r="AW325" s="2">
        <f t="shared" si="836"/>
        <v>0</v>
      </c>
      <c r="AX325" s="2">
        <f t="shared" si="836"/>
        <v>0</v>
      </c>
      <c r="AY325" s="2">
        <f t="shared" si="836"/>
        <v>0</v>
      </c>
      <c r="BA325" s="2">
        <f t="shared" si="837"/>
        <v>0</v>
      </c>
      <c r="BB325" s="2">
        <f t="shared" si="838"/>
        <v>0</v>
      </c>
      <c r="BC325" s="2">
        <f t="shared" si="838"/>
        <v>0</v>
      </c>
      <c r="BD325" s="2">
        <f t="shared" si="838"/>
        <v>0</v>
      </c>
      <c r="BE325" s="2">
        <f t="shared" si="838"/>
        <v>0</v>
      </c>
      <c r="BF325" s="2">
        <f t="shared" si="838"/>
        <v>0</v>
      </c>
      <c r="BG325" s="2">
        <f t="shared" si="838"/>
        <v>0</v>
      </c>
      <c r="BI325" s="2">
        <f t="shared" si="839"/>
        <v>0</v>
      </c>
      <c r="BJ325" s="2">
        <f t="shared" si="840"/>
        <v>0</v>
      </c>
      <c r="BK325" s="2">
        <f t="shared" si="840"/>
        <v>0</v>
      </c>
      <c r="BL325" s="2">
        <f t="shared" si="840"/>
        <v>0</v>
      </c>
      <c r="BM325" s="2">
        <f t="shared" si="840"/>
        <v>0</v>
      </c>
      <c r="BN325" s="2">
        <f t="shared" si="840"/>
        <v>0</v>
      </c>
      <c r="BO325" s="2">
        <f t="shared" si="840"/>
        <v>0</v>
      </c>
      <c r="BQ325" s="28" t="s">
        <v>354</v>
      </c>
      <c r="BR325" s="23">
        <v>0</v>
      </c>
      <c r="BS325" s="14">
        <f t="shared" ref="BS325:BU326" si="848">R325</f>
        <v>0</v>
      </c>
      <c r="BT325" s="14">
        <f t="shared" si="848"/>
        <v>0</v>
      </c>
      <c r="BU325" s="14">
        <f t="shared" si="848"/>
        <v>0</v>
      </c>
      <c r="BV325" s="14">
        <f t="shared" ref="BV325:CB326" si="849">U325</f>
        <v>0</v>
      </c>
      <c r="BW325" s="14">
        <f t="shared" si="849"/>
        <v>0</v>
      </c>
      <c r="BX325" s="14">
        <f t="shared" si="849"/>
        <v>0</v>
      </c>
      <c r="BY325" s="14">
        <f t="shared" si="849"/>
        <v>0</v>
      </c>
      <c r="BZ325" s="14">
        <f t="shared" si="849"/>
        <v>0</v>
      </c>
      <c r="CA325" s="14">
        <f t="shared" si="849"/>
        <v>0</v>
      </c>
      <c r="CB325" s="14">
        <f t="shared" si="849"/>
        <v>0</v>
      </c>
      <c r="CC325" s="14">
        <f t="shared" ref="CC325:CF326" si="850">AB325</f>
        <v>1</v>
      </c>
      <c r="CD325" s="14">
        <f t="shared" si="850"/>
        <v>0</v>
      </c>
      <c r="CE325" s="14">
        <f t="shared" si="850"/>
        <v>0</v>
      </c>
      <c r="CF325" s="14">
        <f t="shared" si="850"/>
        <v>0</v>
      </c>
      <c r="CG325" s="14">
        <f t="shared" ref="CG325:CI326" si="851">AF325</f>
        <v>0</v>
      </c>
      <c r="CH325" s="14">
        <f t="shared" si="851"/>
        <v>0</v>
      </c>
      <c r="CI325" s="14">
        <f t="shared" si="851"/>
        <v>0</v>
      </c>
      <c r="CJ325" s="14"/>
      <c r="CK325" s="112" t="str">
        <f t="shared" si="844"/>
        <v>Input - 100% Cust</v>
      </c>
      <c r="CL325" s="76">
        <f t="shared" si="780"/>
        <v>0</v>
      </c>
      <c r="CM325" s="2">
        <f t="shared" si="845"/>
        <v>0</v>
      </c>
      <c r="CN325" s="2">
        <f t="shared" si="845"/>
        <v>0</v>
      </c>
      <c r="CO325" s="2">
        <f t="shared" si="845"/>
        <v>0</v>
      </c>
      <c r="CP325" s="2">
        <f t="shared" si="845"/>
        <v>0</v>
      </c>
      <c r="CQ325" s="2">
        <f t="shared" si="845"/>
        <v>0</v>
      </c>
      <c r="CR325" s="2">
        <f t="shared" si="845"/>
        <v>0</v>
      </c>
    </row>
    <row r="326" spans="1:96">
      <c r="A326" s="50">
        <f t="shared" si="651"/>
        <v>326</v>
      </c>
      <c r="C326" s="36" t="s">
        <v>155</v>
      </c>
      <c r="D326" s="28" t="s">
        <v>350</v>
      </c>
      <c r="E326" s="23">
        <v>0</v>
      </c>
      <c r="F326" s="60" t="s">
        <v>451</v>
      </c>
      <c r="G326" s="60"/>
      <c r="H326" s="2">
        <f t="shared" si="830"/>
        <v>0</v>
      </c>
      <c r="I326" s="21">
        <f t="shared" si="831"/>
        <v>0</v>
      </c>
      <c r="J326" s="2">
        <f t="shared" si="831"/>
        <v>0</v>
      </c>
      <c r="K326" s="2">
        <f t="shared" si="831"/>
        <v>0</v>
      </c>
      <c r="L326" s="2">
        <f t="shared" si="831"/>
        <v>0</v>
      </c>
      <c r="M326" s="2">
        <f t="shared" si="831"/>
        <v>0</v>
      </c>
      <c r="N326" s="2">
        <f t="shared" si="831"/>
        <v>0</v>
      </c>
      <c r="O326" s="2"/>
      <c r="P326" s="61" t="str">
        <f>E$1&amp;$A326&amp;"*     """</f>
        <v>E326*     "</v>
      </c>
      <c r="Q326" s="61"/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76">
        <f t="shared" si="829"/>
        <v>0</v>
      </c>
      <c r="AK326" s="2">
        <f t="shared" si="833"/>
        <v>0</v>
      </c>
      <c r="AL326" s="2">
        <f t="shared" si="834"/>
        <v>0</v>
      </c>
      <c r="AM326" s="2">
        <f t="shared" si="834"/>
        <v>0</v>
      </c>
      <c r="AN326" s="2">
        <f t="shared" si="834"/>
        <v>0</v>
      </c>
      <c r="AO326" s="2">
        <f t="shared" si="834"/>
        <v>0</v>
      </c>
      <c r="AP326" s="2"/>
      <c r="AQ326" s="61" t="str">
        <f>E$1&amp;$A326&amp;"*      """</f>
        <v>E326*      "</v>
      </c>
      <c r="AS326" s="2">
        <f t="shared" si="835"/>
        <v>0</v>
      </c>
      <c r="AT326" s="2">
        <f t="shared" si="836"/>
        <v>0</v>
      </c>
      <c r="AU326" s="2">
        <f t="shared" si="836"/>
        <v>0</v>
      </c>
      <c r="AV326" s="2">
        <f t="shared" si="836"/>
        <v>0</v>
      </c>
      <c r="AW326" s="2">
        <f t="shared" si="836"/>
        <v>0</v>
      </c>
      <c r="AX326" s="2">
        <f t="shared" si="836"/>
        <v>0</v>
      </c>
      <c r="AY326" s="2">
        <f t="shared" si="836"/>
        <v>0</v>
      </c>
      <c r="BA326" s="2">
        <f t="shared" si="837"/>
        <v>0</v>
      </c>
      <c r="BB326" s="2">
        <f t="shared" si="838"/>
        <v>0</v>
      </c>
      <c r="BC326" s="2">
        <f t="shared" si="838"/>
        <v>0</v>
      </c>
      <c r="BD326" s="2">
        <f t="shared" si="838"/>
        <v>0</v>
      </c>
      <c r="BE326" s="2">
        <f t="shared" si="838"/>
        <v>0</v>
      </c>
      <c r="BF326" s="2">
        <f t="shared" si="838"/>
        <v>0</v>
      </c>
      <c r="BG326" s="2">
        <f t="shared" si="838"/>
        <v>0</v>
      </c>
      <c r="BI326" s="2">
        <f t="shared" si="839"/>
        <v>0</v>
      </c>
      <c r="BJ326" s="2">
        <f t="shared" si="840"/>
        <v>0</v>
      </c>
      <c r="BK326" s="2">
        <f t="shared" si="840"/>
        <v>0</v>
      </c>
      <c r="BL326" s="2">
        <f t="shared" si="840"/>
        <v>0</v>
      </c>
      <c r="BM326" s="2">
        <f t="shared" si="840"/>
        <v>0</v>
      </c>
      <c r="BN326" s="2">
        <f t="shared" si="840"/>
        <v>0</v>
      </c>
      <c r="BO326" s="2">
        <f t="shared" si="840"/>
        <v>0</v>
      </c>
      <c r="BQ326" s="28" t="s">
        <v>350</v>
      </c>
      <c r="BR326" s="23">
        <v>0</v>
      </c>
      <c r="BS326" s="14">
        <f t="shared" si="848"/>
        <v>0</v>
      </c>
      <c r="BT326" s="14">
        <f t="shared" si="848"/>
        <v>0</v>
      </c>
      <c r="BU326" s="14">
        <f t="shared" si="848"/>
        <v>0</v>
      </c>
      <c r="BV326" s="14">
        <f t="shared" si="849"/>
        <v>0</v>
      </c>
      <c r="BW326" s="14">
        <f t="shared" si="849"/>
        <v>0</v>
      </c>
      <c r="BX326" s="14">
        <f t="shared" si="849"/>
        <v>0</v>
      </c>
      <c r="BY326" s="14">
        <f t="shared" si="849"/>
        <v>0</v>
      </c>
      <c r="BZ326" s="14">
        <f t="shared" si="849"/>
        <v>0</v>
      </c>
      <c r="CA326" s="14">
        <f t="shared" si="849"/>
        <v>0</v>
      </c>
      <c r="CB326" s="14">
        <f t="shared" si="849"/>
        <v>0</v>
      </c>
      <c r="CC326" s="14">
        <f t="shared" si="850"/>
        <v>0</v>
      </c>
      <c r="CD326" s="14">
        <f t="shared" si="850"/>
        <v>0</v>
      </c>
      <c r="CE326" s="14">
        <f t="shared" si="850"/>
        <v>0</v>
      </c>
      <c r="CF326" s="14">
        <f t="shared" si="850"/>
        <v>0</v>
      </c>
      <c r="CG326" s="14">
        <f t="shared" si="851"/>
        <v>0</v>
      </c>
      <c r="CH326" s="14">
        <f t="shared" si="851"/>
        <v>0</v>
      </c>
      <c r="CI326" s="14">
        <f t="shared" si="851"/>
        <v>1</v>
      </c>
      <c r="CJ326" s="14"/>
      <c r="CK326" s="112" t="str">
        <f t="shared" si="844"/>
        <v>Input - 100% Rev</v>
      </c>
      <c r="CL326" s="76">
        <f t="shared" si="780"/>
        <v>0</v>
      </c>
      <c r="CM326" s="2">
        <f t="shared" si="845"/>
        <v>0</v>
      </c>
      <c r="CN326" s="2">
        <f t="shared" si="845"/>
        <v>0</v>
      </c>
      <c r="CO326" s="2">
        <f t="shared" si="845"/>
        <v>0</v>
      </c>
      <c r="CP326" s="2">
        <f t="shared" si="845"/>
        <v>0</v>
      </c>
      <c r="CQ326" s="2">
        <f t="shared" si="845"/>
        <v>0</v>
      </c>
      <c r="CR326" s="2">
        <f t="shared" si="845"/>
        <v>0</v>
      </c>
    </row>
    <row r="327" spans="1:96">
      <c r="A327" s="50">
        <f t="shared" si="651"/>
        <v>327</v>
      </c>
      <c r="C327" s="36" t="s">
        <v>151</v>
      </c>
      <c r="D327" s="28" t="s">
        <v>355</v>
      </c>
      <c r="E327" s="23">
        <v>0</v>
      </c>
      <c r="F327" s="60" t="str">
        <f>"as Labor O&amp;M Exp. ("&amp;BS$1&amp;A$344&amp;")"</f>
        <v>as Labor O&amp;M Exp. (BS344)</v>
      </c>
      <c r="G327" s="60"/>
      <c r="H327" s="2">
        <f t="shared" si="830"/>
        <v>0</v>
      </c>
      <c r="I327" s="21">
        <f t="shared" ref="I327:N327" si="852">$E327*CM$344/$BR$344</f>
        <v>0</v>
      </c>
      <c r="J327" s="21">
        <f t="shared" si="852"/>
        <v>0</v>
      </c>
      <c r="K327" s="21">
        <f t="shared" si="852"/>
        <v>0</v>
      </c>
      <c r="L327" s="21">
        <f t="shared" si="852"/>
        <v>0</v>
      </c>
      <c r="M327" s="21">
        <f t="shared" si="852"/>
        <v>0</v>
      </c>
      <c r="N327" s="21">
        <f t="shared" si="852"/>
        <v>0</v>
      </c>
      <c r="O327" s="2"/>
      <c r="P327" s="61" t="str">
        <f>E$1&amp;$A327&amp;"* "&amp;CM$1&amp;A$344&amp;" / "&amp;BR$1&amp;A$344</f>
        <v>E327* CM344 / BR344</v>
      </c>
      <c r="Q327" s="61"/>
      <c r="R327" s="14">
        <f>BS$344</f>
        <v>0.10913184265939331</v>
      </c>
      <c r="S327" s="14">
        <f>BT$344</f>
        <v>3.3021876247189427E-2</v>
      </c>
      <c r="T327" s="14">
        <f t="shared" ref="T327:AH327" si="853">BU$344</f>
        <v>2.9366713079939091E-3</v>
      </c>
      <c r="U327" s="14">
        <f t="shared" si="853"/>
        <v>1.9653107984266921E-2</v>
      </c>
      <c r="V327" s="14">
        <f t="shared" si="853"/>
        <v>0</v>
      </c>
      <c r="W327" s="14">
        <f t="shared" si="853"/>
        <v>0.16142462055819431</v>
      </c>
      <c r="X327" s="14">
        <f t="shared" si="853"/>
        <v>0</v>
      </c>
      <c r="Y327" s="14">
        <f t="shared" si="853"/>
        <v>0</v>
      </c>
      <c r="Z327" s="14">
        <f t="shared" si="853"/>
        <v>0</v>
      </c>
      <c r="AA327" s="14">
        <f t="shared" si="853"/>
        <v>0</v>
      </c>
      <c r="AB327" s="14">
        <f t="shared" si="853"/>
        <v>0.37507244202834572</v>
      </c>
      <c r="AC327" s="14">
        <f t="shared" si="853"/>
        <v>0.18309838925091035</v>
      </c>
      <c r="AD327" s="14">
        <f t="shared" si="853"/>
        <v>0.11390268710509913</v>
      </c>
      <c r="AE327" s="14">
        <f t="shared" si="853"/>
        <v>0</v>
      </c>
      <c r="AF327" s="14">
        <f t="shared" si="853"/>
        <v>1.7583628586068862E-3</v>
      </c>
      <c r="AG327" s="14">
        <f t="shared" si="853"/>
        <v>0</v>
      </c>
      <c r="AH327" s="14">
        <f t="shared" si="853"/>
        <v>-4.5942138576433119E-19</v>
      </c>
      <c r="AI327" s="76">
        <f t="shared" si="829"/>
        <v>0</v>
      </c>
      <c r="AK327" s="2">
        <f t="shared" si="833"/>
        <v>0</v>
      </c>
      <c r="AL327" s="2">
        <f t="shared" si="834"/>
        <v>0</v>
      </c>
      <c r="AM327" s="2">
        <f t="shared" si="834"/>
        <v>0</v>
      </c>
      <c r="AN327" s="2">
        <f t="shared" si="834"/>
        <v>0</v>
      </c>
      <c r="AO327" s="2">
        <f t="shared" si="834"/>
        <v>0</v>
      </c>
      <c r="AP327" s="2"/>
      <c r="AQ327" s="61" t="str">
        <f>E$1&amp;$A327&amp;"*      """</f>
        <v>E327*      "</v>
      </c>
      <c r="AS327" s="2">
        <f t="shared" si="835"/>
        <v>0</v>
      </c>
      <c r="AT327" s="2">
        <f t="shared" si="836"/>
        <v>0</v>
      </c>
      <c r="AU327" s="2">
        <f t="shared" si="836"/>
        <v>0</v>
      </c>
      <c r="AV327" s="2">
        <f t="shared" si="836"/>
        <v>0</v>
      </c>
      <c r="AW327" s="2">
        <f t="shared" si="836"/>
        <v>0</v>
      </c>
      <c r="AX327" s="2">
        <f t="shared" si="836"/>
        <v>0</v>
      </c>
      <c r="AY327" s="2">
        <f t="shared" si="836"/>
        <v>0</v>
      </c>
      <c r="BA327" s="2">
        <f t="shared" si="837"/>
        <v>0</v>
      </c>
      <c r="BB327" s="2">
        <f t="shared" si="838"/>
        <v>0</v>
      </c>
      <c r="BC327" s="2">
        <f t="shared" si="838"/>
        <v>0</v>
      </c>
      <c r="BD327" s="2">
        <f t="shared" si="838"/>
        <v>0</v>
      </c>
      <c r="BE327" s="2">
        <f t="shared" si="838"/>
        <v>0</v>
      </c>
      <c r="BF327" s="2">
        <f t="shared" si="838"/>
        <v>0</v>
      </c>
      <c r="BG327" s="2">
        <f t="shared" si="838"/>
        <v>0</v>
      </c>
      <c r="BI327" s="2">
        <f t="shared" si="839"/>
        <v>0</v>
      </c>
      <c r="BJ327" s="2">
        <f t="shared" si="840"/>
        <v>0</v>
      </c>
      <c r="BK327" s="2">
        <f t="shared" si="840"/>
        <v>0</v>
      </c>
      <c r="BL327" s="2">
        <f t="shared" si="840"/>
        <v>0</v>
      </c>
      <c r="BM327" s="2">
        <f t="shared" si="840"/>
        <v>0</v>
      </c>
      <c r="BN327" s="2">
        <f t="shared" si="840"/>
        <v>0</v>
      </c>
      <c r="BO327" s="2">
        <f t="shared" si="840"/>
        <v>0</v>
      </c>
      <c r="BQ327" s="28" t="s">
        <v>355</v>
      </c>
      <c r="BR327" s="23">
        <v>0</v>
      </c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112" t="str">
        <f t="shared" si="844"/>
        <v>as Labor O&amp;M Exp. (BS344)</v>
      </c>
      <c r="CL327" s="76">
        <f t="shared" si="780"/>
        <v>0</v>
      </c>
      <c r="CM327" s="2"/>
      <c r="CN327" s="2"/>
      <c r="CO327" s="2"/>
      <c r="CP327" s="2"/>
      <c r="CQ327" s="2"/>
      <c r="CR327" s="2"/>
    </row>
    <row r="328" spans="1:96">
      <c r="A328" s="50">
        <f t="shared" si="651"/>
        <v>328</v>
      </c>
      <c r="B328" t="s">
        <v>61</v>
      </c>
      <c r="D328" t="s">
        <v>2</v>
      </c>
      <c r="E328" s="2"/>
      <c r="F328" s="60"/>
      <c r="G328" s="60"/>
      <c r="I328" s="49"/>
      <c r="P328" s="61"/>
      <c r="Q328" s="61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76">
        <f t="shared" si="829"/>
        <v>0</v>
      </c>
      <c r="AQ328" s="61"/>
      <c r="BQ328" t="s">
        <v>2</v>
      </c>
      <c r="CK328" s="112"/>
      <c r="CL328" s="76">
        <f t="shared" si="780"/>
        <v>0</v>
      </c>
      <c r="CM328" s="49"/>
    </row>
    <row r="329" spans="1:96">
      <c r="A329" s="50">
        <f t="shared" si="651"/>
        <v>329</v>
      </c>
      <c r="C329" s="36" t="s">
        <v>151</v>
      </c>
      <c r="D329" s="56" t="s">
        <v>147</v>
      </c>
      <c r="E329" s="373">
        <f>PROFORMA!AY138</f>
        <v>103000</v>
      </c>
      <c r="F329" s="61" t="s">
        <v>996</v>
      </c>
      <c r="G329" s="60"/>
      <c r="H329" s="2">
        <f t="shared" ref="H329:H334" si="854">SUM(I329:N329)</f>
        <v>103000</v>
      </c>
      <c r="I329" s="21">
        <f t="shared" ref="I329:N333" si="855">$E329*SUMPRODUCT($R329:$AH329,INDEX(AllocFactors,I$4,0))</f>
        <v>86697.280242586479</v>
      </c>
      <c r="J329" s="2">
        <f t="shared" si="855"/>
        <v>13156.719249506157</v>
      </c>
      <c r="K329" s="2">
        <f t="shared" si="855"/>
        <v>0</v>
      </c>
      <c r="L329" s="2">
        <f t="shared" si="855"/>
        <v>317.50330718026538</v>
      </c>
      <c r="M329" s="2">
        <f t="shared" si="855"/>
        <v>2828.4972007270985</v>
      </c>
      <c r="N329" s="2">
        <f t="shared" si="855"/>
        <v>0</v>
      </c>
      <c r="O329" s="2"/>
      <c r="P329" s="61" t="s">
        <v>997</v>
      </c>
      <c r="Q329" s="61"/>
      <c r="R329" s="14">
        <f>R$259</f>
        <v>9.9370957155623774E-2</v>
      </c>
      <c r="S329" s="14">
        <f t="shared" ref="S329:AH330" si="856">S$259</f>
        <v>1.5218388550417537E-2</v>
      </c>
      <c r="T329" s="14">
        <f t="shared" si="856"/>
        <v>8.699877677308605E-3</v>
      </c>
      <c r="U329" s="14">
        <f t="shared" si="856"/>
        <v>5.822225830198835E-2</v>
      </c>
      <c r="V329" s="14">
        <f t="shared" si="856"/>
        <v>0</v>
      </c>
      <c r="W329" s="14">
        <f t="shared" si="856"/>
        <v>0.15327818313927072</v>
      </c>
      <c r="X329" s="14">
        <f t="shared" si="856"/>
        <v>0</v>
      </c>
      <c r="Y329" s="14">
        <f t="shared" si="856"/>
        <v>0</v>
      </c>
      <c r="Z329" s="14">
        <f t="shared" si="856"/>
        <v>0</v>
      </c>
      <c r="AA329" s="14">
        <f t="shared" si="856"/>
        <v>0</v>
      </c>
      <c r="AB329" s="14">
        <f t="shared" si="856"/>
        <v>0.41313387731559803</v>
      </c>
      <c r="AC329" s="14">
        <f t="shared" si="856"/>
        <v>0.17108548237195526</v>
      </c>
      <c r="AD329" s="14">
        <f t="shared" si="856"/>
        <v>7.9473703927617212E-2</v>
      </c>
      <c r="AE329" s="14">
        <f t="shared" si="856"/>
        <v>0</v>
      </c>
      <c r="AF329" s="14">
        <f t="shared" si="856"/>
        <v>1.5172715602204624E-3</v>
      </c>
      <c r="AG329" s="14">
        <f t="shared" si="856"/>
        <v>0</v>
      </c>
      <c r="AH329" s="14">
        <f t="shared" si="856"/>
        <v>-1.4146429571039994E-18</v>
      </c>
      <c r="AI329" s="76">
        <f t="shared" si="829"/>
        <v>0</v>
      </c>
      <c r="AK329" s="2">
        <f t="shared" ref="AK329:AK334" si="857">SUM(AL329:AO329)</f>
        <v>102999.99999999999</v>
      </c>
      <c r="AL329" s="2">
        <f t="shared" ref="AL329:AO334" si="858">SUMIF($R$4:$AH$4,AL$5,$R329:$AH329)*$E329</f>
        <v>18695.682613589841</v>
      </c>
      <c r="AM329" s="2">
        <f t="shared" si="858"/>
        <v>15787.652863344883</v>
      </c>
      <c r="AN329" s="2">
        <f t="shared" si="858"/>
        <v>68516.664523065265</v>
      </c>
      <c r="AO329" s="2">
        <f t="shared" si="858"/>
        <v>-1.4570822458171195E-13</v>
      </c>
      <c r="AP329" s="2"/>
      <c r="AQ329" s="61" t="str">
        <f>E$1&amp;$A329&amp;"*["&amp;R$1&amp;$A329&amp;":"&amp;$AH$1&amp;$A329&amp;" when "&amp;R$1&amp;$A$4&amp;":"&amp;$AH$1&amp;$A$4&amp;" = E,D,C,or R]"</f>
        <v>E329*[R329:AH329 when R4:AH4 = E,D,C,or R]</v>
      </c>
      <c r="AS329" s="2">
        <f t="shared" ref="AS329:AS334" si="859">SUM(AT329:AY329)</f>
        <v>18695.682613589845</v>
      </c>
      <c r="AT329" s="2">
        <f t="shared" ref="AT329:AY334" si="860">$E329*SUMPRODUCT($R329:$V329,INDEX(AllocFactors_E,AT$4,0))</f>
        <v>11842.695305496787</v>
      </c>
      <c r="AU329" s="2">
        <f t="shared" si="860"/>
        <v>5188.8354590520894</v>
      </c>
      <c r="AV329" s="2">
        <f t="shared" si="860"/>
        <v>0</v>
      </c>
      <c r="AW329" s="2">
        <f t="shared" si="860"/>
        <v>186.91585579958203</v>
      </c>
      <c r="AX329" s="2">
        <f t="shared" si="860"/>
        <v>1477.235993241386</v>
      </c>
      <c r="AY329" s="2">
        <f t="shared" si="860"/>
        <v>0</v>
      </c>
      <c r="BA329" s="2">
        <f t="shared" ref="BA329:BA334" si="861">SUM(BB329:BG329)</f>
        <v>15787.652863344882</v>
      </c>
      <c r="BB329" s="2">
        <f t="shared" ref="BB329:BG334" si="862">$E329*SUMPRODUCT($W329:$AA329,INDEX(AllocFactors_D,BB$4,0))</f>
        <v>8925.5727718338276</v>
      </c>
      <c r="BC329" s="2">
        <f t="shared" si="862"/>
        <v>5508.433077814615</v>
      </c>
      <c r="BD329" s="2">
        <f t="shared" si="862"/>
        <v>0</v>
      </c>
      <c r="BE329" s="2">
        <f t="shared" si="862"/>
        <v>118.688416281337</v>
      </c>
      <c r="BF329" s="2">
        <f t="shared" si="862"/>
        <v>1234.9585974151037</v>
      </c>
      <c r="BG329" s="2">
        <f t="shared" si="862"/>
        <v>0</v>
      </c>
      <c r="BI329" s="2">
        <f t="shared" ref="BI329:BI334" si="863">SUM(BJ329:BO329)</f>
        <v>68516.664523065265</v>
      </c>
      <c r="BJ329" s="2">
        <f t="shared" ref="BJ329:BO334" si="864">$E329*SUMPRODUCT($AB329:$AG329,INDEX(AllocFactors_C,BJ$4,0))</f>
        <v>65929.012165255859</v>
      </c>
      <c r="BK329" s="2">
        <f t="shared" si="864"/>
        <v>2459.4507126394542</v>
      </c>
      <c r="BL329" s="2">
        <f t="shared" si="864"/>
        <v>0</v>
      </c>
      <c r="BM329" s="2">
        <f t="shared" si="864"/>
        <v>11.899035099346326</v>
      </c>
      <c r="BN329" s="2">
        <f t="shared" si="864"/>
        <v>116.30261007060925</v>
      </c>
      <c r="BO329" s="2">
        <f t="shared" si="864"/>
        <v>0</v>
      </c>
      <c r="BQ329" s="28" t="s">
        <v>351</v>
      </c>
      <c r="BR329" s="23">
        <v>183</v>
      </c>
      <c r="BS329" s="14">
        <f t="shared" ref="BS329:BU330" si="865">R329</f>
        <v>9.9370957155623774E-2</v>
      </c>
      <c r="BT329" s="14">
        <f t="shared" si="865"/>
        <v>1.5218388550417537E-2</v>
      </c>
      <c r="BU329" s="14">
        <f t="shared" si="865"/>
        <v>8.699877677308605E-3</v>
      </c>
      <c r="BV329" s="14">
        <f t="shared" ref="BV329:CB330" si="866">U329</f>
        <v>5.822225830198835E-2</v>
      </c>
      <c r="BW329" s="14">
        <f t="shared" si="866"/>
        <v>0</v>
      </c>
      <c r="BX329" s="14">
        <f t="shared" si="866"/>
        <v>0.15327818313927072</v>
      </c>
      <c r="BY329" s="14">
        <f t="shared" si="866"/>
        <v>0</v>
      </c>
      <c r="BZ329" s="14">
        <f t="shared" si="866"/>
        <v>0</v>
      </c>
      <c r="CA329" s="14">
        <f t="shared" si="866"/>
        <v>0</v>
      </c>
      <c r="CB329" s="14">
        <f t="shared" si="866"/>
        <v>0</v>
      </c>
      <c r="CC329" s="14">
        <f t="shared" ref="CC329:CI330" si="867">AB329</f>
        <v>0.41313387731559803</v>
      </c>
      <c r="CD329" s="14">
        <f t="shared" si="867"/>
        <v>0.17108548237195526</v>
      </c>
      <c r="CE329" s="14">
        <f t="shared" si="867"/>
        <v>7.9473703927617212E-2</v>
      </c>
      <c r="CF329" s="14">
        <f t="shared" si="867"/>
        <v>0</v>
      </c>
      <c r="CG329" s="14">
        <f t="shared" si="867"/>
        <v>1.5172715602204624E-3</v>
      </c>
      <c r="CH329" s="14">
        <f t="shared" si="867"/>
        <v>0</v>
      </c>
      <c r="CI329" s="14">
        <f t="shared" si="867"/>
        <v>-1.4146429571039994E-18</v>
      </c>
      <c r="CJ329" s="14"/>
      <c r="CK329" s="112" t="str">
        <f t="shared" ref="CK329:CK334" si="868">F329</f>
        <v>4-Factor</v>
      </c>
      <c r="CL329" s="76">
        <f t="shared" si="780"/>
        <v>0</v>
      </c>
      <c r="CM329" s="2">
        <f t="shared" ref="CM329:CR333" si="869">$BR329*SUMPRODUCT($BS329:$CI329,INDEX(AllocFactors,CM$172,0))</f>
        <v>154.03497363488665</v>
      </c>
      <c r="CN329" s="2">
        <f t="shared" si="869"/>
        <v>23.375530317083754</v>
      </c>
      <c r="CO329" s="2">
        <f t="shared" si="869"/>
        <v>0</v>
      </c>
      <c r="CP329" s="2">
        <f t="shared" si="869"/>
        <v>0.5641078176115395</v>
      </c>
      <c r="CQ329" s="2">
        <f t="shared" si="869"/>
        <v>5.0253882304180486</v>
      </c>
      <c r="CR329" s="2">
        <f t="shared" si="869"/>
        <v>0</v>
      </c>
    </row>
    <row r="330" spans="1:96">
      <c r="A330" s="50">
        <f t="shared" si="651"/>
        <v>330</v>
      </c>
      <c r="C330" s="36" t="s">
        <v>151</v>
      </c>
      <c r="D330" s="56" t="s">
        <v>352</v>
      </c>
      <c r="E330" s="135">
        <v>0</v>
      </c>
      <c r="F330" s="442" t="s">
        <v>444</v>
      </c>
      <c r="G330" s="60"/>
      <c r="H330" s="2">
        <f t="shared" si="854"/>
        <v>0</v>
      </c>
      <c r="I330" s="21">
        <f t="shared" si="855"/>
        <v>0</v>
      </c>
      <c r="J330" s="2">
        <f t="shared" si="855"/>
        <v>0</v>
      </c>
      <c r="K330" s="2">
        <f t="shared" si="855"/>
        <v>0</v>
      </c>
      <c r="L330" s="2">
        <f t="shared" si="855"/>
        <v>0</v>
      </c>
      <c r="M330" s="2">
        <f t="shared" si="855"/>
        <v>0</v>
      </c>
      <c r="N330" s="2">
        <f t="shared" si="855"/>
        <v>0</v>
      </c>
      <c r="O330" s="2"/>
      <c r="P330" s="61" t="str">
        <f>E$1&amp;$A330&amp;"*     """</f>
        <v>E330*     "</v>
      </c>
      <c r="Q330" s="61"/>
      <c r="R330" s="441">
        <v>1</v>
      </c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>
        <f t="shared" si="856"/>
        <v>-1.4146429571039994E-18</v>
      </c>
      <c r="AI330" s="76">
        <f t="shared" si="829"/>
        <v>0</v>
      </c>
      <c r="AK330" s="2">
        <f t="shared" si="857"/>
        <v>0</v>
      </c>
      <c r="AL330" s="2">
        <f t="shared" si="858"/>
        <v>0</v>
      </c>
      <c r="AM330" s="2">
        <f t="shared" si="858"/>
        <v>0</v>
      </c>
      <c r="AN330" s="2">
        <f t="shared" si="858"/>
        <v>0</v>
      </c>
      <c r="AO330" s="2">
        <f t="shared" si="858"/>
        <v>0</v>
      </c>
      <c r="AP330" s="2"/>
      <c r="AQ330" s="61" t="str">
        <f>E$1&amp;$A330&amp;"*      """</f>
        <v>E330*      "</v>
      </c>
      <c r="AS330" s="2">
        <f t="shared" si="859"/>
        <v>0</v>
      </c>
      <c r="AT330" s="2">
        <f t="shared" si="860"/>
        <v>0</v>
      </c>
      <c r="AU330" s="2">
        <f t="shared" si="860"/>
        <v>0</v>
      </c>
      <c r="AV330" s="2">
        <f t="shared" si="860"/>
        <v>0</v>
      </c>
      <c r="AW330" s="2">
        <f t="shared" si="860"/>
        <v>0</v>
      </c>
      <c r="AX330" s="2">
        <f t="shared" si="860"/>
        <v>0</v>
      </c>
      <c r="AY330" s="2">
        <f t="shared" si="860"/>
        <v>0</v>
      </c>
      <c r="BA330" s="2">
        <f t="shared" si="861"/>
        <v>0</v>
      </c>
      <c r="BB330" s="2">
        <f t="shared" si="862"/>
        <v>0</v>
      </c>
      <c r="BC330" s="2">
        <f t="shared" si="862"/>
        <v>0</v>
      </c>
      <c r="BD330" s="2">
        <f t="shared" si="862"/>
        <v>0</v>
      </c>
      <c r="BE330" s="2">
        <f t="shared" si="862"/>
        <v>0</v>
      </c>
      <c r="BF330" s="2">
        <f t="shared" si="862"/>
        <v>0</v>
      </c>
      <c r="BG330" s="2">
        <f t="shared" si="862"/>
        <v>0</v>
      </c>
      <c r="BI330" s="2">
        <f t="shared" si="863"/>
        <v>0</v>
      </c>
      <c r="BJ330" s="2">
        <f t="shared" si="864"/>
        <v>0</v>
      </c>
      <c r="BK330" s="2">
        <f t="shared" si="864"/>
        <v>0</v>
      </c>
      <c r="BL330" s="2">
        <f t="shared" si="864"/>
        <v>0</v>
      </c>
      <c r="BM330" s="2">
        <f t="shared" si="864"/>
        <v>0</v>
      </c>
      <c r="BN330" s="2">
        <f t="shared" si="864"/>
        <v>0</v>
      </c>
      <c r="BO330" s="2">
        <f t="shared" si="864"/>
        <v>0</v>
      </c>
      <c r="BQ330" s="28" t="s">
        <v>352</v>
      </c>
      <c r="BR330" s="23">
        <v>0</v>
      </c>
      <c r="BS330" s="14">
        <f t="shared" si="865"/>
        <v>1</v>
      </c>
      <c r="BT330" s="14">
        <f t="shared" si="865"/>
        <v>0</v>
      </c>
      <c r="BU330" s="14">
        <f t="shared" si="865"/>
        <v>0</v>
      </c>
      <c r="BV330" s="14">
        <f t="shared" si="866"/>
        <v>0</v>
      </c>
      <c r="BW330" s="14">
        <f t="shared" si="866"/>
        <v>0</v>
      </c>
      <c r="BX330" s="14">
        <f t="shared" si="866"/>
        <v>0</v>
      </c>
      <c r="BY330" s="14">
        <f t="shared" si="866"/>
        <v>0</v>
      </c>
      <c r="BZ330" s="14">
        <f t="shared" si="866"/>
        <v>0</v>
      </c>
      <c r="CA330" s="14">
        <f t="shared" si="866"/>
        <v>0</v>
      </c>
      <c r="CB330" s="14">
        <f t="shared" si="866"/>
        <v>0</v>
      </c>
      <c r="CC330" s="14">
        <f t="shared" si="867"/>
        <v>0</v>
      </c>
      <c r="CD330" s="14">
        <f t="shared" si="867"/>
        <v>0</v>
      </c>
      <c r="CE330" s="14">
        <f t="shared" si="867"/>
        <v>0</v>
      </c>
      <c r="CF330" s="14">
        <f t="shared" si="867"/>
        <v>0</v>
      </c>
      <c r="CG330" s="14">
        <f t="shared" si="867"/>
        <v>0</v>
      </c>
      <c r="CH330" s="14">
        <f t="shared" si="867"/>
        <v>0</v>
      </c>
      <c r="CI330" s="14">
        <f t="shared" si="867"/>
        <v>-1.4146429571039994E-18</v>
      </c>
      <c r="CJ330" s="14"/>
      <c r="CK330" s="112" t="str">
        <f t="shared" si="868"/>
        <v>Input - 100% Throughput</v>
      </c>
      <c r="CL330" s="76">
        <f t="shared" si="780"/>
        <v>0</v>
      </c>
      <c r="CM330" s="2">
        <f t="shared" si="869"/>
        <v>0</v>
      </c>
      <c r="CN330" s="2">
        <f t="shared" si="869"/>
        <v>0</v>
      </c>
      <c r="CO330" s="2">
        <f t="shared" si="869"/>
        <v>0</v>
      </c>
      <c r="CP330" s="2">
        <f t="shared" si="869"/>
        <v>0</v>
      </c>
      <c r="CQ330" s="2">
        <f t="shared" si="869"/>
        <v>0</v>
      </c>
      <c r="CR330" s="2">
        <f t="shared" si="869"/>
        <v>0</v>
      </c>
    </row>
    <row r="331" spans="1:96">
      <c r="A331" s="50">
        <f t="shared" si="651"/>
        <v>331</v>
      </c>
      <c r="C331" s="36" t="s">
        <v>151</v>
      </c>
      <c r="D331" s="28" t="s">
        <v>353</v>
      </c>
      <c r="E331" s="23">
        <v>0</v>
      </c>
      <c r="F331" s="60" t="str">
        <f>"as Plant in Service ("&amp;A$58&amp;")"</f>
        <v>as Plant in Service (58)</v>
      </c>
      <c r="G331" s="60"/>
      <c r="H331" s="2">
        <f t="shared" si="854"/>
        <v>0</v>
      </c>
      <c r="I331" s="21">
        <f t="shared" si="855"/>
        <v>0</v>
      </c>
      <c r="J331" s="2">
        <f t="shared" si="855"/>
        <v>0</v>
      </c>
      <c r="K331" s="2">
        <f t="shared" si="855"/>
        <v>0</v>
      </c>
      <c r="L331" s="2">
        <f t="shared" si="855"/>
        <v>0</v>
      </c>
      <c r="M331" s="2">
        <f t="shared" si="855"/>
        <v>0</v>
      </c>
      <c r="N331" s="2">
        <f t="shared" si="855"/>
        <v>0</v>
      </c>
      <c r="O331" s="2"/>
      <c r="P331" s="61" t="str">
        <f>E$1&amp;$A331&amp;"*     """</f>
        <v>E331*     "</v>
      </c>
      <c r="Q331" s="61"/>
      <c r="R331" s="14">
        <f>R$58</f>
        <v>0.16904766890389558</v>
      </c>
      <c r="S331" s="14">
        <f t="shared" ref="S331:AH331" si="870">S$58</f>
        <v>2.676215166561764E-3</v>
      </c>
      <c r="T331" s="14">
        <f t="shared" si="870"/>
        <v>6.7778250216338808E-3</v>
      </c>
      <c r="U331" s="14">
        <f t="shared" si="870"/>
        <v>4.5359290529395975E-2</v>
      </c>
      <c r="V331" s="14">
        <f t="shared" si="870"/>
        <v>0</v>
      </c>
      <c r="W331" s="14">
        <f t="shared" si="870"/>
        <v>0.27058822771397795</v>
      </c>
      <c r="X331" s="14">
        <f t="shared" si="870"/>
        <v>0</v>
      </c>
      <c r="Y331" s="14">
        <f t="shared" si="870"/>
        <v>0</v>
      </c>
      <c r="Z331" s="14">
        <f t="shared" si="870"/>
        <v>0</v>
      </c>
      <c r="AA331" s="14">
        <f t="shared" si="870"/>
        <v>0</v>
      </c>
      <c r="AB331" s="14">
        <f t="shared" si="870"/>
        <v>7.2651262952682066E-2</v>
      </c>
      <c r="AC331" s="14">
        <f t="shared" si="870"/>
        <v>0.31137572086955634</v>
      </c>
      <c r="AD331" s="14">
        <f t="shared" si="870"/>
        <v>0.11759557901028445</v>
      </c>
      <c r="AE331" s="14">
        <f t="shared" si="870"/>
        <v>0</v>
      </c>
      <c r="AF331" s="14">
        <f t="shared" si="870"/>
        <v>3.9282098320119977E-3</v>
      </c>
      <c r="AG331" s="14">
        <f t="shared" si="870"/>
        <v>0</v>
      </c>
      <c r="AH331" s="14">
        <f t="shared" si="870"/>
        <v>-2.4244162456526846E-19</v>
      </c>
      <c r="AI331" s="76">
        <f t="shared" si="829"/>
        <v>0</v>
      </c>
      <c r="AK331" s="2">
        <f t="shared" si="857"/>
        <v>0</v>
      </c>
      <c r="AL331" s="2">
        <f t="shared" si="858"/>
        <v>0</v>
      </c>
      <c r="AM331" s="2">
        <f t="shared" si="858"/>
        <v>0</v>
      </c>
      <c r="AN331" s="2">
        <f t="shared" si="858"/>
        <v>0</v>
      </c>
      <c r="AO331" s="2">
        <f t="shared" si="858"/>
        <v>0</v>
      </c>
      <c r="AP331" s="2"/>
      <c r="AQ331" s="61" t="str">
        <f>E$1&amp;$A331&amp;"*      """</f>
        <v>E331*      "</v>
      </c>
      <c r="AS331" s="2">
        <f t="shared" si="859"/>
        <v>0</v>
      </c>
      <c r="AT331" s="2">
        <f t="shared" si="860"/>
        <v>0</v>
      </c>
      <c r="AU331" s="2">
        <f t="shared" si="860"/>
        <v>0</v>
      </c>
      <c r="AV331" s="2">
        <f t="shared" si="860"/>
        <v>0</v>
      </c>
      <c r="AW331" s="2">
        <f t="shared" si="860"/>
        <v>0</v>
      </c>
      <c r="AX331" s="2">
        <f t="shared" si="860"/>
        <v>0</v>
      </c>
      <c r="AY331" s="2">
        <f t="shared" si="860"/>
        <v>0</v>
      </c>
      <c r="BA331" s="2">
        <f t="shared" si="861"/>
        <v>0</v>
      </c>
      <c r="BB331" s="2">
        <f t="shared" si="862"/>
        <v>0</v>
      </c>
      <c r="BC331" s="2">
        <f t="shared" si="862"/>
        <v>0</v>
      </c>
      <c r="BD331" s="2">
        <f t="shared" si="862"/>
        <v>0</v>
      </c>
      <c r="BE331" s="2">
        <f t="shared" si="862"/>
        <v>0</v>
      </c>
      <c r="BF331" s="2">
        <f t="shared" si="862"/>
        <v>0</v>
      </c>
      <c r="BG331" s="2">
        <f t="shared" si="862"/>
        <v>0</v>
      </c>
      <c r="BI331" s="2">
        <f t="shared" si="863"/>
        <v>0</v>
      </c>
      <c r="BJ331" s="2">
        <f t="shared" si="864"/>
        <v>0</v>
      </c>
      <c r="BK331" s="2">
        <f t="shared" si="864"/>
        <v>0</v>
      </c>
      <c r="BL331" s="2">
        <f t="shared" si="864"/>
        <v>0</v>
      </c>
      <c r="BM331" s="2">
        <f t="shared" si="864"/>
        <v>0</v>
      </c>
      <c r="BN331" s="2">
        <f t="shared" si="864"/>
        <v>0</v>
      </c>
      <c r="BO331" s="2">
        <f t="shared" si="864"/>
        <v>0</v>
      </c>
      <c r="BQ331" s="28" t="s">
        <v>353</v>
      </c>
      <c r="BR331" s="23">
        <v>0</v>
      </c>
      <c r="BS331" s="14">
        <f>R$58</f>
        <v>0.16904766890389558</v>
      </c>
      <c r="BT331" s="14">
        <f>S$58</f>
        <v>2.676215166561764E-3</v>
      </c>
      <c r="BU331" s="14">
        <f>T$58</f>
        <v>6.7778250216338808E-3</v>
      </c>
      <c r="BV331" s="14">
        <f t="shared" ref="BV331:CI331" si="871">U$58</f>
        <v>4.5359290529395975E-2</v>
      </c>
      <c r="BW331" s="14">
        <f t="shared" si="871"/>
        <v>0</v>
      </c>
      <c r="BX331" s="14">
        <f t="shared" si="871"/>
        <v>0.27058822771397795</v>
      </c>
      <c r="BY331" s="14">
        <f t="shared" si="871"/>
        <v>0</v>
      </c>
      <c r="BZ331" s="14">
        <f t="shared" si="871"/>
        <v>0</v>
      </c>
      <c r="CA331" s="14">
        <f t="shared" si="871"/>
        <v>0</v>
      </c>
      <c r="CB331" s="14">
        <f t="shared" si="871"/>
        <v>0</v>
      </c>
      <c r="CC331" s="14">
        <f t="shared" si="871"/>
        <v>7.2651262952682066E-2</v>
      </c>
      <c r="CD331" s="14">
        <f t="shared" si="871"/>
        <v>0.31137572086955634</v>
      </c>
      <c r="CE331" s="14">
        <f t="shared" si="871"/>
        <v>0.11759557901028445</v>
      </c>
      <c r="CF331" s="14">
        <f t="shared" si="871"/>
        <v>0</v>
      </c>
      <c r="CG331" s="14">
        <f t="shared" si="871"/>
        <v>3.9282098320119977E-3</v>
      </c>
      <c r="CH331" s="14">
        <f t="shared" si="871"/>
        <v>0</v>
      </c>
      <c r="CI331" s="14">
        <f t="shared" si="871"/>
        <v>-2.4244162456526846E-19</v>
      </c>
      <c r="CJ331" s="14"/>
      <c r="CK331" s="112" t="str">
        <f t="shared" si="868"/>
        <v>as Plant in Service (58)</v>
      </c>
      <c r="CL331" s="76">
        <f t="shared" si="780"/>
        <v>0</v>
      </c>
      <c r="CM331" s="2">
        <f t="shared" si="869"/>
        <v>0</v>
      </c>
      <c r="CN331" s="2">
        <f t="shared" si="869"/>
        <v>0</v>
      </c>
      <c r="CO331" s="2">
        <f t="shared" si="869"/>
        <v>0</v>
      </c>
      <c r="CP331" s="2">
        <f t="shared" si="869"/>
        <v>0</v>
      </c>
      <c r="CQ331" s="2">
        <f t="shared" si="869"/>
        <v>0</v>
      </c>
      <c r="CR331" s="2">
        <f t="shared" si="869"/>
        <v>0</v>
      </c>
    </row>
    <row r="332" spans="1:96">
      <c r="A332" s="50">
        <f t="shared" si="651"/>
        <v>332</v>
      </c>
      <c r="C332" s="36" t="s">
        <v>156</v>
      </c>
      <c r="D332" s="28" t="s">
        <v>354</v>
      </c>
      <c r="E332" s="23">
        <v>0</v>
      </c>
      <c r="F332" s="60" t="s">
        <v>450</v>
      </c>
      <c r="G332" s="60"/>
      <c r="H332" s="2">
        <f t="shared" si="854"/>
        <v>0</v>
      </c>
      <c r="I332" s="21">
        <f t="shared" si="855"/>
        <v>0</v>
      </c>
      <c r="J332" s="2">
        <f t="shared" si="855"/>
        <v>0</v>
      </c>
      <c r="K332" s="2">
        <f t="shared" si="855"/>
        <v>0</v>
      </c>
      <c r="L332" s="2">
        <f t="shared" si="855"/>
        <v>0</v>
      </c>
      <c r="M332" s="2">
        <f t="shared" si="855"/>
        <v>0</v>
      </c>
      <c r="N332" s="2">
        <f t="shared" si="855"/>
        <v>0</v>
      </c>
      <c r="O332" s="2"/>
      <c r="P332" s="61" t="str">
        <f>E$1&amp;$A332&amp;"*     """</f>
        <v>E332*     "</v>
      </c>
      <c r="Q332" s="61"/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76">
        <f t="shared" si="829"/>
        <v>0</v>
      </c>
      <c r="AK332" s="2">
        <f t="shared" si="857"/>
        <v>0</v>
      </c>
      <c r="AL332" s="2">
        <f t="shared" si="858"/>
        <v>0</v>
      </c>
      <c r="AM332" s="2">
        <f t="shared" si="858"/>
        <v>0</v>
      </c>
      <c r="AN332" s="2">
        <f t="shared" si="858"/>
        <v>0</v>
      </c>
      <c r="AO332" s="2">
        <f t="shared" si="858"/>
        <v>0</v>
      </c>
      <c r="AP332" s="2"/>
      <c r="AQ332" s="61" t="str">
        <f>E$1&amp;$A332&amp;"*      """</f>
        <v>E332*      "</v>
      </c>
      <c r="AS332" s="2">
        <f t="shared" si="859"/>
        <v>0</v>
      </c>
      <c r="AT332" s="2">
        <f t="shared" si="860"/>
        <v>0</v>
      </c>
      <c r="AU332" s="2">
        <f t="shared" si="860"/>
        <v>0</v>
      </c>
      <c r="AV332" s="2">
        <f t="shared" si="860"/>
        <v>0</v>
      </c>
      <c r="AW332" s="2">
        <f t="shared" si="860"/>
        <v>0</v>
      </c>
      <c r="AX332" s="2">
        <f t="shared" si="860"/>
        <v>0</v>
      </c>
      <c r="AY332" s="2">
        <f t="shared" si="860"/>
        <v>0</v>
      </c>
      <c r="BA332" s="2">
        <f t="shared" si="861"/>
        <v>0</v>
      </c>
      <c r="BB332" s="2">
        <f t="shared" si="862"/>
        <v>0</v>
      </c>
      <c r="BC332" s="2">
        <f t="shared" si="862"/>
        <v>0</v>
      </c>
      <c r="BD332" s="2">
        <f t="shared" si="862"/>
        <v>0</v>
      </c>
      <c r="BE332" s="2">
        <f t="shared" si="862"/>
        <v>0</v>
      </c>
      <c r="BF332" s="2">
        <f t="shared" si="862"/>
        <v>0</v>
      </c>
      <c r="BG332" s="2">
        <f t="shared" si="862"/>
        <v>0</v>
      </c>
      <c r="BI332" s="2">
        <f t="shared" si="863"/>
        <v>0</v>
      </c>
      <c r="BJ332" s="2">
        <f t="shared" si="864"/>
        <v>0</v>
      </c>
      <c r="BK332" s="2">
        <f t="shared" si="864"/>
        <v>0</v>
      </c>
      <c r="BL332" s="2">
        <f t="shared" si="864"/>
        <v>0</v>
      </c>
      <c r="BM332" s="2">
        <f t="shared" si="864"/>
        <v>0</v>
      </c>
      <c r="BN332" s="2">
        <f t="shared" si="864"/>
        <v>0</v>
      </c>
      <c r="BO332" s="2">
        <f t="shared" si="864"/>
        <v>0</v>
      </c>
      <c r="BQ332" s="28" t="s">
        <v>354</v>
      </c>
      <c r="BR332" s="23">
        <v>0</v>
      </c>
      <c r="BS332" s="14">
        <f t="shared" ref="BS332:BU333" si="872">R332</f>
        <v>0</v>
      </c>
      <c r="BT332" s="14">
        <f t="shared" si="872"/>
        <v>0</v>
      </c>
      <c r="BU332" s="14">
        <f t="shared" si="872"/>
        <v>0</v>
      </c>
      <c r="BV332" s="14">
        <f t="shared" ref="BV332:CB333" si="873">U332</f>
        <v>0</v>
      </c>
      <c r="BW332" s="14">
        <f t="shared" si="873"/>
        <v>0</v>
      </c>
      <c r="BX332" s="14">
        <f t="shared" si="873"/>
        <v>0</v>
      </c>
      <c r="BY332" s="14">
        <f t="shared" si="873"/>
        <v>0</v>
      </c>
      <c r="BZ332" s="14">
        <f t="shared" si="873"/>
        <v>0</v>
      </c>
      <c r="CA332" s="14">
        <f t="shared" si="873"/>
        <v>0</v>
      </c>
      <c r="CB332" s="14">
        <f t="shared" si="873"/>
        <v>0</v>
      </c>
      <c r="CC332" s="14">
        <f t="shared" ref="CC332:CF333" si="874">AB332</f>
        <v>1</v>
      </c>
      <c r="CD332" s="14">
        <f t="shared" si="874"/>
        <v>0</v>
      </c>
      <c r="CE332" s="14">
        <f t="shared" si="874"/>
        <v>0</v>
      </c>
      <c r="CF332" s="14">
        <f t="shared" si="874"/>
        <v>0</v>
      </c>
      <c r="CG332" s="14">
        <f t="shared" ref="CG332:CI333" si="875">AF332</f>
        <v>0</v>
      </c>
      <c r="CH332" s="14">
        <f t="shared" si="875"/>
        <v>0</v>
      </c>
      <c r="CI332" s="14">
        <f t="shared" si="875"/>
        <v>0</v>
      </c>
      <c r="CJ332" s="14"/>
      <c r="CK332" s="112" t="str">
        <f t="shared" si="868"/>
        <v>Input - 100% Cust</v>
      </c>
      <c r="CL332" s="76">
        <f t="shared" si="780"/>
        <v>0</v>
      </c>
      <c r="CM332" s="2">
        <f t="shared" si="869"/>
        <v>0</v>
      </c>
      <c r="CN332" s="2">
        <f t="shared" si="869"/>
        <v>0</v>
      </c>
      <c r="CO332" s="2">
        <f t="shared" si="869"/>
        <v>0</v>
      </c>
      <c r="CP332" s="2">
        <f t="shared" si="869"/>
        <v>0</v>
      </c>
      <c r="CQ332" s="2">
        <f t="shared" si="869"/>
        <v>0</v>
      </c>
      <c r="CR332" s="2">
        <f t="shared" si="869"/>
        <v>0</v>
      </c>
    </row>
    <row r="333" spans="1:96">
      <c r="A333" s="50">
        <f t="shared" ref="A333:A396" si="876">RowHdr</f>
        <v>333</v>
      </c>
      <c r="C333" s="36" t="s">
        <v>155</v>
      </c>
      <c r="D333" s="28" t="s">
        <v>350</v>
      </c>
      <c r="E333" s="23">
        <v>0</v>
      </c>
      <c r="F333" s="60" t="s">
        <v>451</v>
      </c>
      <c r="G333" s="60"/>
      <c r="H333" s="2">
        <f t="shared" si="854"/>
        <v>0</v>
      </c>
      <c r="I333" s="21">
        <f t="shared" si="855"/>
        <v>0</v>
      </c>
      <c r="J333" s="2">
        <f t="shared" si="855"/>
        <v>0</v>
      </c>
      <c r="K333" s="2">
        <f t="shared" si="855"/>
        <v>0</v>
      </c>
      <c r="L333" s="2">
        <f t="shared" si="855"/>
        <v>0</v>
      </c>
      <c r="M333" s="2">
        <f t="shared" si="855"/>
        <v>0</v>
      </c>
      <c r="N333" s="2">
        <f t="shared" si="855"/>
        <v>0</v>
      </c>
      <c r="O333" s="2"/>
      <c r="P333" s="61" t="str">
        <f>E$1&amp;$A333&amp;"*     """</f>
        <v>E333*     "</v>
      </c>
      <c r="Q333" s="61"/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76">
        <f t="shared" si="829"/>
        <v>0</v>
      </c>
      <c r="AK333" s="2">
        <f t="shared" si="857"/>
        <v>0</v>
      </c>
      <c r="AL333" s="2">
        <f t="shared" si="858"/>
        <v>0</v>
      </c>
      <c r="AM333" s="2">
        <f t="shared" si="858"/>
        <v>0</v>
      </c>
      <c r="AN333" s="2">
        <f t="shared" si="858"/>
        <v>0</v>
      </c>
      <c r="AO333" s="2">
        <f t="shared" si="858"/>
        <v>0</v>
      </c>
      <c r="AP333" s="2"/>
      <c r="AQ333" s="61" t="str">
        <f>E$1&amp;$A333&amp;"*      """</f>
        <v>E333*      "</v>
      </c>
      <c r="AS333" s="2">
        <f t="shared" si="859"/>
        <v>0</v>
      </c>
      <c r="AT333" s="2">
        <f t="shared" si="860"/>
        <v>0</v>
      </c>
      <c r="AU333" s="2">
        <f t="shared" si="860"/>
        <v>0</v>
      </c>
      <c r="AV333" s="2">
        <f t="shared" si="860"/>
        <v>0</v>
      </c>
      <c r="AW333" s="2">
        <f t="shared" si="860"/>
        <v>0</v>
      </c>
      <c r="AX333" s="2">
        <f t="shared" si="860"/>
        <v>0</v>
      </c>
      <c r="AY333" s="2">
        <f t="shared" si="860"/>
        <v>0</v>
      </c>
      <c r="BA333" s="2">
        <f t="shared" si="861"/>
        <v>0</v>
      </c>
      <c r="BB333" s="2">
        <f t="shared" si="862"/>
        <v>0</v>
      </c>
      <c r="BC333" s="2">
        <f t="shared" si="862"/>
        <v>0</v>
      </c>
      <c r="BD333" s="2">
        <f t="shared" si="862"/>
        <v>0</v>
      </c>
      <c r="BE333" s="2">
        <f t="shared" si="862"/>
        <v>0</v>
      </c>
      <c r="BF333" s="2">
        <f t="shared" si="862"/>
        <v>0</v>
      </c>
      <c r="BG333" s="2">
        <f t="shared" si="862"/>
        <v>0</v>
      </c>
      <c r="BI333" s="2">
        <f t="shared" si="863"/>
        <v>0</v>
      </c>
      <c r="BJ333" s="2">
        <f t="shared" si="864"/>
        <v>0</v>
      </c>
      <c r="BK333" s="2">
        <f t="shared" si="864"/>
        <v>0</v>
      </c>
      <c r="BL333" s="2">
        <f t="shared" si="864"/>
        <v>0</v>
      </c>
      <c r="BM333" s="2">
        <f t="shared" si="864"/>
        <v>0</v>
      </c>
      <c r="BN333" s="2">
        <f t="shared" si="864"/>
        <v>0</v>
      </c>
      <c r="BO333" s="2">
        <f t="shared" si="864"/>
        <v>0</v>
      </c>
      <c r="BQ333" s="28" t="s">
        <v>350</v>
      </c>
      <c r="BR333" s="23">
        <v>0</v>
      </c>
      <c r="BS333" s="14">
        <f t="shared" si="872"/>
        <v>0</v>
      </c>
      <c r="BT333" s="14">
        <f t="shared" si="872"/>
        <v>0</v>
      </c>
      <c r="BU333" s="14">
        <f t="shared" si="872"/>
        <v>0</v>
      </c>
      <c r="BV333" s="14">
        <f t="shared" si="873"/>
        <v>0</v>
      </c>
      <c r="BW333" s="14">
        <f t="shared" si="873"/>
        <v>0</v>
      </c>
      <c r="BX333" s="14">
        <f t="shared" si="873"/>
        <v>0</v>
      </c>
      <c r="BY333" s="14">
        <f t="shared" si="873"/>
        <v>0</v>
      </c>
      <c r="BZ333" s="14">
        <f t="shared" si="873"/>
        <v>0</v>
      </c>
      <c r="CA333" s="14">
        <f t="shared" si="873"/>
        <v>0</v>
      </c>
      <c r="CB333" s="14">
        <f t="shared" si="873"/>
        <v>0</v>
      </c>
      <c r="CC333" s="14">
        <f t="shared" si="874"/>
        <v>0</v>
      </c>
      <c r="CD333" s="14">
        <f t="shared" si="874"/>
        <v>0</v>
      </c>
      <c r="CE333" s="14">
        <f t="shared" si="874"/>
        <v>0</v>
      </c>
      <c r="CF333" s="14">
        <f t="shared" si="874"/>
        <v>0</v>
      </c>
      <c r="CG333" s="14">
        <f t="shared" si="875"/>
        <v>0</v>
      </c>
      <c r="CH333" s="14">
        <f t="shared" si="875"/>
        <v>0</v>
      </c>
      <c r="CI333" s="14">
        <f t="shared" si="875"/>
        <v>1</v>
      </c>
      <c r="CJ333" s="14"/>
      <c r="CK333" s="112" t="str">
        <f t="shared" si="868"/>
        <v>Input - 100% Rev</v>
      </c>
      <c r="CL333" s="76">
        <f t="shared" si="780"/>
        <v>0</v>
      </c>
      <c r="CM333" s="2">
        <f t="shared" si="869"/>
        <v>0</v>
      </c>
      <c r="CN333" s="2">
        <f t="shared" si="869"/>
        <v>0</v>
      </c>
      <c r="CO333" s="2">
        <f t="shared" si="869"/>
        <v>0</v>
      </c>
      <c r="CP333" s="2">
        <f t="shared" si="869"/>
        <v>0</v>
      </c>
      <c r="CQ333" s="2">
        <f t="shared" si="869"/>
        <v>0</v>
      </c>
      <c r="CR333" s="2">
        <f t="shared" si="869"/>
        <v>0</v>
      </c>
    </row>
    <row r="334" spans="1:96">
      <c r="A334" s="50">
        <f t="shared" si="876"/>
        <v>334</v>
      </c>
      <c r="C334" s="36" t="s">
        <v>151</v>
      </c>
      <c r="D334" s="28" t="s">
        <v>355</v>
      </c>
      <c r="E334" s="23">
        <v>0</v>
      </c>
      <c r="F334" s="60" t="str">
        <f>"as Labor O&amp;M Exp. ("&amp;BS$1&amp;A$344&amp;")"</f>
        <v>as Labor O&amp;M Exp. (BS344)</v>
      </c>
      <c r="G334" s="60"/>
      <c r="H334" s="2">
        <f t="shared" si="854"/>
        <v>0</v>
      </c>
      <c r="I334" s="21">
        <f t="shared" ref="I334:N334" si="877">$E334*CM$344/$BR$344</f>
        <v>0</v>
      </c>
      <c r="J334" s="21">
        <f t="shared" si="877"/>
        <v>0</v>
      </c>
      <c r="K334" s="21">
        <f t="shared" si="877"/>
        <v>0</v>
      </c>
      <c r="L334" s="21">
        <f t="shared" si="877"/>
        <v>0</v>
      </c>
      <c r="M334" s="21">
        <f t="shared" si="877"/>
        <v>0</v>
      </c>
      <c r="N334" s="21">
        <f t="shared" si="877"/>
        <v>0</v>
      </c>
      <c r="O334" s="2"/>
      <c r="P334" s="61" t="str">
        <f>E$1&amp;$A334&amp;"* "&amp;CM$1&amp;A$344&amp;" / "&amp;BR$1&amp;A$344</f>
        <v>E334* CM344 / BR344</v>
      </c>
      <c r="Q334" s="61"/>
      <c r="R334" s="14">
        <f>BS$344</f>
        <v>0.10913184265939331</v>
      </c>
      <c r="S334" s="14">
        <f>BT$344</f>
        <v>3.3021876247189427E-2</v>
      </c>
      <c r="T334" s="14">
        <f t="shared" ref="T334:AH334" si="878">BU$344</f>
        <v>2.9366713079939091E-3</v>
      </c>
      <c r="U334" s="14">
        <f t="shared" si="878"/>
        <v>1.9653107984266921E-2</v>
      </c>
      <c r="V334" s="14">
        <f t="shared" si="878"/>
        <v>0</v>
      </c>
      <c r="W334" s="14">
        <f t="shared" si="878"/>
        <v>0.16142462055819431</v>
      </c>
      <c r="X334" s="14">
        <f t="shared" si="878"/>
        <v>0</v>
      </c>
      <c r="Y334" s="14">
        <f t="shared" si="878"/>
        <v>0</v>
      </c>
      <c r="Z334" s="14">
        <f t="shared" si="878"/>
        <v>0</v>
      </c>
      <c r="AA334" s="14">
        <f t="shared" si="878"/>
        <v>0</v>
      </c>
      <c r="AB334" s="14">
        <f t="shared" si="878"/>
        <v>0.37507244202834572</v>
      </c>
      <c r="AC334" s="14">
        <f t="shared" si="878"/>
        <v>0.18309838925091035</v>
      </c>
      <c r="AD334" s="14">
        <f t="shared" si="878"/>
        <v>0.11390268710509913</v>
      </c>
      <c r="AE334" s="14">
        <f t="shared" si="878"/>
        <v>0</v>
      </c>
      <c r="AF334" s="14">
        <f t="shared" si="878"/>
        <v>1.7583628586068862E-3</v>
      </c>
      <c r="AG334" s="14">
        <f t="shared" si="878"/>
        <v>0</v>
      </c>
      <c r="AH334" s="14">
        <f t="shared" si="878"/>
        <v>-4.5942138576433119E-19</v>
      </c>
      <c r="AI334" s="76">
        <f t="shared" si="829"/>
        <v>0</v>
      </c>
      <c r="AK334" s="2">
        <f t="shared" si="857"/>
        <v>0</v>
      </c>
      <c r="AL334" s="2">
        <f t="shared" si="858"/>
        <v>0</v>
      </c>
      <c r="AM334" s="2">
        <f t="shared" si="858"/>
        <v>0</v>
      </c>
      <c r="AN334" s="2">
        <f t="shared" si="858"/>
        <v>0</v>
      </c>
      <c r="AO334" s="2">
        <f t="shared" si="858"/>
        <v>0</v>
      </c>
      <c r="AP334" s="2"/>
      <c r="AQ334" s="61" t="str">
        <f>E$1&amp;$A334&amp;"*      """</f>
        <v>E334*      "</v>
      </c>
      <c r="AS334" s="2">
        <f t="shared" si="859"/>
        <v>0</v>
      </c>
      <c r="AT334" s="2">
        <f t="shared" si="860"/>
        <v>0</v>
      </c>
      <c r="AU334" s="2">
        <f t="shared" si="860"/>
        <v>0</v>
      </c>
      <c r="AV334" s="2">
        <f t="shared" si="860"/>
        <v>0</v>
      </c>
      <c r="AW334" s="2">
        <f t="shared" si="860"/>
        <v>0</v>
      </c>
      <c r="AX334" s="2">
        <f t="shared" si="860"/>
        <v>0</v>
      </c>
      <c r="AY334" s="2">
        <f t="shared" si="860"/>
        <v>0</v>
      </c>
      <c r="BA334" s="2">
        <f t="shared" si="861"/>
        <v>0</v>
      </c>
      <c r="BB334" s="2">
        <f t="shared" si="862"/>
        <v>0</v>
      </c>
      <c r="BC334" s="2">
        <f t="shared" si="862"/>
        <v>0</v>
      </c>
      <c r="BD334" s="2">
        <f t="shared" si="862"/>
        <v>0</v>
      </c>
      <c r="BE334" s="2">
        <f t="shared" si="862"/>
        <v>0</v>
      </c>
      <c r="BF334" s="2">
        <f t="shared" si="862"/>
        <v>0</v>
      </c>
      <c r="BG334" s="2">
        <f t="shared" si="862"/>
        <v>0</v>
      </c>
      <c r="BI334" s="2">
        <f t="shared" si="863"/>
        <v>0</v>
      </c>
      <c r="BJ334" s="2">
        <f t="shared" si="864"/>
        <v>0</v>
      </c>
      <c r="BK334" s="2">
        <f t="shared" si="864"/>
        <v>0</v>
      </c>
      <c r="BL334" s="2">
        <f t="shared" si="864"/>
        <v>0</v>
      </c>
      <c r="BM334" s="2">
        <f t="shared" si="864"/>
        <v>0</v>
      </c>
      <c r="BN334" s="2">
        <f t="shared" si="864"/>
        <v>0</v>
      </c>
      <c r="BO334" s="2">
        <f t="shared" si="864"/>
        <v>0</v>
      </c>
      <c r="BQ334" s="28" t="s">
        <v>355</v>
      </c>
      <c r="BR334" s="23">
        <v>0</v>
      </c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112" t="str">
        <f t="shared" si="868"/>
        <v>as Labor O&amp;M Exp. (BS344)</v>
      </c>
      <c r="CL334" s="76">
        <f t="shared" si="780"/>
        <v>0</v>
      </c>
      <c r="CM334" s="2"/>
      <c r="CN334" s="2"/>
      <c r="CO334" s="2"/>
      <c r="CP334" s="2"/>
      <c r="CQ334" s="2"/>
      <c r="CR334" s="2"/>
    </row>
    <row r="335" spans="1:96">
      <c r="A335" s="50">
        <f t="shared" si="876"/>
        <v>335</v>
      </c>
      <c r="B335" t="s">
        <v>62</v>
      </c>
      <c r="D335" t="s">
        <v>63</v>
      </c>
      <c r="E335" s="2"/>
      <c r="F335" s="60"/>
      <c r="G335" s="60"/>
      <c r="I335" s="49"/>
      <c r="P335" s="61"/>
      <c r="Q335" s="61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76">
        <f t="shared" si="829"/>
        <v>0</v>
      </c>
      <c r="AQ335" s="61"/>
      <c r="BQ335" t="s">
        <v>63</v>
      </c>
      <c r="CK335" s="112"/>
      <c r="CL335" s="76">
        <f t="shared" si="780"/>
        <v>0</v>
      </c>
      <c r="CM335" s="49"/>
    </row>
    <row r="336" spans="1:96">
      <c r="A336" s="50">
        <f t="shared" si="876"/>
        <v>336</v>
      </c>
      <c r="C336" s="36" t="s">
        <v>151</v>
      </c>
      <c r="D336" s="56" t="s">
        <v>147</v>
      </c>
      <c r="E336" s="373">
        <f>PROFORMA!AY139</f>
        <v>3107000</v>
      </c>
      <c r="F336" s="61" t="s">
        <v>996</v>
      </c>
      <c r="G336" s="60"/>
      <c r="H336" s="2">
        <f t="shared" ref="H336:H341" si="879">SUM(I336:N336)</f>
        <v>3107000</v>
      </c>
      <c r="I336" s="21">
        <f t="shared" ref="I336:N340" si="880">$E336*SUMPRODUCT($R336:$AH336,INDEX(AllocFactors,I$4,0))</f>
        <v>2615227.6671234583</v>
      </c>
      <c r="J336" s="2">
        <f t="shared" si="880"/>
        <v>396873.07483704493</v>
      </c>
      <c r="K336" s="2">
        <f t="shared" si="880"/>
        <v>0</v>
      </c>
      <c r="L336" s="2">
        <f t="shared" si="880"/>
        <v>9577.5026738746074</v>
      </c>
      <c r="M336" s="2">
        <f t="shared" si="880"/>
        <v>85321.755365622274</v>
      </c>
      <c r="N336" s="2">
        <f t="shared" si="880"/>
        <v>0</v>
      </c>
      <c r="O336" s="2"/>
      <c r="P336" s="61" t="s">
        <v>997</v>
      </c>
      <c r="Q336" s="61"/>
      <c r="R336" s="14">
        <f>R$259</f>
        <v>9.9370957155623774E-2</v>
      </c>
      <c r="S336" s="14">
        <f t="shared" ref="S336:AH336" si="881">S$259</f>
        <v>1.5218388550417537E-2</v>
      </c>
      <c r="T336" s="14">
        <f t="shared" si="881"/>
        <v>8.699877677308605E-3</v>
      </c>
      <c r="U336" s="14">
        <f t="shared" si="881"/>
        <v>5.822225830198835E-2</v>
      </c>
      <c r="V336" s="14">
        <f t="shared" si="881"/>
        <v>0</v>
      </c>
      <c r="W336" s="14">
        <f t="shared" si="881"/>
        <v>0.15327818313927072</v>
      </c>
      <c r="X336" s="14">
        <f t="shared" si="881"/>
        <v>0</v>
      </c>
      <c r="Y336" s="14">
        <f t="shared" si="881"/>
        <v>0</v>
      </c>
      <c r="Z336" s="14">
        <f t="shared" si="881"/>
        <v>0</v>
      </c>
      <c r="AA336" s="14">
        <f t="shared" si="881"/>
        <v>0</v>
      </c>
      <c r="AB336" s="14">
        <f t="shared" si="881"/>
        <v>0.41313387731559803</v>
      </c>
      <c r="AC336" s="14">
        <f t="shared" si="881"/>
        <v>0.17108548237195526</v>
      </c>
      <c r="AD336" s="14">
        <f t="shared" si="881"/>
        <v>7.9473703927617212E-2</v>
      </c>
      <c r="AE336" s="14">
        <f t="shared" si="881"/>
        <v>0</v>
      </c>
      <c r="AF336" s="14">
        <f t="shared" si="881"/>
        <v>1.5172715602204624E-3</v>
      </c>
      <c r="AG336" s="14">
        <f t="shared" si="881"/>
        <v>0</v>
      </c>
      <c r="AH336" s="14">
        <f t="shared" si="881"/>
        <v>-1.4146429571039994E-18</v>
      </c>
      <c r="AI336" s="76">
        <f t="shared" si="829"/>
        <v>0</v>
      </c>
      <c r="AK336" s="2">
        <f t="shared" ref="AK336:AK341" si="882">SUM(AL336:AO336)</f>
        <v>3107000</v>
      </c>
      <c r="AL336" s="2">
        <f t="shared" ref="AL336:AO341" si="883">SUMIF($R$4:$AH$4,AL$5,$R336:$AH336)*$E336</f>
        <v>563956.17359634594</v>
      </c>
      <c r="AM336" s="2">
        <f t="shared" si="883"/>
        <v>476235.31501371413</v>
      </c>
      <c r="AN336" s="2">
        <f t="shared" si="883"/>
        <v>2066808.5113899398</v>
      </c>
      <c r="AO336" s="2">
        <f t="shared" si="883"/>
        <v>-4.3952956677221265E-12</v>
      </c>
      <c r="AP336" s="2"/>
      <c r="AQ336" s="61" t="str">
        <f>E$1&amp;$A336&amp;"*["&amp;R$1&amp;$A336&amp;":"&amp;$AH$1&amp;$A336&amp;" when "&amp;R$1&amp;$A$4&amp;":"&amp;$AH$1&amp;$A$4&amp;" = E,D,C,or R]"</f>
        <v>E336*[R336:AH336 when R4:AH4 = E,D,C,or R]</v>
      </c>
      <c r="AS336" s="2">
        <f t="shared" ref="AS336:AS341" si="884">SUM(AT336:AY336)</f>
        <v>563956.17359634605</v>
      </c>
      <c r="AT336" s="2">
        <f t="shared" ref="AT336:AY341" si="885">$E336*SUMPRODUCT($R336:$V336,INDEX(AllocFactors_E,AT$4,0))</f>
        <v>357235.47877843218</v>
      </c>
      <c r="AU336" s="2">
        <f t="shared" si="885"/>
        <v>156521.47350752272</v>
      </c>
      <c r="AV336" s="2">
        <f t="shared" si="885"/>
        <v>0</v>
      </c>
      <c r="AW336" s="2">
        <f t="shared" si="885"/>
        <v>5638.3258637796243</v>
      </c>
      <c r="AX336" s="2">
        <f t="shared" si="885"/>
        <v>44560.895446611517</v>
      </c>
      <c r="AY336" s="2">
        <f t="shared" si="885"/>
        <v>0</v>
      </c>
      <c r="BA336" s="2">
        <f t="shared" ref="BA336:BA341" si="886">SUM(BB336:BG336)</f>
        <v>476235.31501371408</v>
      </c>
      <c r="BB336" s="2">
        <f t="shared" ref="BB336:BG341" si="887">$E336*SUMPRODUCT($W336:$AA336,INDEX(AllocFactors_D,BB$4,0))</f>
        <v>269240.33594259905</v>
      </c>
      <c r="BC336" s="2">
        <f t="shared" si="887"/>
        <v>166162.15119194181</v>
      </c>
      <c r="BD336" s="2">
        <f t="shared" si="887"/>
        <v>0</v>
      </c>
      <c r="BE336" s="2">
        <f t="shared" si="887"/>
        <v>3580.2418387001367</v>
      </c>
      <c r="BF336" s="2">
        <f t="shared" si="887"/>
        <v>37252.586040473077</v>
      </c>
      <c r="BG336" s="2">
        <f t="shared" si="887"/>
        <v>0</v>
      </c>
      <c r="BI336" s="2">
        <f t="shared" ref="BI336:BI341" si="888">SUM(BJ336:BO336)</f>
        <v>2066808.51138994</v>
      </c>
      <c r="BJ336" s="2">
        <f t="shared" ref="BJ336:BO341" si="889">$E336*SUMPRODUCT($AB336:$AG336,INDEX(AllocFactors_C,BJ$4,0))</f>
        <v>1988751.852402427</v>
      </c>
      <c r="BK336" s="2">
        <f t="shared" si="889"/>
        <v>74189.450137580425</v>
      </c>
      <c r="BL336" s="2">
        <f t="shared" si="889"/>
        <v>0</v>
      </c>
      <c r="BM336" s="2">
        <f t="shared" si="889"/>
        <v>358.93497139484504</v>
      </c>
      <c r="BN336" s="2">
        <f t="shared" si="889"/>
        <v>3508.2738785376982</v>
      </c>
      <c r="BO336" s="2">
        <f t="shared" si="889"/>
        <v>0</v>
      </c>
      <c r="BQ336" s="28" t="s">
        <v>351</v>
      </c>
      <c r="BR336" s="23">
        <v>0</v>
      </c>
      <c r="BS336" s="14">
        <f t="shared" ref="BS336:BU337" si="890">R336</f>
        <v>9.9370957155623774E-2</v>
      </c>
      <c r="BT336" s="14">
        <f t="shared" si="890"/>
        <v>1.5218388550417537E-2</v>
      </c>
      <c r="BU336" s="14">
        <f t="shared" si="890"/>
        <v>8.699877677308605E-3</v>
      </c>
      <c r="BV336" s="14">
        <f t="shared" ref="BV336:CB337" si="891">U336</f>
        <v>5.822225830198835E-2</v>
      </c>
      <c r="BW336" s="14">
        <f t="shared" si="891"/>
        <v>0</v>
      </c>
      <c r="BX336" s="14">
        <f t="shared" si="891"/>
        <v>0.15327818313927072</v>
      </c>
      <c r="BY336" s="14">
        <f t="shared" si="891"/>
        <v>0</v>
      </c>
      <c r="BZ336" s="14">
        <f t="shared" si="891"/>
        <v>0</v>
      </c>
      <c r="CA336" s="14">
        <f t="shared" si="891"/>
        <v>0</v>
      </c>
      <c r="CB336" s="14">
        <f t="shared" si="891"/>
        <v>0</v>
      </c>
      <c r="CC336" s="14">
        <f t="shared" ref="CC336:CI337" si="892">AB336</f>
        <v>0.41313387731559803</v>
      </c>
      <c r="CD336" s="14">
        <f t="shared" si="892"/>
        <v>0.17108548237195526</v>
      </c>
      <c r="CE336" s="14">
        <f t="shared" si="892"/>
        <v>7.9473703927617212E-2</v>
      </c>
      <c r="CF336" s="14">
        <f t="shared" si="892"/>
        <v>0</v>
      </c>
      <c r="CG336" s="14">
        <f t="shared" si="892"/>
        <v>1.5172715602204624E-3</v>
      </c>
      <c r="CH336" s="14">
        <f t="shared" si="892"/>
        <v>0</v>
      </c>
      <c r="CI336" s="14">
        <f t="shared" si="892"/>
        <v>-1.4146429571039994E-18</v>
      </c>
      <c r="CJ336" s="14"/>
      <c r="CK336" s="112" t="str">
        <f t="shared" ref="CK336:CK341" si="893">F336</f>
        <v>4-Factor</v>
      </c>
      <c r="CL336" s="76">
        <f t="shared" si="780"/>
        <v>0</v>
      </c>
      <c r="CM336" s="2">
        <f t="shared" ref="CM336:CR340" si="894">$BR336*SUMPRODUCT($BS336:$CI336,INDEX(AllocFactors,CM$172,0))</f>
        <v>0</v>
      </c>
      <c r="CN336" s="2">
        <f t="shared" si="894"/>
        <v>0</v>
      </c>
      <c r="CO336" s="2">
        <f t="shared" si="894"/>
        <v>0</v>
      </c>
      <c r="CP336" s="2">
        <f t="shared" si="894"/>
        <v>0</v>
      </c>
      <c r="CQ336" s="2">
        <f t="shared" si="894"/>
        <v>0</v>
      </c>
      <c r="CR336" s="2">
        <f t="shared" si="894"/>
        <v>0</v>
      </c>
    </row>
    <row r="337" spans="1:96">
      <c r="A337" s="50">
        <f t="shared" si="876"/>
        <v>337</v>
      </c>
      <c r="C337" s="36" t="s">
        <v>151</v>
      </c>
      <c r="D337" s="56" t="s">
        <v>352</v>
      </c>
      <c r="E337" s="23">
        <v>0</v>
      </c>
      <c r="F337" s="442" t="s">
        <v>444</v>
      </c>
      <c r="G337" s="60"/>
      <c r="H337" s="2">
        <f t="shared" si="879"/>
        <v>0</v>
      </c>
      <c r="I337" s="21">
        <f t="shared" si="880"/>
        <v>0</v>
      </c>
      <c r="J337" s="2">
        <f t="shared" si="880"/>
        <v>0</v>
      </c>
      <c r="K337" s="2">
        <f t="shared" si="880"/>
        <v>0</v>
      </c>
      <c r="L337" s="2">
        <f t="shared" si="880"/>
        <v>0</v>
      </c>
      <c r="M337" s="2">
        <f t="shared" si="880"/>
        <v>0</v>
      </c>
      <c r="N337" s="2">
        <f t="shared" si="880"/>
        <v>0</v>
      </c>
      <c r="O337" s="2"/>
      <c r="P337" s="61" t="str">
        <f>E$1&amp;$A337&amp;"*     """</f>
        <v>E337*     "</v>
      </c>
      <c r="Q337" s="61"/>
      <c r="R337" s="441">
        <v>1</v>
      </c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76">
        <f t="shared" si="829"/>
        <v>0</v>
      </c>
      <c r="AK337" s="2">
        <f t="shared" si="882"/>
        <v>0</v>
      </c>
      <c r="AL337" s="2">
        <f t="shared" si="883"/>
        <v>0</v>
      </c>
      <c r="AM337" s="2">
        <f t="shared" si="883"/>
        <v>0</v>
      </c>
      <c r="AN337" s="2">
        <f t="shared" si="883"/>
        <v>0</v>
      </c>
      <c r="AO337" s="2">
        <f t="shared" si="883"/>
        <v>0</v>
      </c>
      <c r="AP337" s="2"/>
      <c r="AQ337" s="61" t="str">
        <f>E$1&amp;$A337&amp;"*      """</f>
        <v>E337*      "</v>
      </c>
      <c r="AS337" s="2">
        <f t="shared" si="884"/>
        <v>0</v>
      </c>
      <c r="AT337" s="2">
        <f t="shared" si="885"/>
        <v>0</v>
      </c>
      <c r="AU337" s="2">
        <f t="shared" si="885"/>
        <v>0</v>
      </c>
      <c r="AV337" s="2">
        <f t="shared" si="885"/>
        <v>0</v>
      </c>
      <c r="AW337" s="2">
        <f t="shared" si="885"/>
        <v>0</v>
      </c>
      <c r="AX337" s="2">
        <f t="shared" si="885"/>
        <v>0</v>
      </c>
      <c r="AY337" s="2">
        <f t="shared" si="885"/>
        <v>0</v>
      </c>
      <c r="BA337" s="2">
        <f t="shared" si="886"/>
        <v>0</v>
      </c>
      <c r="BB337" s="2">
        <f t="shared" si="887"/>
        <v>0</v>
      </c>
      <c r="BC337" s="2">
        <f t="shared" si="887"/>
        <v>0</v>
      </c>
      <c r="BD337" s="2">
        <f t="shared" si="887"/>
        <v>0</v>
      </c>
      <c r="BE337" s="2">
        <f t="shared" si="887"/>
        <v>0</v>
      </c>
      <c r="BF337" s="2">
        <f t="shared" si="887"/>
        <v>0</v>
      </c>
      <c r="BG337" s="2">
        <f t="shared" si="887"/>
        <v>0</v>
      </c>
      <c r="BI337" s="2">
        <f t="shared" si="888"/>
        <v>0</v>
      </c>
      <c r="BJ337" s="2">
        <f t="shared" si="889"/>
        <v>0</v>
      </c>
      <c r="BK337" s="2">
        <f t="shared" si="889"/>
        <v>0</v>
      </c>
      <c r="BL337" s="2">
        <f t="shared" si="889"/>
        <v>0</v>
      </c>
      <c r="BM337" s="2">
        <f t="shared" si="889"/>
        <v>0</v>
      </c>
      <c r="BN337" s="2">
        <f t="shared" si="889"/>
        <v>0</v>
      </c>
      <c r="BO337" s="2">
        <f t="shared" si="889"/>
        <v>0</v>
      </c>
      <c r="BQ337" s="28" t="s">
        <v>352</v>
      </c>
      <c r="BR337" s="23">
        <v>0</v>
      </c>
      <c r="BS337" s="14">
        <f t="shared" si="890"/>
        <v>1</v>
      </c>
      <c r="BT337" s="14">
        <f t="shared" si="890"/>
        <v>0</v>
      </c>
      <c r="BU337" s="14">
        <f t="shared" si="890"/>
        <v>0</v>
      </c>
      <c r="BV337" s="14">
        <f t="shared" si="891"/>
        <v>0</v>
      </c>
      <c r="BW337" s="14">
        <f t="shared" si="891"/>
        <v>0</v>
      </c>
      <c r="BX337" s="14">
        <f t="shared" si="891"/>
        <v>0</v>
      </c>
      <c r="BY337" s="14">
        <f t="shared" si="891"/>
        <v>0</v>
      </c>
      <c r="BZ337" s="14">
        <f t="shared" si="891"/>
        <v>0</v>
      </c>
      <c r="CA337" s="14">
        <f t="shared" si="891"/>
        <v>0</v>
      </c>
      <c r="CB337" s="14">
        <f t="shared" si="891"/>
        <v>0</v>
      </c>
      <c r="CC337" s="14">
        <f t="shared" si="892"/>
        <v>0</v>
      </c>
      <c r="CD337" s="14">
        <f t="shared" si="892"/>
        <v>0</v>
      </c>
      <c r="CE337" s="14">
        <f t="shared" si="892"/>
        <v>0</v>
      </c>
      <c r="CF337" s="14">
        <f t="shared" si="892"/>
        <v>0</v>
      </c>
      <c r="CG337" s="14">
        <f t="shared" si="892"/>
        <v>0</v>
      </c>
      <c r="CH337" s="14">
        <f t="shared" si="892"/>
        <v>0</v>
      </c>
      <c r="CI337" s="14">
        <f t="shared" si="892"/>
        <v>0</v>
      </c>
      <c r="CJ337" s="14"/>
      <c r="CK337" s="112" t="str">
        <f t="shared" si="893"/>
        <v>Input - 100% Throughput</v>
      </c>
      <c r="CL337" s="76">
        <f t="shared" si="780"/>
        <v>0</v>
      </c>
      <c r="CM337" s="2">
        <f t="shared" si="894"/>
        <v>0</v>
      </c>
      <c r="CN337" s="2">
        <f t="shared" si="894"/>
        <v>0</v>
      </c>
      <c r="CO337" s="2">
        <f t="shared" si="894"/>
        <v>0</v>
      </c>
      <c r="CP337" s="2">
        <f t="shared" si="894"/>
        <v>0</v>
      </c>
      <c r="CQ337" s="2">
        <f t="shared" si="894"/>
        <v>0</v>
      </c>
      <c r="CR337" s="2">
        <f t="shared" si="894"/>
        <v>0</v>
      </c>
    </row>
    <row r="338" spans="1:96" s="49" customFormat="1">
      <c r="A338" s="130">
        <f t="shared" si="876"/>
        <v>338</v>
      </c>
      <c r="C338" s="443" t="s">
        <v>151</v>
      </c>
      <c r="D338" s="56" t="s">
        <v>353</v>
      </c>
      <c r="E338" s="373">
        <v>0</v>
      </c>
      <c r="F338" s="119" t="str">
        <f>"as Plant in Service ("&amp;A$58&amp;")"</f>
        <v>as Plant in Service (58)</v>
      </c>
      <c r="G338" s="119"/>
      <c r="H338" s="21">
        <f t="shared" si="879"/>
        <v>0</v>
      </c>
      <c r="I338" s="21">
        <f t="shared" si="880"/>
        <v>0</v>
      </c>
      <c r="J338" s="21">
        <f t="shared" si="880"/>
        <v>0</v>
      </c>
      <c r="K338" s="21">
        <f t="shared" si="880"/>
        <v>0</v>
      </c>
      <c r="L338" s="21">
        <f t="shared" si="880"/>
        <v>0</v>
      </c>
      <c r="M338" s="21">
        <f t="shared" si="880"/>
        <v>0</v>
      </c>
      <c r="N338" s="21">
        <f t="shared" si="880"/>
        <v>0</v>
      </c>
      <c r="O338" s="21"/>
      <c r="P338" s="133" t="str">
        <f>E$1&amp;$A338&amp;"*     """</f>
        <v>E338*     "</v>
      </c>
      <c r="Q338" s="133"/>
      <c r="R338" s="444">
        <f>R$58</f>
        <v>0.16904766890389558</v>
      </c>
      <c r="S338" s="444">
        <f t="shared" ref="S338:AH338" si="895">S$58</f>
        <v>2.676215166561764E-3</v>
      </c>
      <c r="T338" s="444">
        <f t="shared" si="895"/>
        <v>6.7778250216338808E-3</v>
      </c>
      <c r="U338" s="444">
        <f t="shared" si="895"/>
        <v>4.5359290529395975E-2</v>
      </c>
      <c r="V338" s="444">
        <f t="shared" si="895"/>
        <v>0</v>
      </c>
      <c r="W338" s="444">
        <f t="shared" si="895"/>
        <v>0.27058822771397795</v>
      </c>
      <c r="X338" s="444">
        <f t="shared" si="895"/>
        <v>0</v>
      </c>
      <c r="Y338" s="444">
        <f t="shared" si="895"/>
        <v>0</v>
      </c>
      <c r="Z338" s="444">
        <f t="shared" si="895"/>
        <v>0</v>
      </c>
      <c r="AA338" s="444">
        <f t="shared" si="895"/>
        <v>0</v>
      </c>
      <c r="AB338" s="444">
        <f t="shared" si="895"/>
        <v>7.2651262952682066E-2</v>
      </c>
      <c r="AC338" s="444">
        <f t="shared" si="895"/>
        <v>0.31137572086955634</v>
      </c>
      <c r="AD338" s="444">
        <f t="shared" si="895"/>
        <v>0.11759557901028445</v>
      </c>
      <c r="AE338" s="444">
        <f t="shared" si="895"/>
        <v>0</v>
      </c>
      <c r="AF338" s="444">
        <f t="shared" si="895"/>
        <v>3.9282098320119977E-3</v>
      </c>
      <c r="AG338" s="444">
        <f t="shared" si="895"/>
        <v>0</v>
      </c>
      <c r="AH338" s="444">
        <f t="shared" si="895"/>
        <v>-2.4244162456526846E-19</v>
      </c>
      <c r="AI338" s="116">
        <f t="shared" si="829"/>
        <v>0</v>
      </c>
      <c r="AK338" s="21">
        <f t="shared" si="882"/>
        <v>0</v>
      </c>
      <c r="AL338" s="21">
        <f t="shared" si="883"/>
        <v>0</v>
      </c>
      <c r="AM338" s="21">
        <f t="shared" si="883"/>
        <v>0</v>
      </c>
      <c r="AN338" s="21">
        <f t="shared" si="883"/>
        <v>0</v>
      </c>
      <c r="AO338" s="21">
        <f t="shared" si="883"/>
        <v>0</v>
      </c>
      <c r="AP338" s="21"/>
      <c r="AQ338" s="133" t="str">
        <f>E$1&amp;$A338&amp;"*      """</f>
        <v>E338*      "</v>
      </c>
      <c r="AS338" s="21">
        <f t="shared" si="884"/>
        <v>0</v>
      </c>
      <c r="AT338" s="21">
        <f t="shared" si="885"/>
        <v>0</v>
      </c>
      <c r="AU338" s="21">
        <f t="shared" si="885"/>
        <v>0</v>
      </c>
      <c r="AV338" s="21">
        <f t="shared" si="885"/>
        <v>0</v>
      </c>
      <c r="AW338" s="21">
        <f t="shared" si="885"/>
        <v>0</v>
      </c>
      <c r="AX338" s="21">
        <f t="shared" si="885"/>
        <v>0</v>
      </c>
      <c r="AY338" s="21">
        <f t="shared" si="885"/>
        <v>0</v>
      </c>
      <c r="BA338" s="21">
        <f t="shared" si="886"/>
        <v>0</v>
      </c>
      <c r="BB338" s="21">
        <f t="shared" si="887"/>
        <v>0</v>
      </c>
      <c r="BC338" s="21">
        <f t="shared" si="887"/>
        <v>0</v>
      </c>
      <c r="BD338" s="21">
        <f t="shared" si="887"/>
        <v>0</v>
      </c>
      <c r="BE338" s="21">
        <f t="shared" si="887"/>
        <v>0</v>
      </c>
      <c r="BF338" s="21">
        <f t="shared" si="887"/>
        <v>0</v>
      </c>
      <c r="BG338" s="21">
        <f t="shared" si="887"/>
        <v>0</v>
      </c>
      <c r="BI338" s="21">
        <f t="shared" si="888"/>
        <v>0</v>
      </c>
      <c r="BJ338" s="21">
        <f t="shared" si="889"/>
        <v>0</v>
      </c>
      <c r="BK338" s="21">
        <f t="shared" si="889"/>
        <v>0</v>
      </c>
      <c r="BL338" s="21">
        <f t="shared" si="889"/>
        <v>0</v>
      </c>
      <c r="BM338" s="21">
        <f t="shared" si="889"/>
        <v>0</v>
      </c>
      <c r="BN338" s="21">
        <f t="shared" si="889"/>
        <v>0</v>
      </c>
      <c r="BO338" s="21">
        <f t="shared" si="889"/>
        <v>0</v>
      </c>
      <c r="BQ338" s="56" t="s">
        <v>353</v>
      </c>
      <c r="BR338" s="23">
        <v>253330</v>
      </c>
      <c r="BS338" s="444">
        <f>R$58</f>
        <v>0.16904766890389558</v>
      </c>
      <c r="BT338" s="444">
        <f>S$58</f>
        <v>2.676215166561764E-3</v>
      </c>
      <c r="BU338" s="444">
        <f>T$58</f>
        <v>6.7778250216338808E-3</v>
      </c>
      <c r="BV338" s="444">
        <f t="shared" ref="BV338:CI338" si="896">U$58</f>
        <v>4.5359290529395975E-2</v>
      </c>
      <c r="BW338" s="444">
        <f t="shared" si="896"/>
        <v>0</v>
      </c>
      <c r="BX338" s="444">
        <f t="shared" si="896"/>
        <v>0.27058822771397795</v>
      </c>
      <c r="BY338" s="444">
        <f t="shared" si="896"/>
        <v>0</v>
      </c>
      <c r="BZ338" s="444">
        <f t="shared" si="896"/>
        <v>0</v>
      </c>
      <c r="CA338" s="444">
        <f t="shared" si="896"/>
        <v>0</v>
      </c>
      <c r="CB338" s="444">
        <f t="shared" si="896"/>
        <v>0</v>
      </c>
      <c r="CC338" s="444">
        <f t="shared" si="896"/>
        <v>7.2651262952682066E-2</v>
      </c>
      <c r="CD338" s="444">
        <f t="shared" si="896"/>
        <v>0.31137572086955634</v>
      </c>
      <c r="CE338" s="444">
        <f t="shared" si="896"/>
        <v>0.11759557901028445</v>
      </c>
      <c r="CF338" s="444">
        <f t="shared" si="896"/>
        <v>0</v>
      </c>
      <c r="CG338" s="444">
        <f t="shared" si="896"/>
        <v>3.9282098320119977E-3</v>
      </c>
      <c r="CH338" s="444">
        <f t="shared" si="896"/>
        <v>0</v>
      </c>
      <c r="CI338" s="444">
        <f t="shared" si="896"/>
        <v>-2.4244162456526846E-19</v>
      </c>
      <c r="CJ338" s="444"/>
      <c r="CK338" s="377" t="str">
        <f t="shared" si="893"/>
        <v>as Plant in Service (58)</v>
      </c>
      <c r="CL338" s="116">
        <f t="shared" ref="CL338:CL344" si="897">IF(SUM(BS338:CI338)&lt;&gt;0,(ROUND(SUM(BS338:CI338),4)&lt;&gt;1)+0,0)</f>
        <v>0</v>
      </c>
      <c r="CM338" s="21">
        <f>$BR338*SUMPRODUCT($BS338:$CI338,INDEX(AllocFactors,CM$172,0))</f>
        <v>193839.9720996042</v>
      </c>
      <c r="CN338" s="21">
        <f t="shared" si="894"/>
        <v>46533.850039084529</v>
      </c>
      <c r="CO338" s="21">
        <f t="shared" si="894"/>
        <v>0</v>
      </c>
      <c r="CP338" s="21">
        <f t="shared" si="894"/>
        <v>1152.4317900646067</v>
      </c>
      <c r="CQ338" s="21">
        <f t="shared" si="894"/>
        <v>11803.746071246665</v>
      </c>
      <c r="CR338" s="21">
        <f t="shared" si="894"/>
        <v>0</v>
      </c>
    </row>
    <row r="339" spans="1:96">
      <c r="A339" s="50">
        <f t="shared" si="876"/>
        <v>339</v>
      </c>
      <c r="C339" s="36" t="s">
        <v>156</v>
      </c>
      <c r="D339" s="28" t="s">
        <v>354</v>
      </c>
      <c r="E339" s="23">
        <v>0</v>
      </c>
      <c r="F339" s="60" t="s">
        <v>450</v>
      </c>
      <c r="G339" s="60"/>
      <c r="H339" s="2">
        <f t="shared" si="879"/>
        <v>0</v>
      </c>
      <c r="I339" s="21">
        <f t="shared" si="880"/>
        <v>0</v>
      </c>
      <c r="J339" s="2">
        <f t="shared" si="880"/>
        <v>0</v>
      </c>
      <c r="K339" s="2">
        <f t="shared" si="880"/>
        <v>0</v>
      </c>
      <c r="L339" s="2">
        <f t="shared" si="880"/>
        <v>0</v>
      </c>
      <c r="M339" s="2">
        <f t="shared" si="880"/>
        <v>0</v>
      </c>
      <c r="N339" s="2">
        <f t="shared" si="880"/>
        <v>0</v>
      </c>
      <c r="O339" s="2"/>
      <c r="P339" s="61" t="str">
        <f>E$1&amp;$A339&amp;"*     """</f>
        <v>E339*     "</v>
      </c>
      <c r="Q339" s="61"/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76">
        <f t="shared" si="829"/>
        <v>0</v>
      </c>
      <c r="AK339" s="2">
        <f t="shared" si="882"/>
        <v>0</v>
      </c>
      <c r="AL339" s="2">
        <f t="shared" si="883"/>
        <v>0</v>
      </c>
      <c r="AM339" s="2">
        <f t="shared" si="883"/>
        <v>0</v>
      </c>
      <c r="AN339" s="2">
        <f t="shared" si="883"/>
        <v>0</v>
      </c>
      <c r="AO339" s="2">
        <f t="shared" si="883"/>
        <v>0</v>
      </c>
      <c r="AP339" s="2"/>
      <c r="AQ339" s="61" t="str">
        <f>E$1&amp;$A339&amp;"*      """</f>
        <v>E339*      "</v>
      </c>
      <c r="AS339" s="2">
        <f t="shared" si="884"/>
        <v>0</v>
      </c>
      <c r="AT339" s="2">
        <f t="shared" si="885"/>
        <v>0</v>
      </c>
      <c r="AU339" s="2">
        <f t="shared" si="885"/>
        <v>0</v>
      </c>
      <c r="AV339" s="2">
        <f t="shared" si="885"/>
        <v>0</v>
      </c>
      <c r="AW339" s="2">
        <f t="shared" si="885"/>
        <v>0</v>
      </c>
      <c r="AX339" s="2">
        <f t="shared" si="885"/>
        <v>0</v>
      </c>
      <c r="AY339" s="2">
        <f t="shared" si="885"/>
        <v>0</v>
      </c>
      <c r="BA339" s="2">
        <f t="shared" si="886"/>
        <v>0</v>
      </c>
      <c r="BB339" s="2">
        <f t="shared" si="887"/>
        <v>0</v>
      </c>
      <c r="BC339" s="2">
        <f t="shared" si="887"/>
        <v>0</v>
      </c>
      <c r="BD339" s="2">
        <f t="shared" si="887"/>
        <v>0</v>
      </c>
      <c r="BE339" s="2">
        <f t="shared" si="887"/>
        <v>0</v>
      </c>
      <c r="BF339" s="2">
        <f t="shared" si="887"/>
        <v>0</v>
      </c>
      <c r="BG339" s="2">
        <f t="shared" si="887"/>
        <v>0</v>
      </c>
      <c r="BI339" s="2">
        <f t="shared" si="888"/>
        <v>0</v>
      </c>
      <c r="BJ339" s="2">
        <f t="shared" si="889"/>
        <v>0</v>
      </c>
      <c r="BK339" s="2">
        <f t="shared" si="889"/>
        <v>0</v>
      </c>
      <c r="BL339" s="2">
        <f t="shared" si="889"/>
        <v>0</v>
      </c>
      <c r="BM339" s="2">
        <f t="shared" si="889"/>
        <v>0</v>
      </c>
      <c r="BN339" s="2">
        <f t="shared" si="889"/>
        <v>0</v>
      </c>
      <c r="BO339" s="2">
        <f t="shared" si="889"/>
        <v>0</v>
      </c>
      <c r="BQ339" s="28" t="s">
        <v>354</v>
      </c>
      <c r="BR339" s="23">
        <v>0</v>
      </c>
      <c r="BS339" s="14">
        <f t="shared" ref="BS339:BU340" si="898">R339</f>
        <v>0</v>
      </c>
      <c r="BT339" s="14">
        <f t="shared" si="898"/>
        <v>0</v>
      </c>
      <c r="BU339" s="14">
        <f t="shared" si="898"/>
        <v>0</v>
      </c>
      <c r="BV339" s="14">
        <f t="shared" ref="BV339:CB340" si="899">U339</f>
        <v>0</v>
      </c>
      <c r="BW339" s="14">
        <f t="shared" si="899"/>
        <v>0</v>
      </c>
      <c r="BX339" s="14">
        <f t="shared" si="899"/>
        <v>0</v>
      </c>
      <c r="BY339" s="14">
        <f t="shared" si="899"/>
        <v>0</v>
      </c>
      <c r="BZ339" s="14">
        <f t="shared" si="899"/>
        <v>0</v>
      </c>
      <c r="CA339" s="14">
        <f t="shared" si="899"/>
        <v>0</v>
      </c>
      <c r="CB339" s="14">
        <f t="shared" si="899"/>
        <v>0</v>
      </c>
      <c r="CC339" s="14">
        <f t="shared" ref="CC339:CF340" si="900">AB339</f>
        <v>1</v>
      </c>
      <c r="CD339" s="14">
        <f t="shared" si="900"/>
        <v>0</v>
      </c>
      <c r="CE339" s="14">
        <f t="shared" si="900"/>
        <v>0</v>
      </c>
      <c r="CF339" s="14">
        <f t="shared" si="900"/>
        <v>0</v>
      </c>
      <c r="CG339" s="14">
        <f t="shared" ref="CG339:CI340" si="901">AF339</f>
        <v>0</v>
      </c>
      <c r="CH339" s="14">
        <f t="shared" si="901"/>
        <v>0</v>
      </c>
      <c r="CI339" s="14">
        <f t="shared" si="901"/>
        <v>0</v>
      </c>
      <c r="CJ339" s="14"/>
      <c r="CK339" s="112" t="str">
        <f t="shared" si="893"/>
        <v>Input - 100% Cust</v>
      </c>
      <c r="CL339" s="76">
        <f t="shared" si="897"/>
        <v>0</v>
      </c>
      <c r="CM339" s="2">
        <f t="shared" si="894"/>
        <v>0</v>
      </c>
      <c r="CN339" s="2">
        <f t="shared" si="894"/>
        <v>0</v>
      </c>
      <c r="CO339" s="2">
        <f t="shared" si="894"/>
        <v>0</v>
      </c>
      <c r="CP339" s="2">
        <f t="shared" si="894"/>
        <v>0</v>
      </c>
      <c r="CQ339" s="2">
        <f t="shared" si="894"/>
        <v>0</v>
      </c>
      <c r="CR339" s="2">
        <f t="shared" si="894"/>
        <v>0</v>
      </c>
    </row>
    <row r="340" spans="1:96">
      <c r="A340" s="50">
        <f t="shared" si="876"/>
        <v>340</v>
      </c>
      <c r="C340" s="36" t="s">
        <v>155</v>
      </c>
      <c r="D340" s="28" t="s">
        <v>350</v>
      </c>
      <c r="E340" s="23">
        <v>0</v>
      </c>
      <c r="F340" s="60" t="s">
        <v>451</v>
      </c>
      <c r="G340" s="60"/>
      <c r="H340" s="2">
        <f t="shared" si="879"/>
        <v>0</v>
      </c>
      <c r="I340" s="21">
        <f t="shared" si="880"/>
        <v>0</v>
      </c>
      <c r="J340" s="2">
        <f t="shared" si="880"/>
        <v>0</v>
      </c>
      <c r="K340" s="2">
        <f t="shared" si="880"/>
        <v>0</v>
      </c>
      <c r="L340" s="2">
        <f t="shared" si="880"/>
        <v>0</v>
      </c>
      <c r="M340" s="2">
        <f t="shared" si="880"/>
        <v>0</v>
      </c>
      <c r="N340" s="2">
        <f t="shared" si="880"/>
        <v>0</v>
      </c>
      <c r="O340" s="2"/>
      <c r="P340" s="61" t="str">
        <f>E$1&amp;$A340&amp;"*     """</f>
        <v>E340*     "</v>
      </c>
      <c r="Q340" s="61"/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76">
        <f t="shared" si="829"/>
        <v>0</v>
      </c>
      <c r="AK340" s="2">
        <f t="shared" si="882"/>
        <v>0</v>
      </c>
      <c r="AL340" s="2">
        <f t="shared" si="883"/>
        <v>0</v>
      </c>
      <c r="AM340" s="2">
        <f t="shared" si="883"/>
        <v>0</v>
      </c>
      <c r="AN340" s="2">
        <f t="shared" si="883"/>
        <v>0</v>
      </c>
      <c r="AO340" s="2">
        <f t="shared" si="883"/>
        <v>0</v>
      </c>
      <c r="AP340" s="2"/>
      <c r="AQ340" s="61" t="str">
        <f>E$1&amp;$A340&amp;"*      """</f>
        <v>E340*      "</v>
      </c>
      <c r="AS340" s="2">
        <f t="shared" si="884"/>
        <v>0</v>
      </c>
      <c r="AT340" s="2">
        <f t="shared" si="885"/>
        <v>0</v>
      </c>
      <c r="AU340" s="2">
        <f t="shared" si="885"/>
        <v>0</v>
      </c>
      <c r="AV340" s="2">
        <f t="shared" si="885"/>
        <v>0</v>
      </c>
      <c r="AW340" s="2">
        <f t="shared" si="885"/>
        <v>0</v>
      </c>
      <c r="AX340" s="2">
        <f t="shared" si="885"/>
        <v>0</v>
      </c>
      <c r="AY340" s="2">
        <f t="shared" si="885"/>
        <v>0</v>
      </c>
      <c r="BA340" s="2">
        <f t="shared" si="886"/>
        <v>0</v>
      </c>
      <c r="BB340" s="2">
        <f t="shared" si="887"/>
        <v>0</v>
      </c>
      <c r="BC340" s="2">
        <f t="shared" si="887"/>
        <v>0</v>
      </c>
      <c r="BD340" s="2">
        <f t="shared" si="887"/>
        <v>0</v>
      </c>
      <c r="BE340" s="2">
        <f t="shared" si="887"/>
        <v>0</v>
      </c>
      <c r="BF340" s="2">
        <f t="shared" si="887"/>
        <v>0</v>
      </c>
      <c r="BG340" s="2">
        <f t="shared" si="887"/>
        <v>0</v>
      </c>
      <c r="BI340" s="2">
        <f t="shared" si="888"/>
        <v>0</v>
      </c>
      <c r="BJ340" s="2">
        <f t="shared" si="889"/>
        <v>0</v>
      </c>
      <c r="BK340" s="2">
        <f t="shared" si="889"/>
        <v>0</v>
      </c>
      <c r="BL340" s="2">
        <f t="shared" si="889"/>
        <v>0</v>
      </c>
      <c r="BM340" s="2">
        <f t="shared" si="889"/>
        <v>0</v>
      </c>
      <c r="BN340" s="2">
        <f t="shared" si="889"/>
        <v>0</v>
      </c>
      <c r="BO340" s="2">
        <f t="shared" si="889"/>
        <v>0</v>
      </c>
      <c r="BQ340" s="28" t="s">
        <v>350</v>
      </c>
      <c r="BR340" s="23">
        <v>0</v>
      </c>
      <c r="BS340" s="14">
        <f t="shared" si="898"/>
        <v>0</v>
      </c>
      <c r="BT340" s="14">
        <f t="shared" si="898"/>
        <v>0</v>
      </c>
      <c r="BU340" s="14">
        <f t="shared" si="898"/>
        <v>0</v>
      </c>
      <c r="BV340" s="14">
        <f t="shared" si="899"/>
        <v>0</v>
      </c>
      <c r="BW340" s="14">
        <f t="shared" si="899"/>
        <v>0</v>
      </c>
      <c r="BX340" s="14">
        <f t="shared" si="899"/>
        <v>0</v>
      </c>
      <c r="BY340" s="14">
        <f t="shared" si="899"/>
        <v>0</v>
      </c>
      <c r="BZ340" s="14">
        <f t="shared" si="899"/>
        <v>0</v>
      </c>
      <c r="CA340" s="14">
        <f t="shared" si="899"/>
        <v>0</v>
      </c>
      <c r="CB340" s="14">
        <f t="shared" si="899"/>
        <v>0</v>
      </c>
      <c r="CC340" s="14">
        <f t="shared" si="900"/>
        <v>0</v>
      </c>
      <c r="CD340" s="14">
        <f t="shared" si="900"/>
        <v>0</v>
      </c>
      <c r="CE340" s="14">
        <f t="shared" si="900"/>
        <v>0</v>
      </c>
      <c r="CF340" s="14">
        <f t="shared" si="900"/>
        <v>0</v>
      </c>
      <c r="CG340" s="14">
        <f t="shared" si="901"/>
        <v>0</v>
      </c>
      <c r="CH340" s="14">
        <f t="shared" si="901"/>
        <v>0</v>
      </c>
      <c r="CI340" s="14">
        <f t="shared" si="901"/>
        <v>1</v>
      </c>
      <c r="CJ340" s="14"/>
      <c r="CK340" s="112" t="str">
        <f t="shared" si="893"/>
        <v>Input - 100% Rev</v>
      </c>
      <c r="CL340" s="76">
        <f t="shared" si="897"/>
        <v>0</v>
      </c>
      <c r="CM340" s="2">
        <f t="shared" si="894"/>
        <v>0</v>
      </c>
      <c r="CN340" s="2">
        <f t="shared" si="894"/>
        <v>0</v>
      </c>
      <c r="CO340" s="2">
        <f t="shared" si="894"/>
        <v>0</v>
      </c>
      <c r="CP340" s="2">
        <f t="shared" si="894"/>
        <v>0</v>
      </c>
      <c r="CQ340" s="2">
        <f t="shared" si="894"/>
        <v>0</v>
      </c>
      <c r="CR340" s="2">
        <f t="shared" si="894"/>
        <v>0</v>
      </c>
    </row>
    <row r="341" spans="1:96">
      <c r="A341" s="50">
        <f t="shared" si="876"/>
        <v>341</v>
      </c>
      <c r="C341" s="36" t="s">
        <v>151</v>
      </c>
      <c r="D341" s="28" t="s">
        <v>355</v>
      </c>
      <c r="E341" s="23">
        <v>0</v>
      </c>
      <c r="F341" s="60" t="str">
        <f>"as Labor O&amp;M Exp. ("&amp;BS$1&amp;A$344&amp;")"</f>
        <v>as Labor O&amp;M Exp. (BS344)</v>
      </c>
      <c r="G341" s="60"/>
      <c r="H341" s="2">
        <f t="shared" si="879"/>
        <v>0</v>
      </c>
      <c r="I341" s="21">
        <f t="shared" ref="I341:N341" si="902">$E341*CM$344/$BR$344</f>
        <v>0</v>
      </c>
      <c r="J341" s="21">
        <f t="shared" si="902"/>
        <v>0</v>
      </c>
      <c r="K341" s="21">
        <f t="shared" si="902"/>
        <v>0</v>
      </c>
      <c r="L341" s="21">
        <f t="shared" si="902"/>
        <v>0</v>
      </c>
      <c r="M341" s="21">
        <f t="shared" si="902"/>
        <v>0</v>
      </c>
      <c r="N341" s="21">
        <f t="shared" si="902"/>
        <v>0</v>
      </c>
      <c r="O341" s="2"/>
      <c r="P341" s="61" t="str">
        <f>E$1&amp;$A341&amp;"* "&amp;CM$1&amp;A$344&amp;" / "&amp;BR$1&amp;A$344</f>
        <v>E341* CM344 / BR344</v>
      </c>
      <c r="Q341" s="61"/>
      <c r="R341" s="14">
        <f>BS$344</f>
        <v>0.10913184265939331</v>
      </c>
      <c r="S341" s="14">
        <f>BT$344</f>
        <v>3.3021876247189427E-2</v>
      </c>
      <c r="T341" s="14">
        <f t="shared" ref="T341:AH341" si="903">BU$344</f>
        <v>2.9366713079939091E-3</v>
      </c>
      <c r="U341" s="14">
        <f t="shared" si="903"/>
        <v>1.9653107984266921E-2</v>
      </c>
      <c r="V341" s="14">
        <f t="shared" si="903"/>
        <v>0</v>
      </c>
      <c r="W341" s="14">
        <f t="shared" si="903"/>
        <v>0.16142462055819431</v>
      </c>
      <c r="X341" s="14">
        <f t="shared" si="903"/>
        <v>0</v>
      </c>
      <c r="Y341" s="14">
        <f t="shared" si="903"/>
        <v>0</v>
      </c>
      <c r="Z341" s="14">
        <f t="shared" si="903"/>
        <v>0</v>
      </c>
      <c r="AA341" s="14">
        <f t="shared" si="903"/>
        <v>0</v>
      </c>
      <c r="AB341" s="14">
        <f t="shared" si="903"/>
        <v>0.37507244202834572</v>
      </c>
      <c r="AC341" s="14">
        <f t="shared" si="903"/>
        <v>0.18309838925091035</v>
      </c>
      <c r="AD341" s="14">
        <f t="shared" si="903"/>
        <v>0.11390268710509913</v>
      </c>
      <c r="AE341" s="14">
        <f t="shared" si="903"/>
        <v>0</v>
      </c>
      <c r="AF341" s="14">
        <f t="shared" si="903"/>
        <v>1.7583628586068862E-3</v>
      </c>
      <c r="AG341" s="14">
        <f t="shared" si="903"/>
        <v>0</v>
      </c>
      <c r="AH341" s="14">
        <f t="shared" si="903"/>
        <v>-4.5942138576433119E-19</v>
      </c>
      <c r="AI341" s="76">
        <f t="shared" si="829"/>
        <v>0</v>
      </c>
      <c r="AK341" s="2">
        <f t="shared" si="882"/>
        <v>0</v>
      </c>
      <c r="AL341" s="2">
        <f t="shared" si="883"/>
        <v>0</v>
      </c>
      <c r="AM341" s="2">
        <f t="shared" si="883"/>
        <v>0</v>
      </c>
      <c r="AN341" s="2">
        <f t="shared" si="883"/>
        <v>0</v>
      </c>
      <c r="AO341" s="2">
        <f t="shared" si="883"/>
        <v>0</v>
      </c>
      <c r="AP341" s="2"/>
      <c r="AQ341" s="61" t="str">
        <f>E$1&amp;$A341&amp;"*      """</f>
        <v>E341*      "</v>
      </c>
      <c r="AS341" s="2">
        <f t="shared" si="884"/>
        <v>0</v>
      </c>
      <c r="AT341" s="2">
        <f t="shared" si="885"/>
        <v>0</v>
      </c>
      <c r="AU341" s="2">
        <f t="shared" si="885"/>
        <v>0</v>
      </c>
      <c r="AV341" s="2">
        <f t="shared" si="885"/>
        <v>0</v>
      </c>
      <c r="AW341" s="2">
        <f t="shared" si="885"/>
        <v>0</v>
      </c>
      <c r="AX341" s="2">
        <f t="shared" si="885"/>
        <v>0</v>
      </c>
      <c r="AY341" s="2">
        <f t="shared" si="885"/>
        <v>0</v>
      </c>
      <c r="BA341" s="2">
        <f t="shared" si="886"/>
        <v>0</v>
      </c>
      <c r="BB341" s="2">
        <f t="shared" si="887"/>
        <v>0</v>
      </c>
      <c r="BC341" s="2">
        <f t="shared" si="887"/>
        <v>0</v>
      </c>
      <c r="BD341" s="2">
        <f t="shared" si="887"/>
        <v>0</v>
      </c>
      <c r="BE341" s="2">
        <f t="shared" si="887"/>
        <v>0</v>
      </c>
      <c r="BF341" s="2">
        <f t="shared" si="887"/>
        <v>0</v>
      </c>
      <c r="BG341" s="2">
        <f t="shared" si="887"/>
        <v>0</v>
      </c>
      <c r="BI341" s="2">
        <f t="shared" si="888"/>
        <v>0</v>
      </c>
      <c r="BJ341" s="2">
        <f t="shared" si="889"/>
        <v>0</v>
      </c>
      <c r="BK341" s="2">
        <f t="shared" si="889"/>
        <v>0</v>
      </c>
      <c r="BL341" s="2">
        <f t="shared" si="889"/>
        <v>0</v>
      </c>
      <c r="BM341" s="2">
        <f t="shared" si="889"/>
        <v>0</v>
      </c>
      <c r="BN341" s="2">
        <f t="shared" si="889"/>
        <v>0</v>
      </c>
      <c r="BO341" s="2">
        <f t="shared" si="889"/>
        <v>0</v>
      </c>
      <c r="BQ341" s="28" t="s">
        <v>355</v>
      </c>
      <c r="BR341" s="23">
        <v>0</v>
      </c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112" t="str">
        <f t="shared" si="893"/>
        <v>as Labor O&amp;M Exp. (BS344)</v>
      </c>
      <c r="CL341" s="76">
        <f t="shared" si="897"/>
        <v>0</v>
      </c>
      <c r="CM341" s="2"/>
      <c r="CN341" s="2"/>
      <c r="CO341" s="2"/>
      <c r="CP341" s="2"/>
      <c r="CQ341" s="2"/>
      <c r="CR341" s="2"/>
    </row>
    <row r="342" spans="1:96">
      <c r="A342" s="50">
        <f t="shared" si="876"/>
        <v>342</v>
      </c>
      <c r="D342" t="s">
        <v>64</v>
      </c>
      <c r="E342" s="4">
        <f>SUM(E258:E341)</f>
        <v>26723000</v>
      </c>
      <c r="F342" s="62"/>
      <c r="G342" s="62"/>
      <c r="H342" s="4">
        <f>IF(ROUND(SUM(H256:H341),3)&lt;&gt;ROUND(SUM(I342:N342),3),#VALUE!,SUM(H256:H341))</f>
        <v>26723000.330443956</v>
      </c>
      <c r="I342" s="4">
        <f t="shared" ref="I342:N342" si="904">SUM(I256:I341)</f>
        <v>22329848.722626299</v>
      </c>
      <c r="J342" s="4">
        <f t="shared" si="904"/>
        <v>3540203.2072439883</v>
      </c>
      <c r="K342" s="4">
        <f t="shared" si="904"/>
        <v>0</v>
      </c>
      <c r="L342" s="4">
        <f t="shared" si="904"/>
        <v>86075.330620301858</v>
      </c>
      <c r="M342" s="4">
        <f t="shared" si="904"/>
        <v>766873.06995336816</v>
      </c>
      <c r="N342" s="4">
        <f t="shared" si="904"/>
        <v>0</v>
      </c>
      <c r="O342" s="5"/>
      <c r="P342" s="61" t="str">
        <f>$A257&amp;":"&amp;$A341</f>
        <v>257:341</v>
      </c>
      <c r="Q342" s="61"/>
      <c r="R342" s="16">
        <f>SUMPRODUCT($E$259:$E$341,R259:R341)/$E342</f>
        <v>0.10223189520392369</v>
      </c>
      <c r="S342" s="16">
        <f t="shared" ref="S342:AH342" si="905">SUMPRODUCT($E$259:$E$341,S259:S341)/$E342</f>
        <v>1.902374264101862E-2</v>
      </c>
      <c r="T342" s="16">
        <f t="shared" si="905"/>
        <v>6.9032468634263513E-3</v>
      </c>
      <c r="U342" s="16">
        <f t="shared" si="905"/>
        <v>4.6198652086007125E-2</v>
      </c>
      <c r="V342" s="16">
        <f t="shared" si="905"/>
        <v>0</v>
      </c>
      <c r="W342" s="16">
        <f t="shared" si="905"/>
        <v>0.15626453016142694</v>
      </c>
      <c r="X342" s="16">
        <f t="shared" si="905"/>
        <v>0</v>
      </c>
      <c r="Y342" s="16">
        <f t="shared" si="905"/>
        <v>0</v>
      </c>
      <c r="Z342" s="16">
        <f t="shared" si="905"/>
        <v>0</v>
      </c>
      <c r="AA342" s="16">
        <f t="shared" si="905"/>
        <v>0</v>
      </c>
      <c r="AB342" s="16">
        <f t="shared" si="905"/>
        <v>0.3798269583826786</v>
      </c>
      <c r="AC342" s="16">
        <f t="shared" si="905"/>
        <v>0.17554887821303439</v>
      </c>
      <c r="AD342" s="16">
        <f t="shared" si="905"/>
        <v>8.8050409149156891E-2</v>
      </c>
      <c r="AE342" s="16">
        <f t="shared" si="905"/>
        <v>0</v>
      </c>
      <c r="AF342" s="16">
        <f t="shared" si="905"/>
        <v>1.6376507016400794E-3</v>
      </c>
      <c r="AG342" s="16">
        <f t="shared" si="905"/>
        <v>0</v>
      </c>
      <c r="AH342" s="16">
        <f t="shared" si="905"/>
        <v>2.4314036597687386E-2</v>
      </c>
      <c r="AI342" s="76">
        <f t="shared" si="829"/>
        <v>0</v>
      </c>
      <c r="AK342" s="4">
        <f>IF(ROUND(SUM(AK257:AK341),3)&lt;&gt;ROUND(SUM(AL342:AO342),3),#VALUE!,SUM(AK257:AK341))</f>
        <v>26723000</v>
      </c>
      <c r="AL342" s="4">
        <f>SUM(AL257:AL341)</f>
        <v>4659356.4557561036</v>
      </c>
      <c r="AM342" s="4">
        <f>SUM(AM257:AM341)</f>
        <v>4175857.0395038119</v>
      </c>
      <c r="AN342" s="4">
        <f>SUM(AN257:AN341)</f>
        <v>17238042.504740082</v>
      </c>
      <c r="AO342" s="4">
        <f>SUM(AO257:AO341)</f>
        <v>649744</v>
      </c>
      <c r="AP342" s="5"/>
      <c r="AQ342" s="61" t="str">
        <f>$A257&amp;":"&amp;$A341</f>
        <v>257:341</v>
      </c>
      <c r="AS342" s="4">
        <f>IF(ROUND(SUM(AS257:AS341),3)&lt;&gt;ROUND(SUM(AT342:AY342),3),#VALUE!,SUM(AS257:AS341))</f>
        <v>4659356.4557561036</v>
      </c>
      <c r="AT342" s="4">
        <f t="shared" ref="AT342:AY342" si="906">SUM(AT257:AT341)</f>
        <v>2920392.5909418957</v>
      </c>
      <c r="AU342" s="4">
        <f t="shared" si="906"/>
        <v>1301926.3426641747</v>
      </c>
      <c r="AV342" s="4">
        <f t="shared" si="906"/>
        <v>0</v>
      </c>
      <c r="AW342" s="4">
        <f t="shared" si="906"/>
        <v>48023.492714267893</v>
      </c>
      <c r="AX342" s="4">
        <f t="shared" si="906"/>
        <v>389014.02943576546</v>
      </c>
      <c r="AY342" s="4">
        <f t="shared" si="906"/>
        <v>0</v>
      </c>
      <c r="BA342" s="4">
        <f>IF(ROUND(SUM(BA257:BA341),3)&lt;&gt;ROUND(SUM(BB342:BG342),3),#VALUE!,SUM(BA257:BA341))</f>
        <v>4175857.0395038114</v>
      </c>
      <c r="BB342" s="4">
        <f t="shared" ref="BB342:BG342" si="907">SUM(BB257:BB341)</f>
        <v>2360826.9204729111</v>
      </c>
      <c r="BC342" s="4">
        <f t="shared" si="907"/>
        <v>1456988.524116456</v>
      </c>
      <c r="BD342" s="4">
        <f t="shared" si="907"/>
        <v>0</v>
      </c>
      <c r="BE342" s="4">
        <f t="shared" si="907"/>
        <v>31393.257941888463</v>
      </c>
      <c r="BF342" s="4">
        <f t="shared" si="907"/>
        <v>326648.33697255584</v>
      </c>
      <c r="BG342" s="4">
        <f t="shared" si="907"/>
        <v>0</v>
      </c>
      <c r="BI342" s="4">
        <f>IF(ROUND(SUM(BI257:BI341),3)&lt;&gt;ROUND(SUM(BJ342:BO342),3),#VALUE!,SUM(BI257:BI341))</f>
        <v>17238042.504740085</v>
      </c>
      <c r="BJ342" s="4">
        <f t="shared" ref="BJ342:BO342" si="908">SUM(BJ257:BJ341)</f>
        <v>16545132.942323089</v>
      </c>
      <c r="BK342" s="4">
        <f t="shared" si="908"/>
        <v>657714.42384540685</v>
      </c>
      <c r="BL342" s="4">
        <f t="shared" si="908"/>
        <v>0</v>
      </c>
      <c r="BM342" s="4">
        <f t="shared" si="908"/>
        <v>3343.5389724162064</v>
      </c>
      <c r="BN342" s="4">
        <f t="shared" si="908"/>
        <v>31851.599599174162</v>
      </c>
      <c r="BO342" s="4">
        <f t="shared" si="908"/>
        <v>0</v>
      </c>
      <c r="BQ342" t="s">
        <v>64</v>
      </c>
      <c r="BR342" s="48">
        <f>SUM(BR258:BR341)</f>
        <v>6026085.2211984694</v>
      </c>
      <c r="BS342" s="16">
        <f>SUMPRODUCT($BR$259:$BR$341,BS$259:BS$341)/SUM($BR$259:$BR$341)</f>
        <v>0.10230008954245037</v>
      </c>
      <c r="BT342" s="16">
        <f t="shared" ref="BT342:CI342" si="909">SUMPRODUCT($BR$259:$BR$341,BT$259:BT$341)/SUM($BR$259:$BR$341)</f>
        <v>1.4691129365274407E-2</v>
      </c>
      <c r="BU342" s="16">
        <f t="shared" si="909"/>
        <v>8.6190766960099665E-3</v>
      </c>
      <c r="BV342" s="16">
        <f t="shared" si="909"/>
        <v>5.7681513273297444E-2</v>
      </c>
      <c r="BW342" s="16">
        <f t="shared" si="909"/>
        <v>0</v>
      </c>
      <c r="BX342" s="16">
        <f t="shared" si="909"/>
        <v>0.15820976848883872</v>
      </c>
      <c r="BY342" s="16">
        <f t="shared" si="909"/>
        <v>0</v>
      </c>
      <c r="BZ342" s="16">
        <f t="shared" si="909"/>
        <v>0</v>
      </c>
      <c r="CA342" s="16">
        <f t="shared" si="909"/>
        <v>0</v>
      </c>
      <c r="CB342" s="16">
        <f t="shared" si="909"/>
        <v>0</v>
      </c>
      <c r="CC342" s="16">
        <f t="shared" si="909"/>
        <v>0.39882036239995555</v>
      </c>
      <c r="CD342" s="16">
        <f t="shared" si="909"/>
        <v>0.17698312981868838</v>
      </c>
      <c r="CE342" s="16">
        <f t="shared" si="909"/>
        <v>8.1076305659952386E-2</v>
      </c>
      <c r="CF342" s="16">
        <f t="shared" si="909"/>
        <v>0</v>
      </c>
      <c r="CG342" s="16">
        <f t="shared" si="909"/>
        <v>1.6186247555328051E-3</v>
      </c>
      <c r="CH342" s="16">
        <f t="shared" si="909"/>
        <v>0</v>
      </c>
      <c r="CI342" s="16">
        <f t="shared" si="909"/>
        <v>-1.3483934167305112E-18</v>
      </c>
      <c r="CJ342" s="42"/>
      <c r="CK342" s="42"/>
      <c r="CL342" s="76">
        <f t="shared" si="897"/>
        <v>0</v>
      </c>
      <c r="CM342" s="4">
        <f t="shared" ref="CM342:CR342" si="910">SUM(CM256:CM341)</f>
        <v>5052891.0706959339</v>
      </c>
      <c r="CN342" s="4">
        <f t="shared" si="910"/>
        <v>783917.53684907546</v>
      </c>
      <c r="CO342" s="4">
        <f t="shared" si="910"/>
        <v>0</v>
      </c>
      <c r="CP342" s="4">
        <f t="shared" si="910"/>
        <v>18947.27522960498</v>
      </c>
      <c r="CQ342" s="4">
        <f t="shared" si="910"/>
        <v>170330.17309690308</v>
      </c>
      <c r="CR342" s="4">
        <f t="shared" si="910"/>
        <v>0</v>
      </c>
    </row>
    <row r="343" spans="1:96">
      <c r="A343" s="50">
        <f t="shared" si="876"/>
        <v>343</v>
      </c>
      <c r="E343" s="2"/>
      <c r="F343" s="60"/>
      <c r="G343" s="60"/>
      <c r="P343" s="61"/>
      <c r="Q343" s="61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76">
        <f t="shared" si="829"/>
        <v>0</v>
      </c>
      <c r="AQ343" s="61"/>
      <c r="CL343" s="76">
        <f t="shared" si="897"/>
        <v>0</v>
      </c>
    </row>
    <row r="344" spans="1:96">
      <c r="A344" s="50">
        <f t="shared" si="876"/>
        <v>344</v>
      </c>
      <c r="D344" t="s">
        <v>65</v>
      </c>
      <c r="E344" s="2">
        <f>E253+E342</f>
        <v>49128000</v>
      </c>
      <c r="F344" s="60" t="str">
        <f>"("&amp;A$253&amp;"+"&amp;A$342&amp;")"</f>
        <v>(253+342)</v>
      </c>
      <c r="G344" s="60"/>
      <c r="H344" s="2">
        <f t="shared" ref="H344:N344" si="911">H253+H342</f>
        <v>49128000.330443956</v>
      </c>
      <c r="I344" s="2">
        <f t="shared" si="911"/>
        <v>40732211.84097413</v>
      </c>
      <c r="J344" s="2">
        <f t="shared" si="911"/>
        <v>6815539.4705803096</v>
      </c>
      <c r="K344" s="2">
        <f t="shared" si="911"/>
        <v>0</v>
      </c>
      <c r="L344" s="2">
        <f t="shared" si="911"/>
        <v>168790.97426599142</v>
      </c>
      <c r="M344" s="2">
        <f t="shared" si="911"/>
        <v>1411458.0446235237</v>
      </c>
      <c r="N344" s="2">
        <f t="shared" si="911"/>
        <v>0</v>
      </c>
      <c r="O344" s="2"/>
      <c r="P344" s="61" t="str">
        <f>$A253&amp;"+"&amp;$A342</f>
        <v>253+342</v>
      </c>
      <c r="Q344" s="61"/>
      <c r="R344" s="14">
        <f>($E253*R253+$E342*R342)/$E344</f>
        <v>0.10237580134391137</v>
      </c>
      <c r="S344" s="14">
        <f t="shared" ref="S344:AH344" si="912">($E253*S253+$E342*S342)/$E344</f>
        <v>2.4282129836263246E-2</v>
      </c>
      <c r="T344" s="14">
        <f t="shared" si="912"/>
        <v>9.8384926300957177E-3</v>
      </c>
      <c r="U344" s="14">
        <f>($E253*U253+$E342*U342)/$E344</f>
        <v>6.5842219909102107E-2</v>
      </c>
      <c r="V344" s="14">
        <f>($E253*V253+$E342*V342)/$E344</f>
        <v>1.8115942028985507E-3</v>
      </c>
      <c r="W344" s="14">
        <f t="shared" si="912"/>
        <v>0.15426798737446565</v>
      </c>
      <c r="X344" s="14">
        <f t="shared" si="912"/>
        <v>0</v>
      </c>
      <c r="Y344" s="14">
        <f>($E253*Y253+$E342*Y342)/$E344</f>
        <v>0</v>
      </c>
      <c r="Z344" s="14">
        <f t="shared" si="912"/>
        <v>0</v>
      </c>
      <c r="AA344" s="14">
        <f t="shared" si="912"/>
        <v>0</v>
      </c>
      <c r="AB344" s="14">
        <f t="shared" si="912"/>
        <v>0.35338094367932621</v>
      </c>
      <c r="AC344" s="14">
        <f t="shared" si="912"/>
        <v>0.17794768818660453</v>
      </c>
      <c r="AD344" s="14">
        <f t="shared" si="912"/>
        <v>8.8036087989427081E-2</v>
      </c>
      <c r="AE344" s="14">
        <f t="shared" si="912"/>
        <v>0</v>
      </c>
      <c r="AF344" s="14">
        <f t="shared" si="912"/>
        <v>1.4805298519765826E-3</v>
      </c>
      <c r="AG344" s="14">
        <f>($E253*AG253+$E342*AG342)/$E344</f>
        <v>0</v>
      </c>
      <c r="AH344" s="14">
        <f t="shared" si="912"/>
        <v>2.0736524995929002E-2</v>
      </c>
      <c r="AI344" s="76">
        <f t="shared" si="829"/>
        <v>0</v>
      </c>
      <c r="AK344" s="2">
        <f>AK253+AK342</f>
        <v>49128000</v>
      </c>
      <c r="AL344" s="2">
        <f>AL253+AL342</f>
        <v>10029492.888645329</v>
      </c>
      <c r="AM344" s="2">
        <f>AM253+AM342</f>
        <v>7578877.6837327471</v>
      </c>
      <c r="AN344" s="2">
        <f>AN253+AN342</f>
        <v>30500885.427621923</v>
      </c>
      <c r="AO344" s="2">
        <f>AO253+AO342</f>
        <v>1018744</v>
      </c>
      <c r="AP344" s="2"/>
      <c r="AQ344" s="61" t="str">
        <f>$A253&amp;"+"&amp;$A342</f>
        <v>253+342</v>
      </c>
      <c r="AS344" s="2">
        <f t="shared" ref="AS344:AY344" si="913">AS253+AS342</f>
        <v>10029492.88864533</v>
      </c>
      <c r="AT344" s="2">
        <f t="shared" si="913"/>
        <v>6400042.5351452101</v>
      </c>
      <c r="AU344" s="2">
        <f t="shared" si="913"/>
        <v>2798836.1132963463</v>
      </c>
      <c r="AV344" s="2">
        <f t="shared" si="913"/>
        <v>0</v>
      </c>
      <c r="AW344" s="2">
        <f t="shared" si="913"/>
        <v>100554.70224978276</v>
      </c>
      <c r="AX344" s="2">
        <f t="shared" si="913"/>
        <v>730059.53795399028</v>
      </c>
      <c r="AY344" s="2">
        <f t="shared" si="913"/>
        <v>0</v>
      </c>
      <c r="BA344" s="2">
        <f t="shared" ref="BA344:BG344" si="914">BA253+BA342</f>
        <v>7578877.6837327462</v>
      </c>
      <c r="BB344" s="2">
        <f t="shared" si="914"/>
        <v>4284729.6479416071</v>
      </c>
      <c r="BC344" s="2">
        <f t="shared" si="914"/>
        <v>2644328.5070393607</v>
      </c>
      <c r="BD344" s="2">
        <f t="shared" si="914"/>
        <v>0</v>
      </c>
      <c r="BE344" s="2">
        <f t="shared" si="914"/>
        <v>56976.48645168067</v>
      </c>
      <c r="BF344" s="2">
        <f t="shared" si="914"/>
        <v>592843.04230009741</v>
      </c>
      <c r="BG344" s="2">
        <f t="shared" si="914"/>
        <v>0</v>
      </c>
      <c r="BI344" s="2">
        <f t="shared" ref="BI344:BO344" si="915">BI253+BI342</f>
        <v>30500885.427621923</v>
      </c>
      <c r="BJ344" s="2">
        <f t="shared" si="915"/>
        <v>29258000.000085741</v>
      </c>
      <c r="BK344" s="2">
        <f t="shared" si="915"/>
        <v>1178621.3317649588</v>
      </c>
      <c r="BL344" s="2">
        <f t="shared" si="915"/>
        <v>0</v>
      </c>
      <c r="BM344" s="2">
        <f t="shared" si="915"/>
        <v>6062.0798218381788</v>
      </c>
      <c r="BN344" s="2">
        <f t="shared" si="915"/>
        <v>58202.015949390436</v>
      </c>
      <c r="BO344" s="2">
        <f t="shared" si="915"/>
        <v>0</v>
      </c>
      <c r="BQ344" t="s">
        <v>65</v>
      </c>
      <c r="BR344" s="21">
        <f>BR253+BR342</f>
        <v>17686450.593506299</v>
      </c>
      <c r="BS344" s="14">
        <f>($BR253*BS253+$BR342*BS342)/$BR344</f>
        <v>0.10913184265939331</v>
      </c>
      <c r="BT344" s="14">
        <f t="shared" ref="BT344:CI344" si="916">($BR253*BT253+$BR342*BT342)/$BR344</f>
        <v>3.3021876247189427E-2</v>
      </c>
      <c r="BU344" s="14">
        <f t="shared" si="916"/>
        <v>2.9366713079939091E-3</v>
      </c>
      <c r="BV344" s="14">
        <f t="shared" si="916"/>
        <v>1.9653107984266921E-2</v>
      </c>
      <c r="BW344" s="14">
        <f t="shared" si="916"/>
        <v>0</v>
      </c>
      <c r="BX344" s="14">
        <f t="shared" si="916"/>
        <v>0.16142462055819431</v>
      </c>
      <c r="BY344" s="14">
        <f t="shared" si="916"/>
        <v>0</v>
      </c>
      <c r="BZ344" s="14">
        <f t="shared" si="916"/>
        <v>0</v>
      </c>
      <c r="CA344" s="14">
        <f t="shared" si="916"/>
        <v>0</v>
      </c>
      <c r="CB344" s="14">
        <f t="shared" si="916"/>
        <v>0</v>
      </c>
      <c r="CC344" s="14">
        <f t="shared" si="916"/>
        <v>0.37507244202834572</v>
      </c>
      <c r="CD344" s="14">
        <f t="shared" si="916"/>
        <v>0.18309838925091035</v>
      </c>
      <c r="CE344" s="14">
        <f t="shared" si="916"/>
        <v>0.11390268710509913</v>
      </c>
      <c r="CF344" s="14">
        <f t="shared" si="916"/>
        <v>0</v>
      </c>
      <c r="CG344" s="14">
        <f t="shared" si="916"/>
        <v>1.7583628586068862E-3</v>
      </c>
      <c r="CH344" s="14">
        <f t="shared" si="916"/>
        <v>0</v>
      </c>
      <c r="CI344" s="14">
        <f t="shared" si="916"/>
        <v>-4.5942138576433119E-19</v>
      </c>
      <c r="CJ344" s="14"/>
      <c r="CK344" s="14"/>
      <c r="CL344" s="76">
        <f t="shared" si="897"/>
        <v>0</v>
      </c>
      <c r="CM344" s="2">
        <f t="shared" ref="CM344:CR344" si="917">CM253+CM342</f>
        <v>14785483.774468318</v>
      </c>
      <c r="CN344" s="2">
        <f t="shared" si="917"/>
        <v>2329398.5891409004</v>
      </c>
      <c r="CO344" s="2">
        <f t="shared" si="917"/>
        <v>0</v>
      </c>
      <c r="CP344" s="2">
        <f t="shared" si="917"/>
        <v>56687.647172789962</v>
      </c>
      <c r="CQ344" s="2">
        <f t="shared" si="917"/>
        <v>514881.41739733896</v>
      </c>
      <c r="CR344" s="2">
        <f t="shared" si="917"/>
        <v>0</v>
      </c>
    </row>
    <row r="345" spans="1:96" ht="13.5" thickBot="1">
      <c r="A345" s="50">
        <f t="shared" si="876"/>
        <v>345</v>
      </c>
      <c r="E345" s="2">
        <f>E344/1000-PROFORMA!AY142</f>
        <v>0</v>
      </c>
      <c r="F345" s="60"/>
      <c r="G345" s="60"/>
      <c r="H345" s="33"/>
      <c r="I345" s="33"/>
      <c r="P345" s="61"/>
      <c r="Q345" s="61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76">
        <f t="shared" si="829"/>
        <v>0</v>
      </c>
      <c r="AQ345" s="61"/>
      <c r="BR345" s="687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</row>
    <row r="346" spans="1:96">
      <c r="A346" s="50">
        <f t="shared" si="876"/>
        <v>346</v>
      </c>
      <c r="C346" s="34"/>
      <c r="D346" s="1" t="s">
        <v>66</v>
      </c>
      <c r="E346" s="2"/>
      <c r="F346" s="60"/>
      <c r="G346" s="60"/>
      <c r="P346" s="61"/>
      <c r="Q346" s="61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76">
        <f t="shared" si="829"/>
        <v>0</v>
      </c>
      <c r="AQ346" s="61"/>
      <c r="CK346" s="487" t="s">
        <v>1008</v>
      </c>
      <c r="CL346" s="488">
        <f>SUM(CM346:CR346)</f>
        <v>6026085.2211984694</v>
      </c>
      <c r="CM346" s="488">
        <f t="shared" ref="CM346:CR346" si="918">$BR342*SUMPRODUCT($R342:$AH342,INDEX(AllocFactors,CM$172,0))</f>
        <v>5035421.5240703672</v>
      </c>
      <c r="CN346" s="488">
        <f t="shared" si="918"/>
        <v>798322.27770880633</v>
      </c>
      <c r="CO346" s="488">
        <f t="shared" si="918"/>
        <v>0</v>
      </c>
      <c r="CP346" s="488">
        <f t="shared" si="918"/>
        <v>19410.143986856754</v>
      </c>
      <c r="CQ346" s="488">
        <f t="shared" si="918"/>
        <v>172931.27543243996</v>
      </c>
      <c r="CR346" s="489">
        <f t="shared" si="918"/>
        <v>0</v>
      </c>
    </row>
    <row r="347" spans="1:96">
      <c r="A347" s="50">
        <f t="shared" si="876"/>
        <v>347</v>
      </c>
      <c r="C347" s="36" t="s">
        <v>394</v>
      </c>
      <c r="D347" s="28" t="s">
        <v>356</v>
      </c>
      <c r="E347" s="369">
        <f>PROFORMA!AY147*1000</f>
        <v>250000</v>
      </c>
      <c r="F347" s="60" t="str">
        <f>"as UG Storage Plant ("&amp;A$24&amp;")"</f>
        <v>as UG Storage Plant (24)</v>
      </c>
      <c r="G347" s="60"/>
      <c r="H347" s="2">
        <f>SUM(I347:N347)</f>
        <v>250000</v>
      </c>
      <c r="I347" s="2">
        <f t="shared" ref="I347:N349" si="919">$E347*SUMPRODUCT($R347:$AH347,INDEX(AllocFactors,I$4,0))</f>
        <v>178485.51104214677</v>
      </c>
      <c r="J347" s="2">
        <f t="shared" si="919"/>
        <v>66562.666927044469</v>
      </c>
      <c r="K347" s="2">
        <f t="shared" si="919"/>
        <v>0</v>
      </c>
      <c r="L347" s="2">
        <f t="shared" si="919"/>
        <v>1812.4999718721426</v>
      </c>
      <c r="M347" s="2">
        <f t="shared" si="919"/>
        <v>3139.3220589366265</v>
      </c>
      <c r="N347" s="2">
        <f t="shared" si="919"/>
        <v>0</v>
      </c>
      <c r="O347" s="2"/>
      <c r="P347" s="61" t="str">
        <f>E$1&amp;$A347&amp;"* Sum["&amp;$R$1&amp;$A347&amp;":"&amp;$AH$1&amp;$A347&amp;"* "&amp;Factors!D$1&amp;Factors!$A$58&amp;":"&amp;Factors!S$1&amp;Factors!$A$64&amp;"]"</f>
        <v>E347* Sum[R347:AH347* D1042:S1048]</v>
      </c>
      <c r="Q347" s="61"/>
      <c r="R347" s="14">
        <f t="shared" ref="R347:AH347" si="920">R$24</f>
        <v>0</v>
      </c>
      <c r="S347" s="14">
        <f t="shared" si="920"/>
        <v>0</v>
      </c>
      <c r="T347" s="14">
        <f t="shared" si="920"/>
        <v>0.13</v>
      </c>
      <c r="U347" s="14">
        <f t="shared" si="920"/>
        <v>0.87</v>
      </c>
      <c r="V347" s="14">
        <f t="shared" si="920"/>
        <v>0</v>
      </c>
      <c r="W347" s="14">
        <f t="shared" si="920"/>
        <v>0</v>
      </c>
      <c r="X347" s="14">
        <f t="shared" si="920"/>
        <v>0</v>
      </c>
      <c r="Y347" s="14">
        <f t="shared" si="920"/>
        <v>0</v>
      </c>
      <c r="Z347" s="14">
        <f t="shared" si="920"/>
        <v>0</v>
      </c>
      <c r="AA347" s="14">
        <f t="shared" si="920"/>
        <v>0</v>
      </c>
      <c r="AB347" s="14">
        <f t="shared" si="920"/>
        <v>0</v>
      </c>
      <c r="AC347" s="14">
        <f t="shared" si="920"/>
        <v>0</v>
      </c>
      <c r="AD347" s="14">
        <f t="shared" si="920"/>
        <v>0</v>
      </c>
      <c r="AE347" s="14">
        <f t="shared" si="920"/>
        <v>0</v>
      </c>
      <c r="AF347" s="14">
        <f t="shared" si="920"/>
        <v>0</v>
      </c>
      <c r="AG347" s="14">
        <f t="shared" si="920"/>
        <v>0</v>
      </c>
      <c r="AH347" s="14">
        <f t="shared" si="920"/>
        <v>0</v>
      </c>
      <c r="AI347" s="76">
        <f t="shared" si="829"/>
        <v>0</v>
      </c>
      <c r="AK347" s="2">
        <f>SUM(AL347:AO347)</f>
        <v>250000</v>
      </c>
      <c r="AL347" s="2">
        <f t="shared" ref="AL347:AO349" si="921">SUMIF($R$4:$AH$4,AL$5,$R347:$AH347)*$E347</f>
        <v>250000</v>
      </c>
      <c r="AM347" s="2">
        <f t="shared" si="921"/>
        <v>0</v>
      </c>
      <c r="AN347" s="2">
        <f t="shared" si="921"/>
        <v>0</v>
      </c>
      <c r="AO347" s="2">
        <f t="shared" si="921"/>
        <v>0</v>
      </c>
      <c r="AP347" s="2"/>
      <c r="AQ347" s="61" t="str">
        <f>E$1&amp;$A347&amp;"*["&amp;R$1&amp;$A347&amp;":"&amp;$AH$1&amp;$A347&amp;" when "&amp;R$1&amp;$A$4&amp;":"&amp;$AH$1&amp;$A$4&amp;" = E,D,C,or R]"</f>
        <v>E347*[R347:AH347 when R4:AH4 = E,D,C,or R]</v>
      </c>
      <c r="AS347" s="2">
        <f>SUM(AT347:AY347)</f>
        <v>250000</v>
      </c>
      <c r="AT347" s="2">
        <f t="shared" ref="AT347:AY349" si="922">$E347*SUMPRODUCT($R347:$V347,INDEX(AllocFactors_E,AT$4,0))</f>
        <v>178485.51104214677</v>
      </c>
      <c r="AU347" s="2">
        <f t="shared" si="922"/>
        <v>66562.666927044469</v>
      </c>
      <c r="AV347" s="2">
        <f t="shared" si="922"/>
        <v>0</v>
      </c>
      <c r="AW347" s="2">
        <f t="shared" si="922"/>
        <v>1812.4999718721426</v>
      </c>
      <c r="AX347" s="2">
        <f t="shared" si="922"/>
        <v>3139.3220589366265</v>
      </c>
      <c r="AY347" s="2">
        <f t="shared" si="922"/>
        <v>0</v>
      </c>
      <c r="BA347" s="2">
        <f>SUM(BB347:BG347)</f>
        <v>0</v>
      </c>
      <c r="BB347" s="2">
        <f t="shared" ref="BB347:BG349" si="923">$E347*SUMPRODUCT($W347:$AA347,INDEX(AllocFactors_D,BB$4,0))</f>
        <v>0</v>
      </c>
      <c r="BC347" s="2">
        <f t="shared" si="923"/>
        <v>0</v>
      </c>
      <c r="BD347" s="2">
        <f t="shared" si="923"/>
        <v>0</v>
      </c>
      <c r="BE347" s="2">
        <f t="shared" si="923"/>
        <v>0</v>
      </c>
      <c r="BF347" s="2">
        <f t="shared" si="923"/>
        <v>0</v>
      </c>
      <c r="BG347" s="2">
        <f t="shared" si="923"/>
        <v>0</v>
      </c>
      <c r="BI347" s="2">
        <f>SUM(BJ347:BO347)</f>
        <v>0</v>
      </c>
      <c r="BJ347" s="2">
        <f t="shared" ref="BJ347:BO349" si="924">$E347*SUMPRODUCT($AB347:$AG347,INDEX(AllocFactors_C,BJ$4,0))</f>
        <v>0</v>
      </c>
      <c r="BK347" s="2">
        <f t="shared" si="924"/>
        <v>0</v>
      </c>
      <c r="BL347" s="2">
        <f t="shared" si="924"/>
        <v>0</v>
      </c>
      <c r="BM347" s="2">
        <f t="shared" si="924"/>
        <v>0</v>
      </c>
      <c r="BN347" s="2">
        <f t="shared" si="924"/>
        <v>0</v>
      </c>
      <c r="BO347" s="2">
        <f t="shared" si="924"/>
        <v>0</v>
      </c>
      <c r="CK347" s="490" t="s">
        <v>741</v>
      </c>
      <c r="CL347" s="491">
        <f>SUM(CM347:CR347)</f>
        <v>11660365.372307828</v>
      </c>
      <c r="CM347" s="491">
        <f t="shared" ref="CM347:CR347" si="925">$BR253*SUMPRODUCT($R254:$AH254,INDEX(AllocFactors,CM$172,0))</f>
        <v>9591500.7772212308</v>
      </c>
      <c r="CN347" s="491">
        <f t="shared" si="925"/>
        <v>1689690.8995555639</v>
      </c>
      <c r="CO347" s="491">
        <f t="shared" si="925"/>
        <v>0</v>
      </c>
      <c r="CP347" s="491">
        <f t="shared" si="925"/>
        <v>42549.1798999249</v>
      </c>
      <c r="CQ347" s="491">
        <f t="shared" si="925"/>
        <v>336624.51563110808</v>
      </c>
      <c r="CR347" s="492">
        <f t="shared" si="925"/>
        <v>0</v>
      </c>
    </row>
    <row r="348" spans="1:96">
      <c r="A348" s="50">
        <f t="shared" si="876"/>
        <v>348</v>
      </c>
      <c r="C348" s="36" t="s">
        <v>154</v>
      </c>
      <c r="D348" s="28" t="s">
        <v>118</v>
      </c>
      <c r="E348" s="369">
        <f>PROFORMA!AY148*1000</f>
        <v>9592000</v>
      </c>
      <c r="F348" s="60" t="str">
        <f>"as Distrib Plant ("&amp;A$41&amp;")"</f>
        <v>as Distrib Plant (41)</v>
      </c>
      <c r="G348" s="60"/>
      <c r="H348" s="2">
        <f>SUM(I348:N348)</f>
        <v>9592000.0000000019</v>
      </c>
      <c r="I348" s="2">
        <f t="shared" si="919"/>
        <v>7200044.715061293</v>
      </c>
      <c r="J348" s="2">
        <f t="shared" si="919"/>
        <v>1841572.3158368077</v>
      </c>
      <c r="K348" s="2">
        <f t="shared" si="919"/>
        <v>0</v>
      </c>
      <c r="L348" s="2">
        <f t="shared" si="919"/>
        <v>45457.216209341226</v>
      </c>
      <c r="M348" s="2">
        <f t="shared" si="919"/>
        <v>504925.75289255893</v>
      </c>
      <c r="N348" s="2">
        <f t="shared" si="919"/>
        <v>0</v>
      </c>
      <c r="O348" s="2"/>
      <c r="P348" s="61" t="str">
        <f>E$1&amp;$A348&amp;"*     """</f>
        <v>E348*     "</v>
      </c>
      <c r="Q348" s="61"/>
      <c r="R348" s="14">
        <f>R$41</f>
        <v>0.1933876764871075</v>
      </c>
      <c r="S348" s="14">
        <f>S$41</f>
        <v>0</v>
      </c>
      <c r="T348" s="14">
        <f t="shared" ref="T348:AH348" si="926">T$41</f>
        <v>0</v>
      </c>
      <c r="U348" s="14">
        <f t="shared" si="926"/>
        <v>0</v>
      </c>
      <c r="V348" s="14">
        <f t="shared" si="926"/>
        <v>0</v>
      </c>
      <c r="W348" s="14">
        <f t="shared" si="926"/>
        <v>0.31084546333511004</v>
      </c>
      <c r="X348" s="14">
        <f t="shared" si="926"/>
        <v>0</v>
      </c>
      <c r="Y348" s="14">
        <f t="shared" si="926"/>
        <v>0</v>
      </c>
      <c r="Z348" s="14">
        <f>Z$41</f>
        <v>0</v>
      </c>
      <c r="AA348" s="14">
        <f t="shared" si="926"/>
        <v>0</v>
      </c>
      <c r="AB348" s="14">
        <f>AB$41</f>
        <v>0</v>
      </c>
      <c r="AC348" s="14">
        <f t="shared" si="926"/>
        <v>0.35888972828992466</v>
      </c>
      <c r="AD348" s="14">
        <f t="shared" si="926"/>
        <v>0.13220566312906262</v>
      </c>
      <c r="AE348" s="14">
        <f>AE$41</f>
        <v>0</v>
      </c>
      <c r="AF348" s="14">
        <f t="shared" si="926"/>
        <v>4.6714687587951949E-3</v>
      </c>
      <c r="AG348" s="14">
        <f t="shared" si="926"/>
        <v>0</v>
      </c>
      <c r="AH348" s="14">
        <f t="shared" si="926"/>
        <v>0</v>
      </c>
      <c r="AI348" s="76">
        <f t="shared" si="829"/>
        <v>0</v>
      </c>
      <c r="AK348" s="2">
        <f>SUM(AL348:AO348)</f>
        <v>9592000</v>
      </c>
      <c r="AL348" s="2">
        <f t="shared" si="921"/>
        <v>1854974.592864335</v>
      </c>
      <c r="AM348" s="2">
        <f t="shared" si="921"/>
        <v>2981629.6843103757</v>
      </c>
      <c r="AN348" s="2">
        <f t="shared" si="921"/>
        <v>4755395.7228252897</v>
      </c>
      <c r="AO348" s="2">
        <f t="shared" si="921"/>
        <v>0</v>
      </c>
      <c r="AP348" s="2"/>
      <c r="AQ348" s="61" t="str">
        <f>E$1&amp;$A348&amp;"*      """</f>
        <v>E348*      "</v>
      </c>
      <c r="AS348" s="2">
        <f>SUM(AT348:AY348)</f>
        <v>1854974.5928643353</v>
      </c>
      <c r="AT348" s="2">
        <f t="shared" si="922"/>
        <v>1065568.8855334008</v>
      </c>
      <c r="AU348" s="2">
        <f t="shared" si="922"/>
        <v>516284.25207412266</v>
      </c>
      <c r="AV348" s="2">
        <f t="shared" si="922"/>
        <v>0</v>
      </c>
      <c r="AW348" s="2">
        <f t="shared" si="922"/>
        <v>21082.239473896145</v>
      </c>
      <c r="AX348" s="2">
        <f t="shared" si="922"/>
        <v>252039.21578291574</v>
      </c>
      <c r="AY348" s="2">
        <f t="shared" si="922"/>
        <v>0</v>
      </c>
      <c r="BA348" s="2">
        <f>SUM(BB348:BG348)</f>
        <v>2981629.6843103748</v>
      </c>
      <c r="BB348" s="2">
        <f t="shared" si="923"/>
        <v>1685668.7283618047</v>
      </c>
      <c r="BC348" s="2">
        <f t="shared" si="923"/>
        <v>1040313.4475411497</v>
      </c>
      <c r="BD348" s="2">
        <f t="shared" si="923"/>
        <v>0</v>
      </c>
      <c r="BE348" s="2">
        <f t="shared" si="923"/>
        <v>22415.295562385749</v>
      </c>
      <c r="BF348" s="2">
        <f t="shared" si="923"/>
        <v>233232.21284503496</v>
      </c>
      <c r="BG348" s="2">
        <f t="shared" si="923"/>
        <v>0</v>
      </c>
      <c r="BI348" s="2">
        <f>SUM(BJ348:BO348)</f>
        <v>4755395.7228252888</v>
      </c>
      <c r="BJ348" s="2">
        <f t="shared" si="924"/>
        <v>4448807.1011660863</v>
      </c>
      <c r="BK348" s="2">
        <f t="shared" si="924"/>
        <v>284974.61622153531</v>
      </c>
      <c r="BL348" s="2">
        <f t="shared" si="924"/>
        <v>0</v>
      </c>
      <c r="BM348" s="2">
        <f t="shared" si="924"/>
        <v>1959.6811730593367</v>
      </c>
      <c r="BN348" s="2">
        <f t="shared" si="924"/>
        <v>19654.324264608324</v>
      </c>
      <c r="BO348" s="2">
        <f t="shared" si="924"/>
        <v>0</v>
      </c>
      <c r="BQ348" s="28"/>
      <c r="CK348" s="490" t="s">
        <v>120</v>
      </c>
      <c r="CL348" s="78">
        <f>SUM(CL346:CL347)</f>
        <v>17686450.593506299</v>
      </c>
      <c r="CM348" s="78">
        <f t="shared" ref="CM348:CR348" si="927">SUM(CM346:CM347)</f>
        <v>14626922.301291598</v>
      </c>
      <c r="CN348" s="78">
        <f t="shared" si="927"/>
        <v>2488013.17726437</v>
      </c>
      <c r="CO348" s="78">
        <f t="shared" si="927"/>
        <v>0</v>
      </c>
      <c r="CP348" s="78">
        <f t="shared" si="927"/>
        <v>61959.323886781654</v>
      </c>
      <c r="CQ348" s="78">
        <f t="shared" si="927"/>
        <v>509555.79106354807</v>
      </c>
      <c r="CR348" s="493">
        <f t="shared" si="927"/>
        <v>0</v>
      </c>
    </row>
    <row r="349" spans="1:96" s="49" customFormat="1" ht="13.5" thickBot="1">
      <c r="A349" s="130">
        <f t="shared" si="876"/>
        <v>349</v>
      </c>
      <c r="C349" s="443" t="s">
        <v>151</v>
      </c>
      <c r="D349" s="56" t="s">
        <v>160</v>
      </c>
      <c r="E349" s="373">
        <f>PROFORMA!AY149*1000</f>
        <v>1132000</v>
      </c>
      <c r="F349" s="119" t="str">
        <f>"as Intang/Genl Plant ("&amp;A$13&amp;"+"&amp;A$56&amp;")"</f>
        <v>as Intang/Genl Plant (13+56)</v>
      </c>
      <c r="G349" s="119"/>
      <c r="H349" s="21">
        <f>SUM(I349:N349)</f>
        <v>1132000.0000000002</v>
      </c>
      <c r="I349" s="21">
        <f t="shared" si="919"/>
        <v>951623.89354880387</v>
      </c>
      <c r="J349" s="21">
        <f t="shared" si="919"/>
        <v>145445.80463490394</v>
      </c>
      <c r="K349" s="21">
        <f t="shared" si="919"/>
        <v>0</v>
      </c>
      <c r="L349" s="21">
        <f t="shared" si="919"/>
        <v>3511.3574688111667</v>
      </c>
      <c r="M349" s="21">
        <f t="shared" si="919"/>
        <v>31418.944347481192</v>
      </c>
      <c r="N349" s="21">
        <f t="shared" si="919"/>
        <v>0</v>
      </c>
      <c r="O349" s="21"/>
      <c r="P349" s="133" t="str">
        <f>E$1&amp;$A349&amp;"*     """</f>
        <v>E349*     "</v>
      </c>
      <c r="Q349" s="133"/>
      <c r="R349" s="444">
        <f>($E$13*R$13+$E$56*R$56)/($E$13+$E$56)</f>
        <v>0.10046914977148469</v>
      </c>
      <c r="S349" s="444">
        <f t="shared" ref="S349:AH349" si="928">($E$13*S$13+$E$56*S$56)/($E$13+$E$56)</f>
        <v>1.5040625254163331E-2</v>
      </c>
      <c r="T349" s="444">
        <f t="shared" si="928"/>
        <v>8.5982559498961886E-3</v>
      </c>
      <c r="U349" s="444">
        <f t="shared" si="928"/>
        <v>5.754217443392063E-2</v>
      </c>
      <c r="V349" s="444">
        <f t="shared" si="928"/>
        <v>0</v>
      </c>
      <c r="W349" s="444">
        <f t="shared" si="928"/>
        <v>0.15511869857995805</v>
      </c>
      <c r="X349" s="444">
        <f t="shared" si="928"/>
        <v>0</v>
      </c>
      <c r="Y349" s="444">
        <f t="shared" si="928"/>
        <v>0</v>
      </c>
      <c r="Z349" s="444">
        <f t="shared" si="928"/>
        <v>0</v>
      </c>
      <c r="AA349" s="444">
        <f t="shared" si="928"/>
        <v>0</v>
      </c>
      <c r="AB349" s="444">
        <f t="shared" si="928"/>
        <v>0.40830813380257108</v>
      </c>
      <c r="AC349" s="444">
        <f t="shared" si="928"/>
        <v>0.17327919044389153</v>
      </c>
      <c r="AD349" s="444">
        <f t="shared" si="928"/>
        <v>8.0089656586109045E-2</v>
      </c>
      <c r="AE349" s="444">
        <f t="shared" si="928"/>
        <v>0</v>
      </c>
      <c r="AF349" s="444">
        <f t="shared" si="928"/>
        <v>1.5541151780054114E-3</v>
      </c>
      <c r="AG349" s="444">
        <f t="shared" si="928"/>
        <v>0</v>
      </c>
      <c r="AH349" s="444">
        <f t="shared" si="928"/>
        <v>-1.3625487466994389E-18</v>
      </c>
      <c r="AI349" s="116">
        <f t="shared" si="829"/>
        <v>0</v>
      </c>
      <c r="AK349" s="21">
        <f>SUM(AL349:AO349)</f>
        <v>1132000</v>
      </c>
      <c r="AL349" s="21">
        <f t="shared" si="921"/>
        <v>205628.03252351418</v>
      </c>
      <c r="AM349" s="21">
        <f t="shared" si="921"/>
        <v>175594.3667925125</v>
      </c>
      <c r="AN349" s="21">
        <f t="shared" si="921"/>
        <v>750777.60068397329</v>
      </c>
      <c r="AO349" s="21">
        <f t="shared" si="921"/>
        <v>-1.5424051812637647E-12</v>
      </c>
      <c r="AP349" s="21"/>
      <c r="AQ349" s="133" t="str">
        <f>E$1&amp;$A349&amp;"*      """</f>
        <v>E349*      "</v>
      </c>
      <c r="AS349" s="21">
        <f>SUM(AT349:AY349)</f>
        <v>205628.03252351424</v>
      </c>
      <c r="AT349" s="21">
        <f t="shared" si="922"/>
        <v>130103.2570655904</v>
      </c>
      <c r="AU349" s="21">
        <f t="shared" si="922"/>
        <v>57072.397176397884</v>
      </c>
      <c r="AV349" s="21">
        <f t="shared" si="922"/>
        <v>0</v>
      </c>
      <c r="AW349" s="21">
        <f t="shared" si="922"/>
        <v>2059.3263827052142</v>
      </c>
      <c r="AX349" s="21">
        <f t="shared" si="922"/>
        <v>16393.051898820726</v>
      </c>
      <c r="AY349" s="21">
        <f t="shared" si="922"/>
        <v>0</v>
      </c>
      <c r="BA349" s="21">
        <f>SUM(BB349:BG349)</f>
        <v>175594.36679251248</v>
      </c>
      <c r="BB349" s="21">
        <f t="shared" si="923"/>
        <v>99272.533586642123</v>
      </c>
      <c r="BC349" s="21">
        <f t="shared" si="923"/>
        <v>61266.220298237524</v>
      </c>
      <c r="BD349" s="21">
        <f t="shared" si="923"/>
        <v>0</v>
      </c>
      <c r="BE349" s="21">
        <f t="shared" si="923"/>
        <v>1320.0833260601587</v>
      </c>
      <c r="BF349" s="21">
        <f t="shared" si="923"/>
        <v>13735.529581572695</v>
      </c>
      <c r="BG349" s="21">
        <f t="shared" si="923"/>
        <v>0</v>
      </c>
      <c r="BI349" s="21">
        <f>SUM(BJ349:BO349)</f>
        <v>750777.60068397329</v>
      </c>
      <c r="BJ349" s="21">
        <f t="shared" si="924"/>
        <v>722248.10289657116</v>
      </c>
      <c r="BK349" s="21">
        <f t="shared" si="924"/>
        <v>27107.187160268561</v>
      </c>
      <c r="BL349" s="21">
        <f t="shared" si="924"/>
        <v>0</v>
      </c>
      <c r="BM349" s="21">
        <f t="shared" si="924"/>
        <v>131.94776004579387</v>
      </c>
      <c r="BN349" s="21">
        <f t="shared" si="924"/>
        <v>1290.3628670877752</v>
      </c>
      <c r="BO349" s="21">
        <f t="shared" si="924"/>
        <v>0</v>
      </c>
      <c r="BQ349" s="56"/>
      <c r="CK349" s="445"/>
      <c r="CL349" s="446"/>
      <c r="CM349" s="446"/>
      <c r="CN349" s="446"/>
      <c r="CO349" s="446"/>
      <c r="CP349" s="446"/>
      <c r="CQ349" s="446"/>
      <c r="CR349" s="447"/>
    </row>
    <row r="350" spans="1:96">
      <c r="A350" s="50">
        <f t="shared" si="876"/>
        <v>350</v>
      </c>
      <c r="D350" s="28"/>
      <c r="E350" s="369"/>
      <c r="F350" s="60"/>
      <c r="G350" s="60"/>
      <c r="P350" s="61"/>
      <c r="Q350" s="61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76">
        <f t="shared" si="829"/>
        <v>0</v>
      </c>
      <c r="AQ350" s="61"/>
      <c r="BQ350" s="28"/>
      <c r="CK350" s="49"/>
      <c r="CL350" s="49"/>
      <c r="CM350" s="49"/>
      <c r="CN350" s="49"/>
      <c r="CO350" s="49"/>
      <c r="CP350" s="49"/>
      <c r="CQ350" s="49"/>
      <c r="CR350" s="49"/>
    </row>
    <row r="351" spans="1:96">
      <c r="A351" s="50">
        <f t="shared" si="876"/>
        <v>351</v>
      </c>
      <c r="B351" t="s">
        <v>67</v>
      </c>
      <c r="C351" s="36" t="s">
        <v>155</v>
      </c>
      <c r="D351" s="28" t="s">
        <v>118</v>
      </c>
      <c r="E351" s="369">
        <f>PROFORMA!AY153*1000+PROFORMA!AY156*1000</f>
        <v>-586000</v>
      </c>
      <c r="F351" s="60" t="s">
        <v>451</v>
      </c>
      <c r="G351" s="60"/>
      <c r="H351" s="2">
        <f>SUM(I351:N351)</f>
        <v>-586000.00000000012</v>
      </c>
      <c r="I351" s="2">
        <f t="shared" ref="I351:N351" si="929">$E351*SUMPRODUCT($R351:$AH351,INDEX(AllocFactors,I$4,0))</f>
        <v>-454099.79919544578</v>
      </c>
      <c r="J351" s="2">
        <f t="shared" si="929"/>
        <v>-111450.53303781082</v>
      </c>
      <c r="K351" s="2">
        <f t="shared" si="929"/>
        <v>0</v>
      </c>
      <c r="L351" s="2">
        <f t="shared" si="929"/>
        <v>-2989.8144825552158</v>
      </c>
      <c r="M351" s="2">
        <f t="shared" si="929"/>
        <v>-17459.853284188172</v>
      </c>
      <c r="N351" s="2">
        <f t="shared" si="929"/>
        <v>0</v>
      </c>
      <c r="O351" s="2"/>
      <c r="P351" s="61" t="str">
        <f>E$1&amp;$A351&amp;"*     """</f>
        <v>E351*     "</v>
      </c>
      <c r="Q351" s="61"/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1</v>
      </c>
      <c r="AI351" s="76">
        <f t="shared" si="829"/>
        <v>0</v>
      </c>
      <c r="AK351" s="2">
        <f>SUM(AL351:AO351)</f>
        <v>-586000</v>
      </c>
      <c r="AL351" s="2">
        <f>SUMIF($R$4:$AH$4,AL$5,$R351:$AH351)*$E351</f>
        <v>0</v>
      </c>
      <c r="AM351" s="2">
        <f>SUMIF($R$4:$AH$4,AM$5,$R351:$AH351)*$E351</f>
        <v>0</v>
      </c>
      <c r="AN351" s="2">
        <f>SUMIF($R$4:$AH$4,AN$5,$R351:$AH351)*$E351</f>
        <v>0</v>
      </c>
      <c r="AO351" s="2">
        <f>SUMIF($R$4:$AH$4,AO$5,$R351:$AH351)*$E351</f>
        <v>-586000</v>
      </c>
      <c r="AP351" s="2"/>
      <c r="AQ351" s="61" t="str">
        <f>E$1&amp;$A351&amp;"*["&amp;R$1&amp;$A351&amp;":"&amp;$AH$1&amp;$A351&amp;" when "&amp;R$1&amp;$A$4&amp;":"&amp;$AH$1&amp;$A$4&amp;" = E,D,C,or R]"</f>
        <v>E351*[R351:AH351 when R4:AH4 = E,D,C,or R]</v>
      </c>
      <c r="AS351" s="2">
        <f>SUM(AT351:AY351)</f>
        <v>0</v>
      </c>
      <c r="AT351" s="2">
        <f t="shared" ref="AT351:AY351" si="930">$E351*SUMPRODUCT($R351:$V351,INDEX(AllocFactors_E,AT$4,0))</f>
        <v>0</v>
      </c>
      <c r="AU351" s="2">
        <f t="shared" si="930"/>
        <v>0</v>
      </c>
      <c r="AV351" s="2">
        <f t="shared" si="930"/>
        <v>0</v>
      </c>
      <c r="AW351" s="2">
        <f t="shared" si="930"/>
        <v>0</v>
      </c>
      <c r="AX351" s="2">
        <f t="shared" si="930"/>
        <v>0</v>
      </c>
      <c r="AY351" s="2">
        <f t="shared" si="930"/>
        <v>0</v>
      </c>
      <c r="BA351" s="2">
        <f>SUM(BB351:BG351)</f>
        <v>0</v>
      </c>
      <c r="BB351" s="2">
        <f t="shared" ref="BB351:BG351" si="931">$E351*SUMPRODUCT($W351:$AA351,INDEX(AllocFactors_D,BB$4,0))</f>
        <v>0</v>
      </c>
      <c r="BC351" s="2">
        <f t="shared" si="931"/>
        <v>0</v>
      </c>
      <c r="BD351" s="2">
        <f t="shared" si="931"/>
        <v>0</v>
      </c>
      <c r="BE351" s="2">
        <f t="shared" si="931"/>
        <v>0</v>
      </c>
      <c r="BF351" s="2">
        <f t="shared" si="931"/>
        <v>0</v>
      </c>
      <c r="BG351" s="2">
        <f t="shared" si="931"/>
        <v>0</v>
      </c>
      <c r="BI351" s="2">
        <f>SUM(BJ351:BO351)</f>
        <v>0</v>
      </c>
      <c r="BJ351" s="2">
        <f t="shared" ref="BJ351:BO351" si="932">$E351*SUMPRODUCT($AB351:$AG351,INDEX(AllocFactors_C,BJ$4,0))</f>
        <v>0</v>
      </c>
      <c r="BK351" s="2">
        <f t="shared" si="932"/>
        <v>0</v>
      </c>
      <c r="BL351" s="2">
        <f t="shared" si="932"/>
        <v>0</v>
      </c>
      <c r="BM351" s="2">
        <f t="shared" si="932"/>
        <v>0</v>
      </c>
      <c r="BN351" s="2">
        <f t="shared" si="932"/>
        <v>0</v>
      </c>
      <c r="BO351" s="2">
        <f t="shared" si="932"/>
        <v>0</v>
      </c>
      <c r="BQ351" s="28"/>
      <c r="CK351" s="112"/>
    </row>
    <row r="352" spans="1:96">
      <c r="A352" s="50">
        <f t="shared" si="876"/>
        <v>352</v>
      </c>
      <c r="D352" s="52" t="s">
        <v>68</v>
      </c>
      <c r="E352" s="4">
        <f>SUM(E347:E351)</f>
        <v>10388000</v>
      </c>
      <c r="H352" s="4">
        <f>IF(ROUND(SUM(H347:H351),3)&lt;&gt;ROUND(SUM(I352:N352),3),#VALUE!,SUM(H347:H351))</f>
        <v>10388000.000000002</v>
      </c>
      <c r="I352" s="4">
        <f t="shared" ref="I352:N352" si="933">SUM(I347:I351)</f>
        <v>7876054.3204567973</v>
      </c>
      <c r="J352" s="4">
        <f t="shared" si="933"/>
        <v>1942130.2543609454</v>
      </c>
      <c r="K352" s="4">
        <f t="shared" si="933"/>
        <v>0</v>
      </c>
      <c r="L352" s="4">
        <f t="shared" si="933"/>
        <v>47791.259167469325</v>
      </c>
      <c r="M352" s="4">
        <f t="shared" si="933"/>
        <v>522024.16601478856</v>
      </c>
      <c r="N352" s="4">
        <f t="shared" si="933"/>
        <v>0</v>
      </c>
      <c r="O352" s="5"/>
      <c r="P352" s="61" t="str">
        <f>A347&amp;":"&amp;$A351</f>
        <v>347:351</v>
      </c>
      <c r="Q352" s="61"/>
      <c r="R352" s="16">
        <f t="shared" ref="R352:AH352" si="934">SUMPRODUCT($E$347:$E$351,R$347:R$351)/$E352</f>
        <v>0.18951729595741776</v>
      </c>
      <c r="S352" s="16">
        <f t="shared" si="934"/>
        <v>1.6390053703997775E-3</v>
      </c>
      <c r="T352" s="16">
        <f t="shared" si="934"/>
        <v>4.0655781416328923E-3</v>
      </c>
      <c r="U352" s="16">
        <f t="shared" si="934"/>
        <v>2.7208099870927819E-2</v>
      </c>
      <c r="V352" s="16">
        <f t="shared" si="934"/>
        <v>0</v>
      </c>
      <c r="W352" s="16">
        <f t="shared" si="934"/>
        <v>0.3039299240568818</v>
      </c>
      <c r="X352" s="16">
        <f t="shared" si="934"/>
        <v>0</v>
      </c>
      <c r="Y352" s="16">
        <f t="shared" si="934"/>
        <v>0</v>
      </c>
      <c r="Z352" s="16">
        <f t="shared" si="934"/>
        <v>0</v>
      </c>
      <c r="AA352" s="16">
        <f t="shared" si="934"/>
        <v>0</v>
      </c>
      <c r="AB352" s="16">
        <f t="shared" si="934"/>
        <v>4.4494109305401472E-2</v>
      </c>
      <c r="AC352" s="16">
        <f t="shared" si="934"/>
        <v>0.35027169015589549</v>
      </c>
      <c r="AD352" s="16">
        <f t="shared" si="934"/>
        <v>0.13080267731896844</v>
      </c>
      <c r="AE352" s="16">
        <f t="shared" si="934"/>
        <v>0</v>
      </c>
      <c r="AF352" s="16">
        <f t="shared" si="934"/>
        <v>4.4828635652546817E-3</v>
      </c>
      <c r="AG352" s="16">
        <f t="shared" si="934"/>
        <v>0</v>
      </c>
      <c r="AH352" s="16">
        <f t="shared" si="934"/>
        <v>-5.6411243742780129E-2</v>
      </c>
      <c r="AI352" s="76">
        <f t="shared" ref="AI352:AI383" si="935">IF(SUM(R352:AH352)&lt;&gt;0,(ROUND(SUM(R352:AH352),8)&lt;&gt;1)+0,0)</f>
        <v>0</v>
      </c>
      <c r="AK352" s="4">
        <f>IF(ROUND(SUM(AK347:AK351),3)&lt;&gt;ROUND(SUM(AL352:AO352),3),#VALUE!,SUM(AK347:AK351))</f>
        <v>10388000</v>
      </c>
      <c r="AL352" s="4">
        <f>SUM(AL347:AL351)</f>
        <v>2310602.6253878493</v>
      </c>
      <c r="AM352" s="4">
        <f>SUM(AM347:AM351)</f>
        <v>3157224.0511028883</v>
      </c>
      <c r="AN352" s="4">
        <f>SUM(AN347:AN351)</f>
        <v>5506173.3235092629</v>
      </c>
      <c r="AO352" s="4">
        <f>SUM(AO347:AO351)</f>
        <v>-586000</v>
      </c>
      <c r="AP352" s="5"/>
      <c r="AQ352" s="61" t="str">
        <f>A347&amp;":"&amp;$A351</f>
        <v>347:351</v>
      </c>
      <c r="AS352" s="4">
        <f>IF(ROUND(SUM(AS347:AS351),3)&lt;&gt;ROUND(SUM(AT352:AY352),3),#VALUE!,SUM(AS347:AS351))</f>
        <v>2310602.6253878498</v>
      </c>
      <c r="AT352" s="4">
        <f t="shared" ref="AT352:AY352" si="936">SUM(AT347:AT351)</f>
        <v>1374157.653641138</v>
      </c>
      <c r="AU352" s="4">
        <f t="shared" si="936"/>
        <v>639919.31617756502</v>
      </c>
      <c r="AV352" s="4">
        <f t="shared" si="936"/>
        <v>0</v>
      </c>
      <c r="AW352" s="4">
        <f t="shared" si="936"/>
        <v>24954.0658284735</v>
      </c>
      <c r="AX352" s="4">
        <f t="shared" si="936"/>
        <v>271571.58974067308</v>
      </c>
      <c r="AY352" s="4">
        <f t="shared" si="936"/>
        <v>0</v>
      </c>
      <c r="BA352" s="4">
        <f>IF(ROUND(SUM(BA347:BA351),3)&lt;&gt;ROUND(SUM(BB352:BG352),3),#VALUE!,SUM(BA347:BA351))</f>
        <v>3157224.0511028874</v>
      </c>
      <c r="BB352" s="4">
        <f t="shared" ref="BB352:BG352" si="937">SUM(BB347:BB351)</f>
        <v>1784941.2619484467</v>
      </c>
      <c r="BC352" s="4">
        <f t="shared" si="937"/>
        <v>1101579.6678393872</v>
      </c>
      <c r="BD352" s="4">
        <f t="shared" si="937"/>
        <v>0</v>
      </c>
      <c r="BE352" s="4">
        <f t="shared" si="937"/>
        <v>23735.378888445906</v>
      </c>
      <c r="BF352" s="4">
        <f t="shared" si="937"/>
        <v>246967.74242660764</v>
      </c>
      <c r="BG352" s="4">
        <f t="shared" si="937"/>
        <v>0</v>
      </c>
      <c r="BI352" s="4">
        <f>IF(ROUND(SUM(BI347:BI351),3)&lt;&gt;ROUND(SUM(BJ352:BO352),3),#VALUE!,SUM(BI347:BI351))</f>
        <v>5506173.3235092619</v>
      </c>
      <c r="BJ352" s="4">
        <f t="shared" ref="BJ352:BO352" si="938">SUM(BJ347:BJ351)</f>
        <v>5171055.2040626574</v>
      </c>
      <c r="BK352" s="4">
        <f t="shared" si="938"/>
        <v>312081.80338180385</v>
      </c>
      <c r="BL352" s="4">
        <f t="shared" si="938"/>
        <v>0</v>
      </c>
      <c r="BM352" s="4">
        <f t="shared" si="938"/>
        <v>2091.6289331051307</v>
      </c>
      <c r="BN352" s="4">
        <f t="shared" si="938"/>
        <v>20944.687131696097</v>
      </c>
      <c r="BO352" s="4">
        <f t="shared" si="938"/>
        <v>0</v>
      </c>
      <c r="BQ352" s="28"/>
      <c r="CM352" s="5"/>
      <c r="CN352" s="5"/>
      <c r="CO352" s="5"/>
      <c r="CP352" s="5"/>
      <c r="CQ352" s="5"/>
      <c r="CR352" s="5"/>
    </row>
    <row r="353" spans="1:89">
      <c r="A353" s="50">
        <f t="shared" si="876"/>
        <v>353</v>
      </c>
      <c r="E353" s="5">
        <f>E352/1000-PROFORMA!AY164</f>
        <v>0</v>
      </c>
      <c r="F353" s="62"/>
      <c r="G353" s="62"/>
      <c r="H353" s="33">
        <f>H352-E352</f>
        <v>0</v>
      </c>
      <c r="P353" s="61"/>
      <c r="Q353" s="61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76">
        <f t="shared" si="935"/>
        <v>0</v>
      </c>
      <c r="AQ353" s="61"/>
      <c r="BQ353" s="28"/>
    </row>
    <row r="354" spans="1:89">
      <c r="A354" s="50">
        <f t="shared" si="876"/>
        <v>354</v>
      </c>
      <c r="C354" s="34"/>
      <c r="D354" s="1" t="s">
        <v>69</v>
      </c>
      <c r="E354" s="9"/>
      <c r="F354" s="60"/>
      <c r="G354" s="60"/>
      <c r="P354" s="61"/>
      <c r="Q354" s="61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76">
        <f t="shared" si="935"/>
        <v>0</v>
      </c>
      <c r="AQ354" s="61"/>
    </row>
    <row r="355" spans="1:89">
      <c r="A355" s="50">
        <f t="shared" si="876"/>
        <v>355</v>
      </c>
      <c r="B355" s="51"/>
      <c r="D355" t="s">
        <v>357</v>
      </c>
      <c r="E355" s="2"/>
      <c r="F355" s="60"/>
      <c r="G355" s="60"/>
      <c r="P355" s="61"/>
      <c r="Q355" s="61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76">
        <f t="shared" si="935"/>
        <v>0</v>
      </c>
      <c r="AQ355" s="61"/>
      <c r="CK355" s="112"/>
    </row>
    <row r="356" spans="1:89">
      <c r="A356" s="50">
        <f t="shared" si="876"/>
        <v>356</v>
      </c>
      <c r="B356" s="51">
        <v>350</v>
      </c>
      <c r="C356" s="36" t="s">
        <v>394</v>
      </c>
      <c r="D356" s="28" t="s">
        <v>358</v>
      </c>
      <c r="E356" s="369">
        <f>PROFORMA!AY168</f>
        <v>1000</v>
      </c>
      <c r="F356" s="60" t="str">
        <f t="shared" ref="F356:F363" si="939">"as Transm Plant ("&amp;A$24&amp;")"</f>
        <v>as Transm Plant (24)</v>
      </c>
      <c r="G356" s="60"/>
      <c r="H356" s="2">
        <f t="shared" ref="H356:H363" si="940">SUM(I356:N356)</f>
        <v>1000.0000000000001</v>
      </c>
      <c r="I356" s="2">
        <f t="shared" ref="I356:N363" si="941">$E356*SUMPRODUCT($R356:$AH356,INDEX(AllocFactors,I$4,0))</f>
        <v>713.94204416858713</v>
      </c>
      <c r="J356" s="2">
        <f t="shared" si="941"/>
        <v>266.2506677081779</v>
      </c>
      <c r="K356" s="2">
        <f t="shared" si="941"/>
        <v>0</v>
      </c>
      <c r="L356" s="2">
        <f t="shared" si="941"/>
        <v>7.2499998874885705</v>
      </c>
      <c r="M356" s="2">
        <f t="shared" si="941"/>
        <v>12.557288235746505</v>
      </c>
      <c r="N356" s="2">
        <f t="shared" si="941"/>
        <v>0</v>
      </c>
      <c r="O356" s="2"/>
      <c r="P356" s="61" t="str">
        <f>E$1&amp;$A356&amp;"* Sum["&amp;$R$1&amp;$A356&amp;":"&amp;$AH$1&amp;$A356&amp;"* "&amp;Factors!D$1&amp;Factors!$A$58&amp;":"&amp;Factors!S$1&amp;Factors!$A$64&amp;"]"</f>
        <v>E356* Sum[R356:AH356* D1042:S1048]</v>
      </c>
      <c r="Q356" s="61"/>
      <c r="R356" s="14">
        <f>R$24</f>
        <v>0</v>
      </c>
      <c r="S356" s="14">
        <f t="shared" ref="S356:AH356" si="942">S$24</f>
        <v>0</v>
      </c>
      <c r="T356" s="14">
        <f t="shared" si="942"/>
        <v>0.13</v>
      </c>
      <c r="U356" s="14">
        <f t="shared" si="942"/>
        <v>0.87</v>
      </c>
      <c r="V356" s="14">
        <f t="shared" si="942"/>
        <v>0</v>
      </c>
      <c r="W356" s="14">
        <f t="shared" si="942"/>
        <v>0</v>
      </c>
      <c r="X356" s="14">
        <f t="shared" si="942"/>
        <v>0</v>
      </c>
      <c r="Y356" s="14">
        <f t="shared" si="942"/>
        <v>0</v>
      </c>
      <c r="Z356" s="14">
        <f t="shared" si="942"/>
        <v>0</v>
      </c>
      <c r="AA356" s="14">
        <f t="shared" si="942"/>
        <v>0</v>
      </c>
      <c r="AB356" s="14">
        <f t="shared" si="942"/>
        <v>0</v>
      </c>
      <c r="AC356" s="14">
        <f t="shared" si="942"/>
        <v>0</v>
      </c>
      <c r="AD356" s="14">
        <f t="shared" si="942"/>
        <v>0</v>
      </c>
      <c r="AE356" s="14">
        <f t="shared" si="942"/>
        <v>0</v>
      </c>
      <c r="AF356" s="14">
        <f t="shared" si="942"/>
        <v>0</v>
      </c>
      <c r="AG356" s="14">
        <f t="shared" si="942"/>
        <v>0</v>
      </c>
      <c r="AH356" s="14">
        <f t="shared" si="942"/>
        <v>0</v>
      </c>
      <c r="AI356" s="76">
        <f t="shared" si="935"/>
        <v>0</v>
      </c>
      <c r="AK356" s="2">
        <f t="shared" ref="AK356:AK363" si="943">SUM(AL356:AO356)</f>
        <v>1000</v>
      </c>
      <c r="AL356" s="2">
        <f t="shared" ref="AL356:AO363" si="944">SUMIF($R$4:$AH$4,AL$5,$R356:$AH356)*$E356</f>
        <v>1000</v>
      </c>
      <c r="AM356" s="2">
        <f t="shared" si="944"/>
        <v>0</v>
      </c>
      <c r="AN356" s="2">
        <f t="shared" si="944"/>
        <v>0</v>
      </c>
      <c r="AO356" s="2">
        <f t="shared" si="944"/>
        <v>0</v>
      </c>
      <c r="AP356" s="2"/>
      <c r="AQ356" s="61" t="str">
        <f>E$1&amp;$A356&amp;"*["&amp;R$1&amp;$A356&amp;":"&amp;$AH$1&amp;$A356&amp;" when "&amp;R$1&amp;$A$4&amp;":"&amp;$AH$1&amp;$A$4&amp;" = E,D,C,or R]"</f>
        <v>E356*[R356:AH356 when R4:AH4 = E,D,C,or R]</v>
      </c>
      <c r="AS356" s="2">
        <f t="shared" ref="AS356:AS363" si="945">SUM(AT356:AY356)</f>
        <v>1000.0000000000001</v>
      </c>
      <c r="AT356" s="2">
        <f t="shared" ref="AT356:AY363" si="946">$E356*SUMPRODUCT($R356:$V356,INDEX(AllocFactors_E,AT$4,0))</f>
        <v>713.94204416858713</v>
      </c>
      <c r="AU356" s="2">
        <f t="shared" si="946"/>
        <v>266.2506677081779</v>
      </c>
      <c r="AV356" s="2">
        <f t="shared" si="946"/>
        <v>0</v>
      </c>
      <c r="AW356" s="2">
        <f t="shared" si="946"/>
        <v>7.2499998874885705</v>
      </c>
      <c r="AX356" s="2">
        <f t="shared" si="946"/>
        <v>12.557288235746505</v>
      </c>
      <c r="AY356" s="2">
        <f t="shared" si="946"/>
        <v>0</v>
      </c>
      <c r="BA356" s="2">
        <f t="shared" ref="BA356:BA363" si="947">SUM(BB356:BG356)</f>
        <v>0</v>
      </c>
      <c r="BB356" s="2">
        <f t="shared" ref="BB356:BG363" si="948">$E356*SUMPRODUCT($W356:$AA356,INDEX(AllocFactors_D,BB$4,0))</f>
        <v>0</v>
      </c>
      <c r="BC356" s="2">
        <f t="shared" si="948"/>
        <v>0</v>
      </c>
      <c r="BD356" s="2">
        <f t="shared" si="948"/>
        <v>0</v>
      </c>
      <c r="BE356" s="2">
        <f t="shared" si="948"/>
        <v>0</v>
      </c>
      <c r="BF356" s="2">
        <f t="shared" si="948"/>
        <v>0</v>
      </c>
      <c r="BG356" s="2">
        <f t="shared" si="948"/>
        <v>0</v>
      </c>
      <c r="BI356" s="2">
        <f t="shared" ref="BI356:BI363" si="949">SUM(BJ356:BO356)</f>
        <v>0</v>
      </c>
      <c r="BJ356" s="2">
        <f t="shared" ref="BJ356:BO363" si="950">$E356*SUMPRODUCT($AB356:$AG356,INDEX(AllocFactors_C,BJ$4,0))</f>
        <v>0</v>
      </c>
      <c r="BK356" s="2">
        <f t="shared" si="950"/>
        <v>0</v>
      </c>
      <c r="BL356" s="2">
        <f t="shared" si="950"/>
        <v>0</v>
      </c>
      <c r="BM356" s="2">
        <f t="shared" si="950"/>
        <v>0</v>
      </c>
      <c r="BN356" s="2">
        <f t="shared" si="950"/>
        <v>0</v>
      </c>
      <c r="BO356" s="2">
        <f t="shared" si="950"/>
        <v>0</v>
      </c>
      <c r="CK356" s="112"/>
    </row>
    <row r="357" spans="1:89">
      <c r="A357" s="50">
        <f t="shared" si="876"/>
        <v>357</v>
      </c>
      <c r="B357" s="51">
        <v>351</v>
      </c>
      <c r="C357" s="36" t="s">
        <v>394</v>
      </c>
      <c r="D357" s="28" t="s">
        <v>359</v>
      </c>
      <c r="E357" s="369">
        <f>PROFORMA!AY169</f>
        <v>29000</v>
      </c>
      <c r="F357" s="60" t="str">
        <f t="shared" si="939"/>
        <v>as Transm Plant (24)</v>
      </c>
      <c r="G357" s="60"/>
      <c r="H357" s="2">
        <f t="shared" si="940"/>
        <v>29000.000000000004</v>
      </c>
      <c r="I357" s="2">
        <f t="shared" si="941"/>
        <v>20704.319280889027</v>
      </c>
      <c r="J357" s="2">
        <f t="shared" si="941"/>
        <v>7721.2693635371588</v>
      </c>
      <c r="K357" s="2">
        <f t="shared" si="941"/>
        <v>0</v>
      </c>
      <c r="L357" s="2">
        <f t="shared" si="941"/>
        <v>210.24999673716854</v>
      </c>
      <c r="M357" s="2">
        <f t="shared" si="941"/>
        <v>364.16135883664867</v>
      </c>
      <c r="N357" s="2">
        <f t="shared" si="941"/>
        <v>0</v>
      </c>
      <c r="O357" s="2"/>
      <c r="P357" s="61" t="str">
        <f t="shared" ref="P357:P363" si="951">E$1&amp;$A357&amp;"*     """</f>
        <v>E357*     "</v>
      </c>
      <c r="Q357" s="61"/>
      <c r="R357" s="14">
        <f t="shared" ref="R357:AH363" si="952">R$24</f>
        <v>0</v>
      </c>
      <c r="S357" s="14">
        <f t="shared" si="952"/>
        <v>0</v>
      </c>
      <c r="T357" s="14">
        <f t="shared" si="952"/>
        <v>0.13</v>
      </c>
      <c r="U357" s="14">
        <f t="shared" si="952"/>
        <v>0.87</v>
      </c>
      <c r="V357" s="14">
        <f t="shared" si="952"/>
        <v>0</v>
      </c>
      <c r="W357" s="14">
        <f t="shared" si="952"/>
        <v>0</v>
      </c>
      <c r="X357" s="14">
        <f t="shared" si="952"/>
        <v>0</v>
      </c>
      <c r="Y357" s="14">
        <f t="shared" si="952"/>
        <v>0</v>
      </c>
      <c r="Z357" s="14">
        <f t="shared" si="952"/>
        <v>0</v>
      </c>
      <c r="AA357" s="14">
        <f t="shared" si="952"/>
        <v>0</v>
      </c>
      <c r="AB357" s="14">
        <f t="shared" si="952"/>
        <v>0</v>
      </c>
      <c r="AC357" s="14">
        <f t="shared" si="952"/>
        <v>0</v>
      </c>
      <c r="AD357" s="14">
        <f t="shared" si="952"/>
        <v>0</v>
      </c>
      <c r="AE357" s="14">
        <f t="shared" si="952"/>
        <v>0</v>
      </c>
      <c r="AF357" s="14">
        <f t="shared" si="952"/>
        <v>0</v>
      </c>
      <c r="AG357" s="14">
        <f t="shared" si="952"/>
        <v>0</v>
      </c>
      <c r="AH357" s="14">
        <f t="shared" si="952"/>
        <v>0</v>
      </c>
      <c r="AI357" s="76">
        <f t="shared" si="935"/>
        <v>0</v>
      </c>
      <c r="AK357" s="2">
        <f t="shared" si="943"/>
        <v>29000</v>
      </c>
      <c r="AL357" s="2">
        <f t="shared" si="944"/>
        <v>29000</v>
      </c>
      <c r="AM357" s="2">
        <f t="shared" si="944"/>
        <v>0</v>
      </c>
      <c r="AN357" s="2">
        <f t="shared" si="944"/>
        <v>0</v>
      </c>
      <c r="AO357" s="2">
        <f t="shared" si="944"/>
        <v>0</v>
      </c>
      <c r="AP357" s="2"/>
      <c r="AQ357" s="61" t="str">
        <f t="shared" ref="AQ357:AQ363" si="953">E$1&amp;$A357&amp;"*      """</f>
        <v>E357*      "</v>
      </c>
      <c r="AS357" s="2">
        <f t="shared" si="945"/>
        <v>29000.000000000004</v>
      </c>
      <c r="AT357" s="2">
        <f t="shared" si="946"/>
        <v>20704.319280889027</v>
      </c>
      <c r="AU357" s="2">
        <f t="shared" si="946"/>
        <v>7721.2693635371588</v>
      </c>
      <c r="AV357" s="2">
        <f t="shared" si="946"/>
        <v>0</v>
      </c>
      <c r="AW357" s="2">
        <f t="shared" si="946"/>
        <v>210.24999673716854</v>
      </c>
      <c r="AX357" s="2">
        <f t="shared" si="946"/>
        <v>364.16135883664867</v>
      </c>
      <c r="AY357" s="2">
        <f t="shared" si="946"/>
        <v>0</v>
      </c>
      <c r="BA357" s="2">
        <f t="shared" si="947"/>
        <v>0</v>
      </c>
      <c r="BB357" s="2">
        <f t="shared" si="948"/>
        <v>0</v>
      </c>
      <c r="BC357" s="2">
        <f t="shared" si="948"/>
        <v>0</v>
      </c>
      <c r="BD357" s="2">
        <f t="shared" si="948"/>
        <v>0</v>
      </c>
      <c r="BE357" s="2">
        <f t="shared" si="948"/>
        <v>0</v>
      </c>
      <c r="BF357" s="2">
        <f t="shared" si="948"/>
        <v>0</v>
      </c>
      <c r="BG357" s="2">
        <f t="shared" si="948"/>
        <v>0</v>
      </c>
      <c r="BI357" s="2">
        <f t="shared" si="949"/>
        <v>0</v>
      </c>
      <c r="BJ357" s="2">
        <f t="shared" si="950"/>
        <v>0</v>
      </c>
      <c r="BK357" s="2">
        <f t="shared" si="950"/>
        <v>0</v>
      </c>
      <c r="BL357" s="2">
        <f t="shared" si="950"/>
        <v>0</v>
      </c>
      <c r="BM357" s="2">
        <f t="shared" si="950"/>
        <v>0</v>
      </c>
      <c r="BN357" s="2">
        <f t="shared" si="950"/>
        <v>0</v>
      </c>
      <c r="BO357" s="2">
        <f t="shared" si="950"/>
        <v>0</v>
      </c>
      <c r="CK357" s="112"/>
    </row>
    <row r="358" spans="1:89">
      <c r="A358" s="50">
        <f t="shared" si="876"/>
        <v>358</v>
      </c>
      <c r="B358" s="51">
        <v>352</v>
      </c>
      <c r="C358" s="36" t="s">
        <v>394</v>
      </c>
      <c r="D358" s="28" t="s">
        <v>360</v>
      </c>
      <c r="E358" s="369">
        <f>PROFORMA!AY170</f>
        <v>241000</v>
      </c>
      <c r="F358" s="60" t="str">
        <f t="shared" si="939"/>
        <v>as Transm Plant (24)</v>
      </c>
      <c r="G358" s="60"/>
      <c r="H358" s="2">
        <f t="shared" si="940"/>
        <v>241000</v>
      </c>
      <c r="I358" s="2">
        <f t="shared" si="941"/>
        <v>172060.03264462948</v>
      </c>
      <c r="J358" s="2">
        <f t="shared" si="941"/>
        <v>64166.410917670873</v>
      </c>
      <c r="K358" s="2">
        <f t="shared" si="941"/>
        <v>0</v>
      </c>
      <c r="L358" s="2">
        <f t="shared" si="941"/>
        <v>1747.2499728847456</v>
      </c>
      <c r="M358" s="2">
        <f t="shared" si="941"/>
        <v>3026.3064648149079</v>
      </c>
      <c r="N358" s="2">
        <f t="shared" si="941"/>
        <v>0</v>
      </c>
      <c r="O358" s="2"/>
      <c r="P358" s="61" t="str">
        <f t="shared" si="951"/>
        <v>E358*     "</v>
      </c>
      <c r="Q358" s="61"/>
      <c r="R358" s="14">
        <f t="shared" si="952"/>
        <v>0</v>
      </c>
      <c r="S358" s="14">
        <f t="shared" si="952"/>
        <v>0</v>
      </c>
      <c r="T358" s="14">
        <f t="shared" si="952"/>
        <v>0.13</v>
      </c>
      <c r="U358" s="14">
        <f t="shared" si="952"/>
        <v>0.87</v>
      </c>
      <c r="V358" s="14">
        <f t="shared" si="952"/>
        <v>0</v>
      </c>
      <c r="W358" s="14">
        <f t="shared" si="952"/>
        <v>0</v>
      </c>
      <c r="X358" s="14">
        <f t="shared" si="952"/>
        <v>0</v>
      </c>
      <c r="Y358" s="14">
        <f t="shared" si="952"/>
        <v>0</v>
      </c>
      <c r="Z358" s="14">
        <f t="shared" si="952"/>
        <v>0</v>
      </c>
      <c r="AA358" s="14">
        <f t="shared" si="952"/>
        <v>0</v>
      </c>
      <c r="AB358" s="14">
        <f t="shared" si="952"/>
        <v>0</v>
      </c>
      <c r="AC358" s="14">
        <f t="shared" si="952"/>
        <v>0</v>
      </c>
      <c r="AD358" s="14">
        <f t="shared" si="952"/>
        <v>0</v>
      </c>
      <c r="AE358" s="14">
        <f t="shared" si="952"/>
        <v>0</v>
      </c>
      <c r="AF358" s="14">
        <f t="shared" si="952"/>
        <v>0</v>
      </c>
      <c r="AG358" s="14">
        <f t="shared" si="952"/>
        <v>0</v>
      </c>
      <c r="AH358" s="14">
        <f t="shared" si="952"/>
        <v>0</v>
      </c>
      <c r="AI358" s="76">
        <f t="shared" si="935"/>
        <v>0</v>
      </c>
      <c r="AK358" s="2">
        <f t="shared" si="943"/>
        <v>241000</v>
      </c>
      <c r="AL358" s="2">
        <f t="shared" si="944"/>
        <v>241000</v>
      </c>
      <c r="AM358" s="2">
        <f t="shared" si="944"/>
        <v>0</v>
      </c>
      <c r="AN358" s="2">
        <f t="shared" si="944"/>
        <v>0</v>
      </c>
      <c r="AO358" s="2">
        <f t="shared" si="944"/>
        <v>0</v>
      </c>
      <c r="AP358" s="2"/>
      <c r="AQ358" s="61" t="str">
        <f t="shared" si="953"/>
        <v>E358*      "</v>
      </c>
      <c r="AS358" s="2">
        <f t="shared" si="945"/>
        <v>241000</v>
      </c>
      <c r="AT358" s="2">
        <f t="shared" si="946"/>
        <v>172060.03264462948</v>
      </c>
      <c r="AU358" s="2">
        <f t="shared" si="946"/>
        <v>64166.410917670873</v>
      </c>
      <c r="AV358" s="2">
        <f t="shared" si="946"/>
        <v>0</v>
      </c>
      <c r="AW358" s="2">
        <f t="shared" si="946"/>
        <v>1747.2499728847456</v>
      </c>
      <c r="AX358" s="2">
        <f t="shared" si="946"/>
        <v>3026.3064648149079</v>
      </c>
      <c r="AY358" s="2">
        <f t="shared" si="946"/>
        <v>0</v>
      </c>
      <c r="BA358" s="2">
        <f t="shared" si="947"/>
        <v>0</v>
      </c>
      <c r="BB358" s="2">
        <f t="shared" si="948"/>
        <v>0</v>
      </c>
      <c r="BC358" s="2">
        <f t="shared" si="948"/>
        <v>0</v>
      </c>
      <c r="BD358" s="2">
        <f t="shared" si="948"/>
        <v>0</v>
      </c>
      <c r="BE358" s="2">
        <f t="shared" si="948"/>
        <v>0</v>
      </c>
      <c r="BF358" s="2">
        <f t="shared" si="948"/>
        <v>0</v>
      </c>
      <c r="BG358" s="2">
        <f t="shared" si="948"/>
        <v>0</v>
      </c>
      <c r="BI358" s="2">
        <f t="shared" si="949"/>
        <v>0</v>
      </c>
      <c r="BJ358" s="2">
        <f t="shared" si="950"/>
        <v>0</v>
      </c>
      <c r="BK358" s="2">
        <f t="shared" si="950"/>
        <v>0</v>
      </c>
      <c r="BL358" s="2">
        <f t="shared" si="950"/>
        <v>0</v>
      </c>
      <c r="BM358" s="2">
        <f t="shared" si="950"/>
        <v>0</v>
      </c>
      <c r="BN358" s="2">
        <f t="shared" si="950"/>
        <v>0</v>
      </c>
      <c r="BO358" s="2">
        <f t="shared" si="950"/>
        <v>0</v>
      </c>
      <c r="CK358" s="112"/>
    </row>
    <row r="359" spans="1:89">
      <c r="A359" s="50">
        <f t="shared" si="876"/>
        <v>359</v>
      </c>
      <c r="B359" s="51">
        <v>353</v>
      </c>
      <c r="C359" s="36" t="s">
        <v>394</v>
      </c>
      <c r="D359" s="28" t="s">
        <v>361</v>
      </c>
      <c r="E359" s="369">
        <f>PROFORMA!AY171</f>
        <v>18000</v>
      </c>
      <c r="F359" s="60" t="str">
        <f t="shared" si="939"/>
        <v>as Transm Plant (24)</v>
      </c>
      <c r="G359" s="60"/>
      <c r="H359" s="2">
        <f t="shared" si="940"/>
        <v>18000.000000000004</v>
      </c>
      <c r="I359" s="2">
        <f t="shared" si="941"/>
        <v>12850.956795034568</v>
      </c>
      <c r="J359" s="2">
        <f t="shared" si="941"/>
        <v>4792.5120187472021</v>
      </c>
      <c r="K359" s="2">
        <f t="shared" si="941"/>
        <v>0</v>
      </c>
      <c r="L359" s="2">
        <f t="shared" si="941"/>
        <v>130.49999797479427</v>
      </c>
      <c r="M359" s="2">
        <f t="shared" si="941"/>
        <v>226.0311882434371</v>
      </c>
      <c r="N359" s="2">
        <f t="shared" si="941"/>
        <v>0</v>
      </c>
      <c r="O359" s="2"/>
      <c r="P359" s="61" t="str">
        <f t="shared" si="951"/>
        <v>E359*     "</v>
      </c>
      <c r="Q359" s="61"/>
      <c r="R359" s="14">
        <f t="shared" si="952"/>
        <v>0</v>
      </c>
      <c r="S359" s="14">
        <f t="shared" si="952"/>
        <v>0</v>
      </c>
      <c r="T359" s="14">
        <f t="shared" si="952"/>
        <v>0.13</v>
      </c>
      <c r="U359" s="14">
        <f t="shared" si="952"/>
        <v>0.87</v>
      </c>
      <c r="V359" s="14">
        <f t="shared" si="952"/>
        <v>0</v>
      </c>
      <c r="W359" s="14">
        <f t="shared" si="952"/>
        <v>0</v>
      </c>
      <c r="X359" s="14">
        <f t="shared" si="952"/>
        <v>0</v>
      </c>
      <c r="Y359" s="14">
        <f t="shared" si="952"/>
        <v>0</v>
      </c>
      <c r="Z359" s="14">
        <f t="shared" si="952"/>
        <v>0</v>
      </c>
      <c r="AA359" s="14">
        <f t="shared" si="952"/>
        <v>0</v>
      </c>
      <c r="AB359" s="14">
        <f t="shared" si="952"/>
        <v>0</v>
      </c>
      <c r="AC359" s="14">
        <f t="shared" si="952"/>
        <v>0</v>
      </c>
      <c r="AD359" s="14">
        <f t="shared" si="952"/>
        <v>0</v>
      </c>
      <c r="AE359" s="14">
        <f t="shared" si="952"/>
        <v>0</v>
      </c>
      <c r="AF359" s="14">
        <f t="shared" si="952"/>
        <v>0</v>
      </c>
      <c r="AG359" s="14">
        <f t="shared" si="952"/>
        <v>0</v>
      </c>
      <c r="AH359" s="14">
        <f t="shared" si="952"/>
        <v>0</v>
      </c>
      <c r="AI359" s="76">
        <f t="shared" si="935"/>
        <v>0</v>
      </c>
      <c r="AK359" s="2">
        <f t="shared" si="943"/>
        <v>18000</v>
      </c>
      <c r="AL359" s="2">
        <f t="shared" si="944"/>
        <v>18000</v>
      </c>
      <c r="AM359" s="2">
        <f t="shared" si="944"/>
        <v>0</v>
      </c>
      <c r="AN359" s="2">
        <f t="shared" si="944"/>
        <v>0</v>
      </c>
      <c r="AO359" s="2">
        <f t="shared" si="944"/>
        <v>0</v>
      </c>
      <c r="AP359" s="2"/>
      <c r="AQ359" s="61" t="str">
        <f t="shared" si="953"/>
        <v>E359*      "</v>
      </c>
      <c r="AS359" s="2">
        <f t="shared" si="945"/>
        <v>18000.000000000004</v>
      </c>
      <c r="AT359" s="2">
        <f t="shared" si="946"/>
        <v>12850.956795034568</v>
      </c>
      <c r="AU359" s="2">
        <f t="shared" si="946"/>
        <v>4792.5120187472021</v>
      </c>
      <c r="AV359" s="2">
        <f t="shared" si="946"/>
        <v>0</v>
      </c>
      <c r="AW359" s="2">
        <f t="shared" si="946"/>
        <v>130.49999797479427</v>
      </c>
      <c r="AX359" s="2">
        <f t="shared" si="946"/>
        <v>226.0311882434371</v>
      </c>
      <c r="AY359" s="2">
        <f t="shared" si="946"/>
        <v>0</v>
      </c>
      <c r="BA359" s="2">
        <f t="shared" si="947"/>
        <v>0</v>
      </c>
      <c r="BB359" s="2">
        <f t="shared" si="948"/>
        <v>0</v>
      </c>
      <c r="BC359" s="2">
        <f t="shared" si="948"/>
        <v>0</v>
      </c>
      <c r="BD359" s="2">
        <f t="shared" si="948"/>
        <v>0</v>
      </c>
      <c r="BE359" s="2">
        <f t="shared" si="948"/>
        <v>0</v>
      </c>
      <c r="BF359" s="2">
        <f t="shared" si="948"/>
        <v>0</v>
      </c>
      <c r="BG359" s="2">
        <f t="shared" si="948"/>
        <v>0</v>
      </c>
      <c r="BI359" s="2">
        <f t="shared" si="949"/>
        <v>0</v>
      </c>
      <c r="BJ359" s="2">
        <f t="shared" si="950"/>
        <v>0</v>
      </c>
      <c r="BK359" s="2">
        <f t="shared" si="950"/>
        <v>0</v>
      </c>
      <c r="BL359" s="2">
        <f t="shared" si="950"/>
        <v>0</v>
      </c>
      <c r="BM359" s="2">
        <f t="shared" si="950"/>
        <v>0</v>
      </c>
      <c r="BN359" s="2">
        <f t="shared" si="950"/>
        <v>0</v>
      </c>
      <c r="BO359" s="2">
        <f t="shared" si="950"/>
        <v>0</v>
      </c>
      <c r="CK359" s="112"/>
    </row>
    <row r="360" spans="1:89">
      <c r="A360" s="50">
        <f t="shared" si="876"/>
        <v>360</v>
      </c>
      <c r="B360" s="51">
        <v>354</v>
      </c>
      <c r="C360" s="36" t="s">
        <v>394</v>
      </c>
      <c r="D360" s="28" t="s">
        <v>362</v>
      </c>
      <c r="E360" s="369">
        <f>PROFORMA!AY172</f>
        <v>183000</v>
      </c>
      <c r="F360" s="60" t="str">
        <f t="shared" si="939"/>
        <v>as Transm Plant (24)</v>
      </c>
      <c r="G360" s="60"/>
      <c r="H360" s="2">
        <f t="shared" si="940"/>
        <v>183000</v>
      </c>
      <c r="I360" s="2">
        <f t="shared" si="941"/>
        <v>130651.39408285143</v>
      </c>
      <c r="J360" s="2">
        <f t="shared" si="941"/>
        <v>48723.872190596558</v>
      </c>
      <c r="K360" s="2">
        <f t="shared" si="941"/>
        <v>0</v>
      </c>
      <c r="L360" s="2">
        <f t="shared" si="941"/>
        <v>1326.7499794104085</v>
      </c>
      <c r="M360" s="2">
        <f t="shared" si="941"/>
        <v>2297.9837471416104</v>
      </c>
      <c r="N360" s="2">
        <f t="shared" si="941"/>
        <v>0</v>
      </c>
      <c r="O360" s="2"/>
      <c r="P360" s="61" t="str">
        <f t="shared" si="951"/>
        <v>E360*     "</v>
      </c>
      <c r="Q360" s="61"/>
      <c r="R360" s="14">
        <f t="shared" si="952"/>
        <v>0</v>
      </c>
      <c r="S360" s="14">
        <f t="shared" si="952"/>
        <v>0</v>
      </c>
      <c r="T360" s="14">
        <f t="shared" si="952"/>
        <v>0.13</v>
      </c>
      <c r="U360" s="14">
        <f t="shared" si="952"/>
        <v>0.87</v>
      </c>
      <c r="V360" s="14">
        <f t="shared" si="952"/>
        <v>0</v>
      </c>
      <c r="W360" s="14">
        <f t="shared" si="952"/>
        <v>0</v>
      </c>
      <c r="X360" s="14">
        <f t="shared" si="952"/>
        <v>0</v>
      </c>
      <c r="Y360" s="14">
        <f t="shared" si="952"/>
        <v>0</v>
      </c>
      <c r="Z360" s="14">
        <f t="shared" si="952"/>
        <v>0</v>
      </c>
      <c r="AA360" s="14">
        <f t="shared" si="952"/>
        <v>0</v>
      </c>
      <c r="AB360" s="14">
        <f t="shared" si="952"/>
        <v>0</v>
      </c>
      <c r="AC360" s="14">
        <f t="shared" si="952"/>
        <v>0</v>
      </c>
      <c r="AD360" s="14">
        <f t="shared" si="952"/>
        <v>0</v>
      </c>
      <c r="AE360" s="14">
        <f t="shared" si="952"/>
        <v>0</v>
      </c>
      <c r="AF360" s="14">
        <f t="shared" si="952"/>
        <v>0</v>
      </c>
      <c r="AG360" s="14">
        <f t="shared" si="952"/>
        <v>0</v>
      </c>
      <c r="AH360" s="14">
        <f t="shared" si="952"/>
        <v>0</v>
      </c>
      <c r="AI360" s="76">
        <f t="shared" si="935"/>
        <v>0</v>
      </c>
      <c r="AK360" s="2">
        <f t="shared" si="943"/>
        <v>183000</v>
      </c>
      <c r="AL360" s="2">
        <f t="shared" si="944"/>
        <v>183000</v>
      </c>
      <c r="AM360" s="2">
        <f t="shared" si="944"/>
        <v>0</v>
      </c>
      <c r="AN360" s="2">
        <f t="shared" si="944"/>
        <v>0</v>
      </c>
      <c r="AO360" s="2">
        <f t="shared" si="944"/>
        <v>0</v>
      </c>
      <c r="AP360" s="2"/>
      <c r="AQ360" s="61" t="str">
        <f t="shared" si="953"/>
        <v>E360*      "</v>
      </c>
      <c r="AS360" s="2">
        <f t="shared" si="945"/>
        <v>183000</v>
      </c>
      <c r="AT360" s="2">
        <f t="shared" si="946"/>
        <v>130651.39408285143</v>
      </c>
      <c r="AU360" s="2">
        <f t="shared" si="946"/>
        <v>48723.872190596558</v>
      </c>
      <c r="AV360" s="2">
        <f t="shared" si="946"/>
        <v>0</v>
      </c>
      <c r="AW360" s="2">
        <f t="shared" si="946"/>
        <v>1326.7499794104085</v>
      </c>
      <c r="AX360" s="2">
        <f t="shared" si="946"/>
        <v>2297.9837471416104</v>
      </c>
      <c r="AY360" s="2">
        <f t="shared" si="946"/>
        <v>0</v>
      </c>
      <c r="BA360" s="2">
        <f t="shared" si="947"/>
        <v>0</v>
      </c>
      <c r="BB360" s="2">
        <f t="shared" si="948"/>
        <v>0</v>
      </c>
      <c r="BC360" s="2">
        <f t="shared" si="948"/>
        <v>0</v>
      </c>
      <c r="BD360" s="2">
        <f t="shared" si="948"/>
        <v>0</v>
      </c>
      <c r="BE360" s="2">
        <f t="shared" si="948"/>
        <v>0</v>
      </c>
      <c r="BF360" s="2">
        <f t="shared" si="948"/>
        <v>0</v>
      </c>
      <c r="BG360" s="2">
        <f t="shared" si="948"/>
        <v>0</v>
      </c>
      <c r="BI360" s="2">
        <f t="shared" si="949"/>
        <v>0</v>
      </c>
      <c r="BJ360" s="2">
        <f t="shared" si="950"/>
        <v>0</v>
      </c>
      <c r="BK360" s="2">
        <f t="shared" si="950"/>
        <v>0</v>
      </c>
      <c r="BL360" s="2">
        <f t="shared" si="950"/>
        <v>0</v>
      </c>
      <c r="BM360" s="2">
        <f t="shared" si="950"/>
        <v>0</v>
      </c>
      <c r="BN360" s="2">
        <f t="shared" si="950"/>
        <v>0</v>
      </c>
      <c r="BO360" s="2">
        <f t="shared" si="950"/>
        <v>0</v>
      </c>
      <c r="CK360" s="112"/>
    </row>
    <row r="361" spans="1:89">
      <c r="A361" s="50">
        <f t="shared" si="876"/>
        <v>361</v>
      </c>
      <c r="B361" s="51">
        <v>355</v>
      </c>
      <c r="C361" s="36" t="s">
        <v>394</v>
      </c>
      <c r="D361" s="28" t="s">
        <v>363</v>
      </c>
      <c r="E361" s="369">
        <f>PROFORMA!AY173</f>
        <v>54000</v>
      </c>
      <c r="F361" s="60" t="str">
        <f t="shared" si="939"/>
        <v>as Transm Plant (24)</v>
      </c>
      <c r="G361" s="60"/>
      <c r="H361" s="2">
        <f t="shared" si="940"/>
        <v>54000.000000000015</v>
      </c>
      <c r="I361" s="2">
        <f t="shared" si="941"/>
        <v>38552.870385103706</v>
      </c>
      <c r="J361" s="2">
        <f t="shared" si="941"/>
        <v>14377.536056241606</v>
      </c>
      <c r="K361" s="2">
        <f t="shared" si="941"/>
        <v>0</v>
      </c>
      <c r="L361" s="2">
        <f t="shared" si="941"/>
        <v>391.49999392438281</v>
      </c>
      <c r="M361" s="2">
        <f t="shared" si="941"/>
        <v>678.0935647303113</v>
      </c>
      <c r="N361" s="2">
        <f t="shared" si="941"/>
        <v>0</v>
      </c>
      <c r="O361" s="2"/>
      <c r="P361" s="61" t="str">
        <f t="shared" si="951"/>
        <v>E361*     "</v>
      </c>
      <c r="Q361" s="61"/>
      <c r="R361" s="14">
        <f t="shared" si="952"/>
        <v>0</v>
      </c>
      <c r="S361" s="14">
        <f t="shared" si="952"/>
        <v>0</v>
      </c>
      <c r="T361" s="14">
        <f t="shared" si="952"/>
        <v>0.13</v>
      </c>
      <c r="U361" s="14">
        <f t="shared" si="952"/>
        <v>0.87</v>
      </c>
      <c r="V361" s="14">
        <f t="shared" si="952"/>
        <v>0</v>
      </c>
      <c r="W361" s="14">
        <f t="shared" si="952"/>
        <v>0</v>
      </c>
      <c r="X361" s="14">
        <f t="shared" si="952"/>
        <v>0</v>
      </c>
      <c r="Y361" s="14">
        <f t="shared" si="952"/>
        <v>0</v>
      </c>
      <c r="Z361" s="14">
        <f t="shared" si="952"/>
        <v>0</v>
      </c>
      <c r="AA361" s="14">
        <f t="shared" si="952"/>
        <v>0</v>
      </c>
      <c r="AB361" s="14">
        <f t="shared" si="952"/>
        <v>0</v>
      </c>
      <c r="AC361" s="14">
        <f t="shared" si="952"/>
        <v>0</v>
      </c>
      <c r="AD361" s="14">
        <f t="shared" si="952"/>
        <v>0</v>
      </c>
      <c r="AE361" s="14">
        <f t="shared" si="952"/>
        <v>0</v>
      </c>
      <c r="AF361" s="14">
        <f t="shared" si="952"/>
        <v>0</v>
      </c>
      <c r="AG361" s="14">
        <f t="shared" si="952"/>
        <v>0</v>
      </c>
      <c r="AH361" s="14">
        <f t="shared" si="952"/>
        <v>0</v>
      </c>
      <c r="AI361" s="76">
        <f t="shared" si="935"/>
        <v>0</v>
      </c>
      <c r="AK361" s="2">
        <f t="shared" si="943"/>
        <v>54000</v>
      </c>
      <c r="AL361" s="2">
        <f t="shared" si="944"/>
        <v>54000</v>
      </c>
      <c r="AM361" s="2">
        <f t="shared" si="944"/>
        <v>0</v>
      </c>
      <c r="AN361" s="2">
        <f t="shared" si="944"/>
        <v>0</v>
      </c>
      <c r="AO361" s="2">
        <f t="shared" si="944"/>
        <v>0</v>
      </c>
      <c r="AP361" s="2"/>
      <c r="AQ361" s="61" t="str">
        <f t="shared" si="953"/>
        <v>E361*      "</v>
      </c>
      <c r="AS361" s="2">
        <f t="shared" si="945"/>
        <v>54000.000000000015</v>
      </c>
      <c r="AT361" s="2">
        <f t="shared" si="946"/>
        <v>38552.870385103706</v>
      </c>
      <c r="AU361" s="2">
        <f t="shared" si="946"/>
        <v>14377.536056241606</v>
      </c>
      <c r="AV361" s="2">
        <f t="shared" si="946"/>
        <v>0</v>
      </c>
      <c r="AW361" s="2">
        <f t="shared" si="946"/>
        <v>391.49999392438281</v>
      </c>
      <c r="AX361" s="2">
        <f t="shared" si="946"/>
        <v>678.0935647303113</v>
      </c>
      <c r="AY361" s="2">
        <f t="shared" si="946"/>
        <v>0</v>
      </c>
      <c r="BA361" s="2">
        <f t="shared" si="947"/>
        <v>0</v>
      </c>
      <c r="BB361" s="2">
        <f t="shared" si="948"/>
        <v>0</v>
      </c>
      <c r="BC361" s="2">
        <f t="shared" si="948"/>
        <v>0</v>
      </c>
      <c r="BD361" s="2">
        <f t="shared" si="948"/>
        <v>0</v>
      </c>
      <c r="BE361" s="2">
        <f t="shared" si="948"/>
        <v>0</v>
      </c>
      <c r="BF361" s="2">
        <f t="shared" si="948"/>
        <v>0</v>
      </c>
      <c r="BG361" s="2">
        <f t="shared" si="948"/>
        <v>0</v>
      </c>
      <c r="BI361" s="2">
        <f t="shared" si="949"/>
        <v>0</v>
      </c>
      <c r="BJ361" s="2">
        <f t="shared" si="950"/>
        <v>0</v>
      </c>
      <c r="BK361" s="2">
        <f t="shared" si="950"/>
        <v>0</v>
      </c>
      <c r="BL361" s="2">
        <f t="shared" si="950"/>
        <v>0</v>
      </c>
      <c r="BM361" s="2">
        <f t="shared" si="950"/>
        <v>0</v>
      </c>
      <c r="BN361" s="2">
        <f t="shared" si="950"/>
        <v>0</v>
      </c>
      <c r="BO361" s="2">
        <f t="shared" si="950"/>
        <v>0</v>
      </c>
      <c r="CK361" s="112"/>
    </row>
    <row r="362" spans="1:89">
      <c r="A362" s="50">
        <f t="shared" si="876"/>
        <v>362</v>
      </c>
      <c r="B362" s="51">
        <v>356</v>
      </c>
      <c r="C362" s="36" t="s">
        <v>394</v>
      </c>
      <c r="D362" s="28" t="s">
        <v>364</v>
      </c>
      <c r="E362" s="369">
        <f>PROFORMA!AY174</f>
        <v>1000</v>
      </c>
      <c r="F362" s="60" t="str">
        <f t="shared" si="939"/>
        <v>as Transm Plant (24)</v>
      </c>
      <c r="G362" s="60"/>
      <c r="H362" s="2">
        <f t="shared" si="940"/>
        <v>1000.0000000000001</v>
      </c>
      <c r="I362" s="2">
        <f t="shared" si="941"/>
        <v>713.94204416858713</v>
      </c>
      <c r="J362" s="2">
        <f t="shared" si="941"/>
        <v>266.2506677081779</v>
      </c>
      <c r="K362" s="2">
        <f t="shared" si="941"/>
        <v>0</v>
      </c>
      <c r="L362" s="2">
        <f t="shared" si="941"/>
        <v>7.2499998874885705</v>
      </c>
      <c r="M362" s="2">
        <f t="shared" si="941"/>
        <v>12.557288235746505</v>
      </c>
      <c r="N362" s="2">
        <f t="shared" si="941"/>
        <v>0</v>
      </c>
      <c r="O362" s="2"/>
      <c r="P362" s="61" t="str">
        <f t="shared" si="951"/>
        <v>E362*     "</v>
      </c>
      <c r="Q362" s="61"/>
      <c r="R362" s="14">
        <f t="shared" si="952"/>
        <v>0</v>
      </c>
      <c r="S362" s="14">
        <f t="shared" si="952"/>
        <v>0</v>
      </c>
      <c r="T362" s="14">
        <f t="shared" si="952"/>
        <v>0.13</v>
      </c>
      <c r="U362" s="14">
        <f t="shared" si="952"/>
        <v>0.87</v>
      </c>
      <c r="V362" s="14">
        <f t="shared" si="952"/>
        <v>0</v>
      </c>
      <c r="W362" s="14">
        <f t="shared" si="952"/>
        <v>0</v>
      </c>
      <c r="X362" s="14">
        <f t="shared" si="952"/>
        <v>0</v>
      </c>
      <c r="Y362" s="14">
        <f t="shared" si="952"/>
        <v>0</v>
      </c>
      <c r="Z362" s="14">
        <f t="shared" si="952"/>
        <v>0</v>
      </c>
      <c r="AA362" s="14">
        <f t="shared" si="952"/>
        <v>0</v>
      </c>
      <c r="AB362" s="14">
        <f t="shared" si="952"/>
        <v>0</v>
      </c>
      <c r="AC362" s="14">
        <f t="shared" si="952"/>
        <v>0</v>
      </c>
      <c r="AD362" s="14">
        <f t="shared" si="952"/>
        <v>0</v>
      </c>
      <c r="AE362" s="14">
        <f t="shared" si="952"/>
        <v>0</v>
      </c>
      <c r="AF362" s="14">
        <f t="shared" si="952"/>
        <v>0</v>
      </c>
      <c r="AG362" s="14">
        <f t="shared" si="952"/>
        <v>0</v>
      </c>
      <c r="AH362" s="14">
        <f t="shared" si="952"/>
        <v>0</v>
      </c>
      <c r="AI362" s="76">
        <f t="shared" si="935"/>
        <v>0</v>
      </c>
      <c r="AK362" s="2">
        <f t="shared" si="943"/>
        <v>1000</v>
      </c>
      <c r="AL362" s="2">
        <f t="shared" si="944"/>
        <v>1000</v>
      </c>
      <c r="AM362" s="2">
        <f t="shared" si="944"/>
        <v>0</v>
      </c>
      <c r="AN362" s="2">
        <f t="shared" si="944"/>
        <v>0</v>
      </c>
      <c r="AO362" s="2">
        <f t="shared" si="944"/>
        <v>0</v>
      </c>
      <c r="AP362" s="2"/>
      <c r="AQ362" s="61" t="str">
        <f t="shared" si="953"/>
        <v>E362*      "</v>
      </c>
      <c r="AS362" s="2">
        <f t="shared" si="945"/>
        <v>1000.0000000000001</v>
      </c>
      <c r="AT362" s="2">
        <f t="shared" si="946"/>
        <v>713.94204416858713</v>
      </c>
      <c r="AU362" s="2">
        <f t="shared" si="946"/>
        <v>266.2506677081779</v>
      </c>
      <c r="AV362" s="2">
        <f t="shared" si="946"/>
        <v>0</v>
      </c>
      <c r="AW362" s="2">
        <f t="shared" si="946"/>
        <v>7.2499998874885705</v>
      </c>
      <c r="AX362" s="2">
        <f t="shared" si="946"/>
        <v>12.557288235746505</v>
      </c>
      <c r="AY362" s="2">
        <f t="shared" si="946"/>
        <v>0</v>
      </c>
      <c r="BA362" s="2">
        <f t="shared" si="947"/>
        <v>0</v>
      </c>
      <c r="BB362" s="2">
        <f t="shared" si="948"/>
        <v>0</v>
      </c>
      <c r="BC362" s="2">
        <f t="shared" si="948"/>
        <v>0</v>
      </c>
      <c r="BD362" s="2">
        <f t="shared" si="948"/>
        <v>0</v>
      </c>
      <c r="BE362" s="2">
        <f t="shared" si="948"/>
        <v>0</v>
      </c>
      <c r="BF362" s="2">
        <f t="shared" si="948"/>
        <v>0</v>
      </c>
      <c r="BG362" s="2">
        <f t="shared" si="948"/>
        <v>0</v>
      </c>
      <c r="BI362" s="2">
        <f t="shared" si="949"/>
        <v>0</v>
      </c>
      <c r="BJ362" s="2">
        <f t="shared" si="950"/>
        <v>0</v>
      </c>
      <c r="BK362" s="2">
        <f t="shared" si="950"/>
        <v>0</v>
      </c>
      <c r="BL362" s="2">
        <f t="shared" si="950"/>
        <v>0</v>
      </c>
      <c r="BM362" s="2">
        <f t="shared" si="950"/>
        <v>0</v>
      </c>
      <c r="BN362" s="2">
        <f t="shared" si="950"/>
        <v>0</v>
      </c>
      <c r="BO362" s="2">
        <f t="shared" si="950"/>
        <v>0</v>
      </c>
      <c r="CK362" s="112"/>
    </row>
    <row r="363" spans="1:89">
      <c r="A363" s="50">
        <f t="shared" si="876"/>
        <v>363</v>
      </c>
      <c r="B363" s="51">
        <v>357</v>
      </c>
      <c r="C363" s="36" t="s">
        <v>394</v>
      </c>
      <c r="D363" s="28" t="s">
        <v>365</v>
      </c>
      <c r="E363" s="369">
        <f>PROFORMA!AY175</f>
        <v>38000</v>
      </c>
      <c r="F363" s="60" t="str">
        <f t="shared" si="939"/>
        <v>as Transm Plant (24)</v>
      </c>
      <c r="G363" s="60"/>
      <c r="H363" s="2">
        <f t="shared" si="940"/>
        <v>38000.000000000007</v>
      </c>
      <c r="I363" s="2">
        <f t="shared" si="941"/>
        <v>27129.79767840631</v>
      </c>
      <c r="J363" s="2">
        <f t="shared" si="941"/>
        <v>10117.525372910761</v>
      </c>
      <c r="K363" s="2">
        <f t="shared" si="941"/>
        <v>0</v>
      </c>
      <c r="L363" s="2">
        <f t="shared" si="941"/>
        <v>275.49999572456568</v>
      </c>
      <c r="M363" s="2">
        <f t="shared" si="941"/>
        <v>477.17695295836722</v>
      </c>
      <c r="N363" s="2">
        <f t="shared" si="941"/>
        <v>0</v>
      </c>
      <c r="O363" s="2"/>
      <c r="P363" s="61" t="str">
        <f t="shared" si="951"/>
        <v>E363*     "</v>
      </c>
      <c r="Q363" s="61"/>
      <c r="R363" s="14">
        <f t="shared" si="952"/>
        <v>0</v>
      </c>
      <c r="S363" s="14">
        <f t="shared" si="952"/>
        <v>0</v>
      </c>
      <c r="T363" s="14">
        <f t="shared" si="952"/>
        <v>0.13</v>
      </c>
      <c r="U363" s="14">
        <f t="shared" si="952"/>
        <v>0.87</v>
      </c>
      <c r="V363" s="14">
        <f t="shared" si="952"/>
        <v>0</v>
      </c>
      <c r="W363" s="14">
        <f t="shared" si="952"/>
        <v>0</v>
      </c>
      <c r="X363" s="14">
        <f t="shared" si="952"/>
        <v>0</v>
      </c>
      <c r="Y363" s="14">
        <f t="shared" si="952"/>
        <v>0</v>
      </c>
      <c r="Z363" s="14">
        <f t="shared" si="952"/>
        <v>0</v>
      </c>
      <c r="AA363" s="14">
        <f t="shared" si="952"/>
        <v>0</v>
      </c>
      <c r="AB363" s="14">
        <f t="shared" si="952"/>
        <v>0</v>
      </c>
      <c r="AC363" s="14">
        <f t="shared" si="952"/>
        <v>0</v>
      </c>
      <c r="AD363" s="14">
        <f t="shared" si="952"/>
        <v>0</v>
      </c>
      <c r="AE363" s="14">
        <f t="shared" si="952"/>
        <v>0</v>
      </c>
      <c r="AF363" s="14">
        <f t="shared" si="952"/>
        <v>0</v>
      </c>
      <c r="AG363" s="14">
        <f t="shared" si="952"/>
        <v>0</v>
      </c>
      <c r="AH363" s="14">
        <f t="shared" si="952"/>
        <v>0</v>
      </c>
      <c r="AI363" s="76">
        <f t="shared" si="935"/>
        <v>0</v>
      </c>
      <c r="AK363" s="2">
        <f t="shared" si="943"/>
        <v>38000</v>
      </c>
      <c r="AL363" s="2">
        <f t="shared" si="944"/>
        <v>38000</v>
      </c>
      <c r="AM363" s="2">
        <f t="shared" si="944"/>
        <v>0</v>
      </c>
      <c r="AN363" s="2">
        <f t="shared" si="944"/>
        <v>0</v>
      </c>
      <c r="AO363" s="2">
        <f t="shared" si="944"/>
        <v>0</v>
      </c>
      <c r="AP363" s="2"/>
      <c r="AQ363" s="61" t="str">
        <f t="shared" si="953"/>
        <v>E363*      "</v>
      </c>
      <c r="AS363" s="2">
        <f t="shared" si="945"/>
        <v>38000.000000000007</v>
      </c>
      <c r="AT363" s="2">
        <f t="shared" si="946"/>
        <v>27129.79767840631</v>
      </c>
      <c r="AU363" s="2">
        <f t="shared" si="946"/>
        <v>10117.525372910761</v>
      </c>
      <c r="AV363" s="2">
        <f t="shared" si="946"/>
        <v>0</v>
      </c>
      <c r="AW363" s="2">
        <f t="shared" si="946"/>
        <v>275.49999572456568</v>
      </c>
      <c r="AX363" s="2">
        <f t="shared" si="946"/>
        <v>477.17695295836722</v>
      </c>
      <c r="AY363" s="2">
        <f t="shared" si="946"/>
        <v>0</v>
      </c>
      <c r="BA363" s="2">
        <f t="shared" si="947"/>
        <v>0</v>
      </c>
      <c r="BB363" s="2">
        <f t="shared" si="948"/>
        <v>0</v>
      </c>
      <c r="BC363" s="2">
        <f t="shared" si="948"/>
        <v>0</v>
      </c>
      <c r="BD363" s="2">
        <f t="shared" si="948"/>
        <v>0</v>
      </c>
      <c r="BE363" s="2">
        <f t="shared" si="948"/>
        <v>0</v>
      </c>
      <c r="BF363" s="2">
        <f t="shared" si="948"/>
        <v>0</v>
      </c>
      <c r="BG363" s="2">
        <f t="shared" si="948"/>
        <v>0</v>
      </c>
      <c r="BI363" s="2">
        <f t="shared" si="949"/>
        <v>0</v>
      </c>
      <c r="BJ363" s="2">
        <f t="shared" si="950"/>
        <v>0</v>
      </c>
      <c r="BK363" s="2">
        <f t="shared" si="950"/>
        <v>0</v>
      </c>
      <c r="BL363" s="2">
        <f t="shared" si="950"/>
        <v>0</v>
      </c>
      <c r="BM363" s="2">
        <f t="shared" si="950"/>
        <v>0</v>
      </c>
      <c r="BN363" s="2">
        <f t="shared" si="950"/>
        <v>0</v>
      </c>
      <c r="BO363" s="2">
        <f t="shared" si="950"/>
        <v>0</v>
      </c>
      <c r="CK363" s="112"/>
    </row>
    <row r="364" spans="1:89">
      <c r="A364" s="50">
        <f t="shared" si="876"/>
        <v>364</v>
      </c>
      <c r="B364" s="51"/>
      <c r="D364" s="52" t="s">
        <v>222</v>
      </c>
      <c r="E364" s="4">
        <f>SUM(E355:E363)</f>
        <v>565000</v>
      </c>
      <c r="F364" s="60"/>
      <c r="G364" s="60"/>
      <c r="H364" s="4">
        <f>IF(ROUND(SUM(H355:H363),3)&lt;&gt;ROUND(SUM(I364:N364),3),#VALUE!,SUM(H355:H363))</f>
        <v>565000</v>
      </c>
      <c r="I364" s="4">
        <f t="shared" ref="I364:N364" si="954">SUM(I355:I363)</f>
        <v>403377.2549552517</v>
      </c>
      <c r="J364" s="4">
        <f t="shared" si="954"/>
        <v>150431.62725512049</v>
      </c>
      <c r="K364" s="4">
        <f t="shared" si="954"/>
        <v>0</v>
      </c>
      <c r="L364" s="4">
        <f t="shared" si="954"/>
        <v>4096.2499364310424</v>
      </c>
      <c r="M364" s="4">
        <f t="shared" si="954"/>
        <v>7094.8678531967753</v>
      </c>
      <c r="N364" s="4">
        <f t="shared" si="954"/>
        <v>0</v>
      </c>
      <c r="O364" s="5"/>
      <c r="P364" s="61" t="str">
        <f>$A355&amp;":"&amp;A363</f>
        <v>355:363</v>
      </c>
      <c r="Q364" s="61"/>
      <c r="R364" s="16">
        <f t="shared" ref="R364:AH364" si="955">SUMPRODUCT($E$356:$E$363,R$356:R$363)/$E364</f>
        <v>0</v>
      </c>
      <c r="S364" s="16">
        <f t="shared" si="955"/>
        <v>0</v>
      </c>
      <c r="T364" s="16">
        <f t="shared" si="955"/>
        <v>0.13</v>
      </c>
      <c r="U364" s="16">
        <f t="shared" si="955"/>
        <v>0.87</v>
      </c>
      <c r="V364" s="16">
        <f t="shared" si="955"/>
        <v>0</v>
      </c>
      <c r="W364" s="16">
        <f t="shared" si="955"/>
        <v>0</v>
      </c>
      <c r="X364" s="16">
        <f t="shared" si="955"/>
        <v>0</v>
      </c>
      <c r="Y364" s="16">
        <f t="shared" si="955"/>
        <v>0</v>
      </c>
      <c r="Z364" s="16">
        <f t="shared" si="955"/>
        <v>0</v>
      </c>
      <c r="AA364" s="16">
        <f t="shared" si="955"/>
        <v>0</v>
      </c>
      <c r="AB364" s="16">
        <f t="shared" si="955"/>
        <v>0</v>
      </c>
      <c r="AC364" s="16">
        <f t="shared" si="955"/>
        <v>0</v>
      </c>
      <c r="AD364" s="16">
        <f t="shared" si="955"/>
        <v>0</v>
      </c>
      <c r="AE364" s="16">
        <f t="shared" si="955"/>
        <v>0</v>
      </c>
      <c r="AF364" s="16">
        <f t="shared" si="955"/>
        <v>0</v>
      </c>
      <c r="AG364" s="16">
        <f t="shared" si="955"/>
        <v>0</v>
      </c>
      <c r="AH364" s="16">
        <f t="shared" si="955"/>
        <v>0</v>
      </c>
      <c r="AI364" s="76">
        <f t="shared" si="935"/>
        <v>0</v>
      </c>
      <c r="AK364" s="4">
        <f>IF(ROUND(SUM(AK355:AK363),3)&lt;&gt;ROUND(SUM(AL364:AO364),3),#VALUE!,SUM(AK355:AK363))</f>
        <v>565000</v>
      </c>
      <c r="AL364" s="4">
        <f>SUM(AL355:AL363)</f>
        <v>565000</v>
      </c>
      <c r="AM364" s="4">
        <f>SUM(AM355:AM363)</f>
        <v>0</v>
      </c>
      <c r="AN364" s="4">
        <f>SUM(AN355:AN363)</f>
        <v>0</v>
      </c>
      <c r="AO364" s="4">
        <f>SUM(AO355:AO363)</f>
        <v>0</v>
      </c>
      <c r="AP364" s="5"/>
      <c r="AQ364" s="61" t="str">
        <f>$A355&amp;":"&amp;A363</f>
        <v>355:363</v>
      </c>
      <c r="AS364" s="4">
        <f>IF(ROUND(SUM(AS355:AS363),3)&lt;&gt;ROUND(SUM(AT364:AY364),3),#VALUE!,SUM(AS355:AS363))</f>
        <v>565000</v>
      </c>
      <c r="AT364" s="4">
        <f t="shared" ref="AT364:AY364" si="956">SUM(AT355:AT363)</f>
        <v>403377.2549552517</v>
      </c>
      <c r="AU364" s="4">
        <f t="shared" si="956"/>
        <v>150431.62725512049</v>
      </c>
      <c r="AV364" s="4">
        <f t="shared" si="956"/>
        <v>0</v>
      </c>
      <c r="AW364" s="4">
        <f t="shared" si="956"/>
        <v>4096.2499364310424</v>
      </c>
      <c r="AX364" s="4">
        <f t="shared" si="956"/>
        <v>7094.8678531967753</v>
      </c>
      <c r="AY364" s="4">
        <f t="shared" si="956"/>
        <v>0</v>
      </c>
      <c r="BA364" s="4">
        <f>IF(ROUND(SUM(BA355:BA363),3)&lt;&gt;ROUND(SUM(BB364:BG364),3),#VALUE!,SUM(BA355:BA363))</f>
        <v>0</v>
      </c>
      <c r="BB364" s="4">
        <f t="shared" ref="BB364:BG364" si="957">SUM(BB355:BB363)</f>
        <v>0</v>
      </c>
      <c r="BC364" s="4">
        <f t="shared" si="957"/>
        <v>0</v>
      </c>
      <c r="BD364" s="4">
        <f t="shared" si="957"/>
        <v>0</v>
      </c>
      <c r="BE364" s="4">
        <f t="shared" si="957"/>
        <v>0</v>
      </c>
      <c r="BF364" s="4">
        <f t="shared" si="957"/>
        <v>0</v>
      </c>
      <c r="BG364" s="4">
        <f t="shared" si="957"/>
        <v>0</v>
      </c>
      <c r="BI364" s="4">
        <f>IF(ROUND(SUM(BI355:BI363),3)&lt;&gt;ROUND(SUM(BJ364:BO364),3),#VALUE!,SUM(BI355:BI363))</f>
        <v>0</v>
      </c>
      <c r="BJ364" s="4">
        <f t="shared" ref="BJ364:BO364" si="958">SUM(BJ355:BJ363)</f>
        <v>0</v>
      </c>
      <c r="BK364" s="4">
        <f t="shared" si="958"/>
        <v>0</v>
      </c>
      <c r="BL364" s="4">
        <f t="shared" si="958"/>
        <v>0</v>
      </c>
      <c r="BM364" s="4">
        <f t="shared" si="958"/>
        <v>0</v>
      </c>
      <c r="BN364" s="4">
        <f t="shared" si="958"/>
        <v>0</v>
      </c>
      <c r="BO364" s="4">
        <f t="shared" si="958"/>
        <v>0</v>
      </c>
    </row>
    <row r="365" spans="1:89">
      <c r="A365" s="50">
        <f t="shared" si="876"/>
        <v>365</v>
      </c>
      <c r="B365" s="51"/>
      <c r="E365" s="2"/>
      <c r="F365" s="60"/>
      <c r="G365" s="60"/>
      <c r="P365" s="61"/>
      <c r="Q365" s="61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76">
        <f t="shared" si="935"/>
        <v>0</v>
      </c>
      <c r="AQ365" s="61"/>
    </row>
    <row r="366" spans="1:89">
      <c r="A366" s="50">
        <f t="shared" si="876"/>
        <v>366</v>
      </c>
      <c r="B366" s="51"/>
      <c r="D366" t="s">
        <v>70</v>
      </c>
      <c r="E366" s="2"/>
      <c r="F366" s="60"/>
      <c r="G366" s="60"/>
      <c r="P366" s="61"/>
      <c r="Q366" s="61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76">
        <f t="shared" si="935"/>
        <v>0</v>
      </c>
      <c r="AQ366" s="61"/>
    </row>
    <row r="367" spans="1:89">
      <c r="A367" s="50">
        <f t="shared" si="876"/>
        <v>367</v>
      </c>
      <c r="B367" s="51">
        <v>374</v>
      </c>
      <c r="C367" s="36" t="s">
        <v>154</v>
      </c>
      <c r="D367" s="28" t="s">
        <v>358</v>
      </c>
      <c r="E367" s="369">
        <f>PROFORMA!AY187</f>
        <v>8000</v>
      </c>
      <c r="F367" s="60" t="str">
        <f>"as 360 Plant ("&amp;A$27&amp;")"</f>
        <v>as 360 Plant (27)</v>
      </c>
      <c r="G367" s="60"/>
      <c r="H367" s="2">
        <f t="shared" ref="H367:H379" si="959">SUM(I367:N367)</f>
        <v>8000.0000000000009</v>
      </c>
      <c r="I367" s="2">
        <f t="shared" ref="I367:N379" si="960">$E367*SUMPRODUCT($R367:$AH367,INDEX(AllocFactors,I$4,0))</f>
        <v>6005.0414637708864</v>
      </c>
      <c r="J367" s="2">
        <f t="shared" si="960"/>
        <v>1535.9235328080131</v>
      </c>
      <c r="K367" s="2">
        <f t="shared" si="960"/>
        <v>0</v>
      </c>
      <c r="L367" s="2">
        <f t="shared" si="960"/>
        <v>37.912607347240389</v>
      </c>
      <c r="M367" s="2">
        <f t="shared" si="960"/>
        <v>421.12239607386067</v>
      </c>
      <c r="N367" s="2">
        <f t="shared" si="960"/>
        <v>0</v>
      </c>
      <c r="O367" s="2"/>
      <c r="P367" s="61" t="str">
        <f>E$1&amp;$A367&amp;"* Sum["&amp;$R$1&amp;$A367&amp;":"&amp;$AH$1&amp;$A367&amp;"* "&amp;Factors!D$1&amp;Factors!$A$58&amp;":"&amp;Factors!S$1&amp;Factors!$A$64&amp;"]"</f>
        <v>E367* Sum[R367:AH367* D1042:S1048]</v>
      </c>
      <c r="Q367" s="61"/>
      <c r="R367" s="14">
        <f>R$27</f>
        <v>0.1933876764871075</v>
      </c>
      <c r="S367" s="14">
        <f t="shared" ref="S367:AH367" si="961">S$27</f>
        <v>0</v>
      </c>
      <c r="T367" s="14">
        <f t="shared" si="961"/>
        <v>0</v>
      </c>
      <c r="U367" s="14">
        <f t="shared" si="961"/>
        <v>0</v>
      </c>
      <c r="V367" s="14">
        <f t="shared" si="961"/>
        <v>0</v>
      </c>
      <c r="W367" s="14">
        <f t="shared" si="961"/>
        <v>0.31084546333511004</v>
      </c>
      <c r="X367" s="14">
        <f t="shared" si="961"/>
        <v>0</v>
      </c>
      <c r="Y367" s="14">
        <f t="shared" si="961"/>
        <v>0</v>
      </c>
      <c r="Z367" s="14">
        <f t="shared" si="961"/>
        <v>0</v>
      </c>
      <c r="AA367" s="14">
        <f t="shared" si="961"/>
        <v>0</v>
      </c>
      <c r="AB367" s="14">
        <f t="shared" si="961"/>
        <v>0</v>
      </c>
      <c r="AC367" s="14">
        <f t="shared" si="961"/>
        <v>0.3588897282899246</v>
      </c>
      <c r="AD367" s="14">
        <f t="shared" si="961"/>
        <v>0.13220566312906262</v>
      </c>
      <c r="AE367" s="14">
        <f t="shared" si="961"/>
        <v>0</v>
      </c>
      <c r="AF367" s="14">
        <f t="shared" si="961"/>
        <v>4.6714687587951949E-3</v>
      </c>
      <c r="AG367" s="14">
        <f t="shared" si="961"/>
        <v>0</v>
      </c>
      <c r="AH367" s="14">
        <f t="shared" si="961"/>
        <v>0</v>
      </c>
      <c r="AI367" s="76">
        <f t="shared" si="935"/>
        <v>0</v>
      </c>
      <c r="AK367" s="2">
        <f t="shared" ref="AK367:AK379" si="962">SUM(AL367:AO367)</f>
        <v>8000</v>
      </c>
      <c r="AL367" s="2">
        <f t="shared" ref="AL367:AO379" si="963">SUMIF($R$4:$AH$4,AL$5,$R367:$AH367)*$E367</f>
        <v>1547.1014118968601</v>
      </c>
      <c r="AM367" s="2">
        <f t="shared" si="963"/>
        <v>2486.7637066808802</v>
      </c>
      <c r="AN367" s="2">
        <f t="shared" si="963"/>
        <v>3966.1348814222592</v>
      </c>
      <c r="AO367" s="2">
        <f t="shared" si="963"/>
        <v>0</v>
      </c>
      <c r="AP367" s="2"/>
      <c r="AQ367" s="61" t="str">
        <f>E$1&amp;$A367&amp;"*["&amp;R$1&amp;$A367&amp;":"&amp;$AH$1&amp;$A367&amp;" when "&amp;R$1&amp;$A$4&amp;":"&amp;$AH$1&amp;$A$4&amp;" = E,D,C,or R]"</f>
        <v>E367*[R367:AH367 when R4:AH4 = E,D,C,or R]</v>
      </c>
      <c r="AS367" s="2">
        <f t="shared" ref="AS367:AS379" si="964">SUM(AT367:AY367)</f>
        <v>1547.1014118968603</v>
      </c>
      <c r="AT367" s="2">
        <f t="shared" ref="AT367:AY379" si="965">$E367*SUMPRODUCT($R367:$V367,INDEX(AllocFactors_E,AT$4,0))</f>
        <v>888.71466683352867</v>
      </c>
      <c r="AU367" s="2">
        <f t="shared" si="965"/>
        <v>430.5957064838388</v>
      </c>
      <c r="AV367" s="2">
        <f t="shared" si="965"/>
        <v>0</v>
      </c>
      <c r="AW367" s="2">
        <f t="shared" si="965"/>
        <v>17.583185549538069</v>
      </c>
      <c r="AX367" s="2">
        <f t="shared" si="965"/>
        <v>210.20785302995472</v>
      </c>
      <c r="AY367" s="2">
        <f t="shared" si="965"/>
        <v>0</v>
      </c>
      <c r="BA367" s="2">
        <f t="shared" ref="BA367:BA379" si="966">SUM(BB367:BG367)</f>
        <v>2486.7637066808797</v>
      </c>
      <c r="BB367" s="2">
        <f t="shared" ref="BB367:BG379" si="967">$E367*SUMPRODUCT($W367:$AA367,INDEX(AllocFactors_D,BB$4,0))</f>
        <v>1405.8955199014217</v>
      </c>
      <c r="BC367" s="2">
        <f t="shared" si="967"/>
        <v>867.6509153804418</v>
      </c>
      <c r="BD367" s="2">
        <f t="shared" si="967"/>
        <v>0</v>
      </c>
      <c r="BE367" s="2">
        <f t="shared" si="967"/>
        <v>18.694992128762092</v>
      </c>
      <c r="BF367" s="2">
        <f t="shared" si="967"/>
        <v>194.52227927025433</v>
      </c>
      <c r="BG367" s="2">
        <f t="shared" si="967"/>
        <v>0</v>
      </c>
      <c r="BI367" s="2">
        <f t="shared" ref="BI367:BI379" si="968">SUM(BJ367:BO367)</f>
        <v>3966.1348814222597</v>
      </c>
      <c r="BJ367" s="2">
        <f t="shared" ref="BJ367:BO379" si="969">$E367*SUMPRODUCT($AB367:$AG367,INDEX(AllocFactors_C,BJ$4,0))</f>
        <v>3710.4312770359352</v>
      </c>
      <c r="BK367" s="2">
        <f t="shared" si="969"/>
        <v>237.67691094373254</v>
      </c>
      <c r="BL367" s="2">
        <f t="shared" si="969"/>
        <v>0</v>
      </c>
      <c r="BM367" s="2">
        <f t="shared" si="969"/>
        <v>1.6344296689402307</v>
      </c>
      <c r="BN367" s="2">
        <f t="shared" si="969"/>
        <v>16.392263773651646</v>
      </c>
      <c r="BO367" s="2">
        <f t="shared" si="969"/>
        <v>0</v>
      </c>
      <c r="CK367" s="112"/>
    </row>
    <row r="368" spans="1:89">
      <c r="A368" s="50">
        <f t="shared" si="876"/>
        <v>368</v>
      </c>
      <c r="B368" s="51">
        <v>375</v>
      </c>
      <c r="C368" s="36" t="s">
        <v>154</v>
      </c>
      <c r="D368" s="28" t="s">
        <v>359</v>
      </c>
      <c r="E368" s="369">
        <f>PROFORMA!AY188</f>
        <v>20000</v>
      </c>
      <c r="F368" s="60" t="str">
        <f>"as 361 Plant ("&amp;A$28&amp;")"</f>
        <v>as 361 Plant (28)</v>
      </c>
      <c r="G368" s="60"/>
      <c r="H368" s="2">
        <f t="shared" si="959"/>
        <v>20000</v>
      </c>
      <c r="I368" s="2">
        <f t="shared" si="960"/>
        <v>15012.603659427215</v>
      </c>
      <c r="J368" s="2">
        <f t="shared" si="960"/>
        <v>3839.8088320200332</v>
      </c>
      <c r="K368" s="2">
        <f t="shared" si="960"/>
        <v>0</v>
      </c>
      <c r="L368" s="2">
        <f t="shared" si="960"/>
        <v>94.781518368100976</v>
      </c>
      <c r="M368" s="2">
        <f t="shared" si="960"/>
        <v>1052.8059901846516</v>
      </c>
      <c r="N368" s="2">
        <f t="shared" si="960"/>
        <v>0</v>
      </c>
      <c r="O368" s="2"/>
      <c r="P368" s="61" t="str">
        <f t="shared" ref="P368:P379" si="970">E$1&amp;$A368&amp;"*     """</f>
        <v>E368*     "</v>
      </c>
      <c r="Q368" s="61"/>
      <c r="R368" s="14">
        <f>R$28</f>
        <v>0.1933876764871075</v>
      </c>
      <c r="S368" s="14">
        <f t="shared" ref="S368:AH368" si="971">S$28</f>
        <v>0</v>
      </c>
      <c r="T368" s="14">
        <f t="shared" si="971"/>
        <v>0</v>
      </c>
      <c r="U368" s="14">
        <f t="shared" si="971"/>
        <v>0</v>
      </c>
      <c r="V368" s="14">
        <f t="shared" si="971"/>
        <v>0</v>
      </c>
      <c r="W368" s="14">
        <f t="shared" si="971"/>
        <v>0.31084546333511004</v>
      </c>
      <c r="X368" s="14">
        <f t="shared" si="971"/>
        <v>0</v>
      </c>
      <c r="Y368" s="14">
        <f t="shared" si="971"/>
        <v>0</v>
      </c>
      <c r="Z368" s="14">
        <f t="shared" si="971"/>
        <v>0</v>
      </c>
      <c r="AA368" s="14">
        <f t="shared" si="971"/>
        <v>0</v>
      </c>
      <c r="AB368" s="14">
        <f t="shared" si="971"/>
        <v>0</v>
      </c>
      <c r="AC368" s="14">
        <f t="shared" si="971"/>
        <v>0.3588897282899246</v>
      </c>
      <c r="AD368" s="14">
        <f t="shared" si="971"/>
        <v>0.13220566312906262</v>
      </c>
      <c r="AE368" s="14">
        <f t="shared" si="971"/>
        <v>0</v>
      </c>
      <c r="AF368" s="14">
        <f t="shared" si="971"/>
        <v>4.6714687587951949E-3</v>
      </c>
      <c r="AG368" s="14">
        <f t="shared" si="971"/>
        <v>0</v>
      </c>
      <c r="AH368" s="14">
        <f t="shared" si="971"/>
        <v>0</v>
      </c>
      <c r="AI368" s="76">
        <f t="shared" si="935"/>
        <v>0</v>
      </c>
      <c r="AK368" s="2">
        <f t="shared" si="962"/>
        <v>20000</v>
      </c>
      <c r="AL368" s="2">
        <f t="shared" si="963"/>
        <v>3867.75352974215</v>
      </c>
      <c r="AM368" s="2">
        <f t="shared" si="963"/>
        <v>6216.9092667022005</v>
      </c>
      <c r="AN368" s="2">
        <f t="shared" si="963"/>
        <v>9915.3372035556495</v>
      </c>
      <c r="AO368" s="2">
        <f t="shared" si="963"/>
        <v>0</v>
      </c>
      <c r="AP368" s="2"/>
      <c r="AQ368" s="61" t="str">
        <f t="shared" ref="AQ368:AQ379" si="972">E$1&amp;$A368&amp;"*      """</f>
        <v>E368*      "</v>
      </c>
      <c r="AS368" s="2">
        <f t="shared" si="964"/>
        <v>3867.75352974215</v>
      </c>
      <c r="AT368" s="2">
        <f t="shared" si="965"/>
        <v>2221.7866670838216</v>
      </c>
      <c r="AU368" s="2">
        <f t="shared" si="965"/>
        <v>1076.489266209597</v>
      </c>
      <c r="AV368" s="2">
        <f t="shared" si="965"/>
        <v>0</v>
      </c>
      <c r="AW368" s="2">
        <f t="shared" si="965"/>
        <v>43.957963873845173</v>
      </c>
      <c r="AX368" s="2">
        <f t="shared" si="965"/>
        <v>525.51963257488683</v>
      </c>
      <c r="AY368" s="2">
        <f t="shared" si="965"/>
        <v>0</v>
      </c>
      <c r="BA368" s="2">
        <f t="shared" si="966"/>
        <v>6216.9092667021996</v>
      </c>
      <c r="BB368" s="2">
        <f t="shared" si="967"/>
        <v>3514.7387997535543</v>
      </c>
      <c r="BC368" s="2">
        <f t="shared" si="967"/>
        <v>2169.1272884511045</v>
      </c>
      <c r="BD368" s="2">
        <f t="shared" si="967"/>
        <v>0</v>
      </c>
      <c r="BE368" s="2">
        <f t="shared" si="967"/>
        <v>46.737480321905231</v>
      </c>
      <c r="BF368" s="2">
        <f t="shared" si="967"/>
        <v>486.30569817563583</v>
      </c>
      <c r="BG368" s="2">
        <f t="shared" si="967"/>
        <v>0</v>
      </c>
      <c r="BI368" s="2">
        <f t="shared" si="968"/>
        <v>9915.3372035556495</v>
      </c>
      <c r="BJ368" s="2">
        <f t="shared" si="969"/>
        <v>9276.0781925898391</v>
      </c>
      <c r="BK368" s="2">
        <f t="shared" si="969"/>
        <v>594.19227735933134</v>
      </c>
      <c r="BL368" s="2">
        <f t="shared" si="969"/>
        <v>0</v>
      </c>
      <c r="BM368" s="2">
        <f t="shared" si="969"/>
        <v>4.0860741723505765</v>
      </c>
      <c r="BN368" s="2">
        <f t="shared" si="969"/>
        <v>40.980659434129116</v>
      </c>
      <c r="BO368" s="2">
        <f t="shared" si="969"/>
        <v>0</v>
      </c>
      <c r="CK368" s="112"/>
    </row>
    <row r="369" spans="1:89">
      <c r="A369" s="50">
        <f t="shared" si="876"/>
        <v>369</v>
      </c>
      <c r="B369" s="51" t="s">
        <v>988</v>
      </c>
      <c r="C369" s="36" t="s">
        <v>154</v>
      </c>
      <c r="D369" s="28" t="s">
        <v>366</v>
      </c>
      <c r="E369" s="369">
        <f>PROFORMA!AY189+PROFORMA!AY190</f>
        <v>8012000</v>
      </c>
      <c r="F369" s="60" t="str">
        <f>"as 362 Plant ("&amp;A$29&amp;")"</f>
        <v>as 362 Plant (29)</v>
      </c>
      <c r="G369" s="60"/>
      <c r="H369" s="2">
        <f t="shared" si="959"/>
        <v>8012000</v>
      </c>
      <c r="I369" s="2">
        <f t="shared" si="960"/>
        <v>4557518.9739121459</v>
      </c>
      <c r="J369" s="2">
        <f t="shared" si="960"/>
        <v>2578557.1972827869</v>
      </c>
      <c r="K369" s="2">
        <f t="shared" si="960"/>
        <v>0</v>
      </c>
      <c r="L369" s="2">
        <f t="shared" si="960"/>
        <v>72055.150832862273</v>
      </c>
      <c r="M369" s="2">
        <f t="shared" si="960"/>
        <v>803868.6779722037</v>
      </c>
      <c r="N369" s="2">
        <f t="shared" si="960"/>
        <v>0</v>
      </c>
      <c r="O369" s="2"/>
      <c r="P369" s="61" t="str">
        <f t="shared" si="970"/>
        <v>E369*     "</v>
      </c>
      <c r="Q369" s="61"/>
      <c r="R369" s="14">
        <f>R$29</f>
        <v>0.38352829517570403</v>
      </c>
      <c r="S369" s="14">
        <f t="shared" ref="S369:AH369" si="973">S$29</f>
        <v>0</v>
      </c>
      <c r="T369" s="14">
        <f t="shared" si="973"/>
        <v>0</v>
      </c>
      <c r="U369" s="14">
        <f t="shared" si="973"/>
        <v>0</v>
      </c>
      <c r="V369" s="14">
        <f t="shared" si="973"/>
        <v>0</v>
      </c>
      <c r="W369" s="14">
        <f t="shared" si="973"/>
        <v>0.61647170482429592</v>
      </c>
      <c r="X369" s="14">
        <f t="shared" si="973"/>
        <v>0</v>
      </c>
      <c r="Y369" s="14">
        <f t="shared" si="973"/>
        <v>0</v>
      </c>
      <c r="Z369" s="14">
        <f t="shared" si="973"/>
        <v>0</v>
      </c>
      <c r="AA369" s="14">
        <f t="shared" si="973"/>
        <v>0</v>
      </c>
      <c r="AB369" s="14">
        <f t="shared" si="973"/>
        <v>0</v>
      </c>
      <c r="AC369" s="14">
        <f t="shared" si="973"/>
        <v>0</v>
      </c>
      <c r="AD369" s="14">
        <f t="shared" si="973"/>
        <v>0</v>
      </c>
      <c r="AE369" s="14">
        <f t="shared" si="973"/>
        <v>0</v>
      </c>
      <c r="AF369" s="14">
        <f t="shared" si="973"/>
        <v>0</v>
      </c>
      <c r="AG369" s="14">
        <f t="shared" si="973"/>
        <v>0</v>
      </c>
      <c r="AH369" s="14">
        <f t="shared" si="973"/>
        <v>0</v>
      </c>
      <c r="AI369" s="76">
        <f t="shared" si="935"/>
        <v>0</v>
      </c>
      <c r="AK369" s="2">
        <f t="shared" si="962"/>
        <v>8012000</v>
      </c>
      <c r="AL369" s="2">
        <f t="shared" si="963"/>
        <v>3072828.7009477406</v>
      </c>
      <c r="AM369" s="2">
        <f t="shared" si="963"/>
        <v>4939171.299052259</v>
      </c>
      <c r="AN369" s="2">
        <f t="shared" si="963"/>
        <v>0</v>
      </c>
      <c r="AO369" s="2">
        <f t="shared" si="963"/>
        <v>0</v>
      </c>
      <c r="AP369" s="2"/>
      <c r="AQ369" s="61" t="str">
        <f t="shared" si="972"/>
        <v>E369*      "</v>
      </c>
      <c r="AS369" s="2">
        <f t="shared" si="964"/>
        <v>3072828.7009477406</v>
      </c>
      <c r="AT369" s="2">
        <f t="shared" si="965"/>
        <v>1765151.213876168</v>
      </c>
      <c r="AU369" s="2">
        <f t="shared" si="965"/>
        <v>855242.47810370335</v>
      </c>
      <c r="AV369" s="2">
        <f t="shared" si="965"/>
        <v>0</v>
      </c>
      <c r="AW369" s="2">
        <f t="shared" si="965"/>
        <v>34923.448970591569</v>
      </c>
      <c r="AX369" s="2">
        <f t="shared" si="965"/>
        <v>417511.55999727797</v>
      </c>
      <c r="AY369" s="2">
        <f t="shared" si="965"/>
        <v>0</v>
      </c>
      <c r="BA369" s="2">
        <f t="shared" si="966"/>
        <v>4939171.299052259</v>
      </c>
      <c r="BB369" s="2">
        <f t="shared" si="967"/>
        <v>2792367.7600359786</v>
      </c>
      <c r="BC369" s="2">
        <f t="shared" si="967"/>
        <v>1723314.7191790836</v>
      </c>
      <c r="BD369" s="2">
        <f t="shared" si="967"/>
        <v>0</v>
      </c>
      <c r="BE369" s="2">
        <f t="shared" si="967"/>
        <v>37131.701862270696</v>
      </c>
      <c r="BF369" s="2">
        <f t="shared" si="967"/>
        <v>386357.11797492573</v>
      </c>
      <c r="BG369" s="2">
        <f t="shared" si="967"/>
        <v>0</v>
      </c>
      <c r="BI369" s="2">
        <f t="shared" si="968"/>
        <v>0</v>
      </c>
      <c r="BJ369" s="2">
        <f t="shared" si="969"/>
        <v>0</v>
      </c>
      <c r="BK369" s="2">
        <f t="shared" si="969"/>
        <v>0</v>
      </c>
      <c r="BL369" s="2">
        <f t="shared" si="969"/>
        <v>0</v>
      </c>
      <c r="BM369" s="2">
        <f t="shared" si="969"/>
        <v>0</v>
      </c>
      <c r="BN369" s="2">
        <f t="shared" si="969"/>
        <v>0</v>
      </c>
      <c r="BO369" s="2">
        <f t="shared" si="969"/>
        <v>0</v>
      </c>
      <c r="CK369" s="112"/>
    </row>
    <row r="370" spans="1:89" s="131" customFormat="1">
      <c r="A370" s="130">
        <f t="shared" si="876"/>
        <v>370</v>
      </c>
      <c r="B370" s="367">
        <v>376</v>
      </c>
      <c r="C370" s="132" t="s">
        <v>154</v>
      </c>
      <c r="D370" s="368" t="s">
        <v>366</v>
      </c>
      <c r="E370" s="369"/>
      <c r="F370" s="119" t="str">
        <f>"as 363 Plant ("&amp;A$31&amp;")"</f>
        <v>as 363 Plant (31)</v>
      </c>
      <c r="G370" s="119"/>
      <c r="H370" s="82">
        <f>SUM(I370:N370)</f>
        <v>0</v>
      </c>
      <c r="I370" s="82">
        <f t="shared" si="960"/>
        <v>0</v>
      </c>
      <c r="J370" s="82">
        <f t="shared" si="960"/>
        <v>0</v>
      </c>
      <c r="K370" s="82">
        <f t="shared" si="960"/>
        <v>0</v>
      </c>
      <c r="L370" s="82">
        <f t="shared" si="960"/>
        <v>0</v>
      </c>
      <c r="M370" s="82">
        <f t="shared" si="960"/>
        <v>0</v>
      </c>
      <c r="N370" s="82">
        <f t="shared" si="960"/>
        <v>0</v>
      </c>
      <c r="O370" s="82"/>
      <c r="P370" s="133" t="str">
        <f>E$1&amp;$A370&amp;"*     """</f>
        <v>E370*     "</v>
      </c>
      <c r="Q370" s="133"/>
      <c r="R370" s="108">
        <f>R$30</f>
        <v>0</v>
      </c>
      <c r="S370" s="108">
        <f t="shared" ref="S370:AH370" si="974">S$30</f>
        <v>0</v>
      </c>
      <c r="T370" s="108">
        <f t="shared" si="974"/>
        <v>0</v>
      </c>
      <c r="U370" s="108">
        <f t="shared" si="974"/>
        <v>0</v>
      </c>
      <c r="V370" s="108">
        <f t="shared" si="974"/>
        <v>0</v>
      </c>
      <c r="W370" s="108">
        <f t="shared" si="974"/>
        <v>0</v>
      </c>
      <c r="X370" s="108">
        <f t="shared" si="974"/>
        <v>0</v>
      </c>
      <c r="Y370" s="108">
        <f t="shared" si="974"/>
        <v>0</v>
      </c>
      <c r="Z370" s="108">
        <f t="shared" si="974"/>
        <v>0</v>
      </c>
      <c r="AA370" s="108">
        <f t="shared" si="974"/>
        <v>0</v>
      </c>
      <c r="AB370" s="108">
        <f t="shared" si="974"/>
        <v>0</v>
      </c>
      <c r="AC370" s="108">
        <f t="shared" si="974"/>
        <v>0</v>
      </c>
      <c r="AD370" s="108">
        <f t="shared" si="974"/>
        <v>0</v>
      </c>
      <c r="AE370" s="108">
        <f t="shared" si="974"/>
        <v>0</v>
      </c>
      <c r="AF370" s="108">
        <f t="shared" si="974"/>
        <v>0</v>
      </c>
      <c r="AG370" s="108">
        <f t="shared" si="974"/>
        <v>0</v>
      </c>
      <c r="AH370" s="108">
        <f t="shared" si="974"/>
        <v>0</v>
      </c>
      <c r="AI370" s="134">
        <f t="shared" si="935"/>
        <v>0</v>
      </c>
      <c r="AK370" s="82">
        <f>SUM(AL370:AO370)</f>
        <v>0</v>
      </c>
      <c r="AL370" s="82">
        <f t="shared" si="963"/>
        <v>0</v>
      </c>
      <c r="AM370" s="82">
        <f t="shared" si="963"/>
        <v>0</v>
      </c>
      <c r="AN370" s="82">
        <f t="shared" si="963"/>
        <v>0</v>
      </c>
      <c r="AO370" s="82">
        <f t="shared" si="963"/>
        <v>0</v>
      </c>
      <c r="AP370" s="82"/>
      <c r="AQ370" s="133" t="str">
        <f t="shared" si="972"/>
        <v>E370*      "</v>
      </c>
      <c r="AS370" s="82">
        <f>SUM(AT370:AY370)</f>
        <v>0</v>
      </c>
      <c r="AT370" s="82">
        <f t="shared" si="965"/>
        <v>0</v>
      </c>
      <c r="AU370" s="82">
        <f t="shared" si="965"/>
        <v>0</v>
      </c>
      <c r="AV370" s="82">
        <f t="shared" si="965"/>
        <v>0</v>
      </c>
      <c r="AW370" s="82">
        <f t="shared" si="965"/>
        <v>0</v>
      </c>
      <c r="AX370" s="82">
        <f t="shared" si="965"/>
        <v>0</v>
      </c>
      <c r="AY370" s="82">
        <f t="shared" si="965"/>
        <v>0</v>
      </c>
      <c r="BA370" s="82">
        <f>SUM(BB370:BG370)</f>
        <v>0</v>
      </c>
      <c r="BB370" s="82">
        <f t="shared" si="967"/>
        <v>0</v>
      </c>
      <c r="BC370" s="82">
        <f t="shared" si="967"/>
        <v>0</v>
      </c>
      <c r="BD370" s="82">
        <f t="shared" si="967"/>
        <v>0</v>
      </c>
      <c r="BE370" s="82">
        <f t="shared" si="967"/>
        <v>0</v>
      </c>
      <c r="BF370" s="82">
        <f t="shared" si="967"/>
        <v>0</v>
      </c>
      <c r="BG370" s="82">
        <f t="shared" si="967"/>
        <v>0</v>
      </c>
      <c r="BI370" s="82">
        <f>SUM(BJ370:BO370)</f>
        <v>0</v>
      </c>
      <c r="BJ370" s="82">
        <f t="shared" si="969"/>
        <v>0</v>
      </c>
      <c r="BK370" s="82">
        <f t="shared" si="969"/>
        <v>0</v>
      </c>
      <c r="BL370" s="82">
        <f t="shared" si="969"/>
        <v>0</v>
      </c>
      <c r="BM370" s="82">
        <f t="shared" si="969"/>
        <v>0</v>
      </c>
      <c r="BN370" s="82">
        <f t="shared" si="969"/>
        <v>0</v>
      </c>
      <c r="BO370" s="82">
        <f t="shared" si="969"/>
        <v>0</v>
      </c>
      <c r="CK370" s="377"/>
    </row>
    <row r="371" spans="1:89">
      <c r="A371" s="50">
        <f t="shared" si="876"/>
        <v>371</v>
      </c>
      <c r="B371" s="51">
        <v>378</v>
      </c>
      <c r="C371" s="36" t="s">
        <v>154</v>
      </c>
      <c r="D371" s="28" t="s">
        <v>367</v>
      </c>
      <c r="E371" s="369">
        <f>PROFORMA!AY191</f>
        <v>181000</v>
      </c>
      <c r="F371" s="60" t="str">
        <f>"as 364 Plant ("&amp;A$32&amp;")"</f>
        <v>as 364 Plant (32)</v>
      </c>
      <c r="G371" s="60"/>
      <c r="H371" s="2">
        <f t="shared" si="959"/>
        <v>180999.99999999997</v>
      </c>
      <c r="I371" s="2">
        <f t="shared" si="960"/>
        <v>102959.42764329737</v>
      </c>
      <c r="J371" s="2">
        <f t="shared" si="960"/>
        <v>58252.477871715484</v>
      </c>
      <c r="K371" s="2">
        <f t="shared" si="960"/>
        <v>0</v>
      </c>
      <c r="L371" s="2">
        <f t="shared" si="960"/>
        <v>1627.8060784757952</v>
      </c>
      <c r="M371" s="2">
        <f t="shared" si="960"/>
        <v>18160.288406511343</v>
      </c>
      <c r="N371" s="2">
        <f t="shared" si="960"/>
        <v>0</v>
      </c>
      <c r="O371" s="2"/>
      <c r="P371" s="61" t="str">
        <f t="shared" si="970"/>
        <v>E371*     "</v>
      </c>
      <c r="Q371" s="61"/>
      <c r="R371" s="14">
        <f>R$32</f>
        <v>0.38352829517570403</v>
      </c>
      <c r="S371" s="14">
        <f t="shared" ref="S371:AH371" si="975">S$32</f>
        <v>0</v>
      </c>
      <c r="T371" s="14">
        <f t="shared" si="975"/>
        <v>0</v>
      </c>
      <c r="U371" s="14">
        <f t="shared" si="975"/>
        <v>0</v>
      </c>
      <c r="V371" s="14">
        <f t="shared" si="975"/>
        <v>0</v>
      </c>
      <c r="W371" s="14">
        <f t="shared" si="975"/>
        <v>0.61647170482429592</v>
      </c>
      <c r="X371" s="14">
        <f t="shared" si="975"/>
        <v>0</v>
      </c>
      <c r="Y371" s="14">
        <f t="shared" si="975"/>
        <v>0</v>
      </c>
      <c r="Z371" s="14">
        <f t="shared" si="975"/>
        <v>0</v>
      </c>
      <c r="AA371" s="14">
        <f t="shared" si="975"/>
        <v>0</v>
      </c>
      <c r="AB371" s="14">
        <f t="shared" si="975"/>
        <v>0</v>
      </c>
      <c r="AC371" s="14">
        <f t="shared" si="975"/>
        <v>0</v>
      </c>
      <c r="AD371" s="14">
        <f t="shared" si="975"/>
        <v>0</v>
      </c>
      <c r="AE371" s="14">
        <f t="shared" si="975"/>
        <v>0</v>
      </c>
      <c r="AF371" s="14">
        <f t="shared" si="975"/>
        <v>0</v>
      </c>
      <c r="AG371" s="14">
        <f t="shared" si="975"/>
        <v>0</v>
      </c>
      <c r="AH371" s="14">
        <f t="shared" si="975"/>
        <v>0</v>
      </c>
      <c r="AI371" s="76">
        <f t="shared" si="935"/>
        <v>0</v>
      </c>
      <c r="AK371" s="2">
        <f t="shared" si="962"/>
        <v>181000</v>
      </c>
      <c r="AL371" s="2">
        <f t="shared" si="963"/>
        <v>69418.621426802434</v>
      </c>
      <c r="AM371" s="2">
        <f t="shared" si="963"/>
        <v>111581.37857319757</v>
      </c>
      <c r="AN371" s="2">
        <f t="shared" si="963"/>
        <v>0</v>
      </c>
      <c r="AO371" s="2">
        <f t="shared" si="963"/>
        <v>0</v>
      </c>
      <c r="AP371" s="2"/>
      <c r="AQ371" s="61" t="str">
        <f t="shared" si="972"/>
        <v>E371*      "</v>
      </c>
      <c r="AS371" s="2">
        <f t="shared" si="964"/>
        <v>69418.621426802434</v>
      </c>
      <c r="AT371" s="2">
        <f t="shared" si="965"/>
        <v>39876.731117272393</v>
      </c>
      <c r="AU371" s="2">
        <f t="shared" si="965"/>
        <v>19320.879747475075</v>
      </c>
      <c r="AV371" s="2">
        <f t="shared" si="965"/>
        <v>0</v>
      </c>
      <c r="AW371" s="2">
        <f t="shared" si="965"/>
        <v>788.95959356928029</v>
      </c>
      <c r="AX371" s="2">
        <f t="shared" si="965"/>
        <v>9432.0509684856861</v>
      </c>
      <c r="AY371" s="2">
        <f t="shared" si="965"/>
        <v>0</v>
      </c>
      <c r="BA371" s="2">
        <f t="shared" si="966"/>
        <v>111581.37857319755</v>
      </c>
      <c r="BB371" s="2">
        <f t="shared" si="967"/>
        <v>63082.696526024971</v>
      </c>
      <c r="BC371" s="2">
        <f t="shared" si="967"/>
        <v>38931.598124240409</v>
      </c>
      <c r="BD371" s="2">
        <f t="shared" si="967"/>
        <v>0</v>
      </c>
      <c r="BE371" s="2">
        <f t="shared" si="967"/>
        <v>838.84648490651466</v>
      </c>
      <c r="BF371" s="2">
        <f t="shared" si="967"/>
        <v>8728.2374380256551</v>
      </c>
      <c r="BG371" s="2">
        <f t="shared" si="967"/>
        <v>0</v>
      </c>
      <c r="BI371" s="2">
        <f t="shared" si="968"/>
        <v>0</v>
      </c>
      <c r="BJ371" s="2">
        <f t="shared" si="969"/>
        <v>0</v>
      </c>
      <c r="BK371" s="2">
        <f t="shared" si="969"/>
        <v>0</v>
      </c>
      <c r="BL371" s="2">
        <f t="shared" si="969"/>
        <v>0</v>
      </c>
      <c r="BM371" s="2">
        <f t="shared" si="969"/>
        <v>0</v>
      </c>
      <c r="BN371" s="2">
        <f t="shared" si="969"/>
        <v>0</v>
      </c>
      <c r="BO371" s="2">
        <f t="shared" si="969"/>
        <v>0</v>
      </c>
      <c r="CK371" s="112"/>
    </row>
    <row r="372" spans="1:89">
      <c r="A372" s="50">
        <f t="shared" si="876"/>
        <v>372</v>
      </c>
      <c r="B372" s="51">
        <v>379</v>
      </c>
      <c r="C372" s="36" t="s">
        <v>154</v>
      </c>
      <c r="D372" s="28" t="s">
        <v>368</v>
      </c>
      <c r="E372" s="369">
        <f>PROFORMA!AY192</f>
        <v>59000</v>
      </c>
      <c r="F372" s="60" t="str">
        <f>"as 365 Plant ("&amp;A$33&amp;")"</f>
        <v>as 365 Plant (33)</v>
      </c>
      <c r="G372" s="60"/>
      <c r="H372" s="2">
        <f t="shared" si="959"/>
        <v>59000</v>
      </c>
      <c r="I372" s="2">
        <f t="shared" si="960"/>
        <v>33561.360392014059</v>
      </c>
      <c r="J372" s="2">
        <f t="shared" si="960"/>
        <v>18988.376764813336</v>
      </c>
      <c r="K372" s="2">
        <f t="shared" si="960"/>
        <v>0</v>
      </c>
      <c r="L372" s="2">
        <f t="shared" si="960"/>
        <v>530.61082116061823</v>
      </c>
      <c r="M372" s="2">
        <f t="shared" si="960"/>
        <v>5919.6520220119846</v>
      </c>
      <c r="N372" s="2">
        <f t="shared" si="960"/>
        <v>0</v>
      </c>
      <c r="O372" s="2"/>
      <c r="P372" s="61" t="str">
        <f t="shared" si="970"/>
        <v>E372*     "</v>
      </c>
      <c r="Q372" s="61"/>
      <c r="R372" s="14">
        <f>R$33</f>
        <v>0.38352829517570403</v>
      </c>
      <c r="S372" s="14">
        <f t="shared" ref="S372:AH372" si="976">S$33</f>
        <v>0</v>
      </c>
      <c r="T372" s="14">
        <f t="shared" si="976"/>
        <v>0</v>
      </c>
      <c r="U372" s="14">
        <f t="shared" si="976"/>
        <v>0</v>
      </c>
      <c r="V372" s="14">
        <f t="shared" si="976"/>
        <v>0</v>
      </c>
      <c r="W372" s="14">
        <f t="shared" si="976"/>
        <v>0.61647170482429592</v>
      </c>
      <c r="X372" s="14">
        <f t="shared" si="976"/>
        <v>0</v>
      </c>
      <c r="Y372" s="14">
        <f t="shared" si="976"/>
        <v>0</v>
      </c>
      <c r="Z372" s="14">
        <f t="shared" si="976"/>
        <v>0</v>
      </c>
      <c r="AA372" s="14">
        <f t="shared" si="976"/>
        <v>0</v>
      </c>
      <c r="AB372" s="14">
        <f t="shared" si="976"/>
        <v>0</v>
      </c>
      <c r="AC372" s="14">
        <f t="shared" si="976"/>
        <v>0</v>
      </c>
      <c r="AD372" s="14">
        <f t="shared" si="976"/>
        <v>0</v>
      </c>
      <c r="AE372" s="14">
        <f t="shared" si="976"/>
        <v>0</v>
      </c>
      <c r="AF372" s="14">
        <f t="shared" si="976"/>
        <v>0</v>
      </c>
      <c r="AG372" s="14">
        <f t="shared" si="976"/>
        <v>0</v>
      </c>
      <c r="AH372" s="14">
        <f t="shared" si="976"/>
        <v>0</v>
      </c>
      <c r="AI372" s="76">
        <f t="shared" si="935"/>
        <v>0</v>
      </c>
      <c r="AK372" s="2">
        <f t="shared" si="962"/>
        <v>59000</v>
      </c>
      <c r="AL372" s="2">
        <f t="shared" si="963"/>
        <v>22628.169415366538</v>
      </c>
      <c r="AM372" s="2">
        <f t="shared" si="963"/>
        <v>36371.830584633462</v>
      </c>
      <c r="AN372" s="2">
        <f t="shared" si="963"/>
        <v>0</v>
      </c>
      <c r="AO372" s="2">
        <f t="shared" si="963"/>
        <v>0</v>
      </c>
      <c r="AP372" s="2"/>
      <c r="AQ372" s="61" t="str">
        <f t="shared" si="972"/>
        <v>E372*      "</v>
      </c>
      <c r="AS372" s="2">
        <f t="shared" si="964"/>
        <v>22628.169415366538</v>
      </c>
      <c r="AT372" s="2">
        <f t="shared" si="965"/>
        <v>12998.492463641276</v>
      </c>
      <c r="AU372" s="2">
        <f t="shared" si="965"/>
        <v>6297.9663265250247</v>
      </c>
      <c r="AV372" s="2">
        <f t="shared" si="965"/>
        <v>0</v>
      </c>
      <c r="AW372" s="2">
        <f t="shared" si="965"/>
        <v>257.17467414689247</v>
      </c>
      <c r="AX372" s="2">
        <f t="shared" si="965"/>
        <v>3074.5359510533453</v>
      </c>
      <c r="AY372" s="2">
        <f t="shared" si="965"/>
        <v>0</v>
      </c>
      <c r="BA372" s="2">
        <f t="shared" si="966"/>
        <v>36371.830584633455</v>
      </c>
      <c r="BB372" s="2">
        <f t="shared" si="967"/>
        <v>20562.867928372783</v>
      </c>
      <c r="BC372" s="2">
        <f t="shared" si="967"/>
        <v>12690.410438288309</v>
      </c>
      <c r="BD372" s="2">
        <f t="shared" si="967"/>
        <v>0</v>
      </c>
      <c r="BE372" s="2">
        <f t="shared" si="967"/>
        <v>273.43614701372576</v>
      </c>
      <c r="BF372" s="2">
        <f t="shared" si="967"/>
        <v>2845.1160709586393</v>
      </c>
      <c r="BG372" s="2">
        <f t="shared" si="967"/>
        <v>0</v>
      </c>
      <c r="BI372" s="2">
        <f t="shared" si="968"/>
        <v>0</v>
      </c>
      <c r="BJ372" s="2">
        <f t="shared" si="969"/>
        <v>0</v>
      </c>
      <c r="BK372" s="2">
        <f t="shared" si="969"/>
        <v>0</v>
      </c>
      <c r="BL372" s="2">
        <f t="shared" si="969"/>
        <v>0</v>
      </c>
      <c r="BM372" s="2">
        <f t="shared" si="969"/>
        <v>0</v>
      </c>
      <c r="BN372" s="2">
        <f t="shared" si="969"/>
        <v>0</v>
      </c>
      <c r="BO372" s="2">
        <f t="shared" si="969"/>
        <v>0</v>
      </c>
      <c r="CK372" s="112"/>
    </row>
    <row r="373" spans="1:89">
      <c r="A373" s="50">
        <f t="shared" si="876"/>
        <v>373</v>
      </c>
      <c r="B373" s="51">
        <v>380</v>
      </c>
      <c r="C373" s="36" t="s">
        <v>154</v>
      </c>
      <c r="D373" s="28" t="s">
        <v>369</v>
      </c>
      <c r="E373" s="369">
        <f>PROFORMA!AY193</f>
        <v>6030000</v>
      </c>
      <c r="F373" s="60" t="str">
        <f>"as 366 Plant ("&amp;A$34&amp;")"</f>
        <v>as 366 Plant (34)</v>
      </c>
      <c r="G373" s="60"/>
      <c r="H373" s="2">
        <f t="shared" si="959"/>
        <v>6030000.0000000009</v>
      </c>
      <c r="I373" s="2">
        <f t="shared" si="960"/>
        <v>5894454.7274358487</v>
      </c>
      <c r="J373" s="2">
        <f t="shared" si="960"/>
        <v>117982.39311495521</v>
      </c>
      <c r="K373" s="2">
        <f t="shared" si="960"/>
        <v>0</v>
      </c>
      <c r="L373" s="2">
        <f t="shared" si="960"/>
        <v>453.42199170596996</v>
      </c>
      <c r="M373" s="2">
        <f t="shared" si="960"/>
        <v>17109.457457490782</v>
      </c>
      <c r="N373" s="2">
        <f t="shared" si="960"/>
        <v>0</v>
      </c>
      <c r="O373" s="2"/>
      <c r="P373" s="61" t="str">
        <f t="shared" si="970"/>
        <v>E373*     "</v>
      </c>
      <c r="Q373" s="61"/>
      <c r="R373" s="14">
        <f>R$34</f>
        <v>0</v>
      </c>
      <c r="S373" s="14">
        <f t="shared" ref="S373:AH373" si="977">S$34</f>
        <v>0</v>
      </c>
      <c r="T373" s="14">
        <f t="shared" si="977"/>
        <v>0</v>
      </c>
      <c r="U373" s="14">
        <f t="shared" si="977"/>
        <v>0</v>
      </c>
      <c r="V373" s="14">
        <f t="shared" si="977"/>
        <v>0</v>
      </c>
      <c r="W373" s="14">
        <f t="shared" si="977"/>
        <v>0</v>
      </c>
      <c r="X373" s="14">
        <f t="shared" si="977"/>
        <v>0</v>
      </c>
      <c r="Y373" s="14">
        <f t="shared" si="977"/>
        <v>0</v>
      </c>
      <c r="Z373" s="14">
        <f t="shared" si="977"/>
        <v>0</v>
      </c>
      <c r="AA373" s="14">
        <f t="shared" si="977"/>
        <v>0</v>
      </c>
      <c r="AB373" s="14">
        <f t="shared" si="977"/>
        <v>0</v>
      </c>
      <c r="AC373" s="14">
        <f t="shared" si="977"/>
        <v>1</v>
      </c>
      <c r="AD373" s="14">
        <f t="shared" si="977"/>
        <v>0</v>
      </c>
      <c r="AE373" s="14">
        <f t="shared" si="977"/>
        <v>0</v>
      </c>
      <c r="AF373" s="14">
        <f t="shared" si="977"/>
        <v>0</v>
      </c>
      <c r="AG373" s="14">
        <f t="shared" si="977"/>
        <v>0</v>
      </c>
      <c r="AH373" s="14">
        <f t="shared" si="977"/>
        <v>0</v>
      </c>
      <c r="AI373" s="76">
        <f t="shared" si="935"/>
        <v>0</v>
      </c>
      <c r="AK373" s="2">
        <f t="shared" si="962"/>
        <v>6030000</v>
      </c>
      <c r="AL373" s="2">
        <f t="shared" si="963"/>
        <v>0</v>
      </c>
      <c r="AM373" s="2">
        <f t="shared" si="963"/>
        <v>0</v>
      </c>
      <c r="AN373" s="2">
        <f t="shared" si="963"/>
        <v>6030000</v>
      </c>
      <c r="AO373" s="2">
        <f t="shared" si="963"/>
        <v>0</v>
      </c>
      <c r="AP373" s="2"/>
      <c r="AQ373" s="61" t="str">
        <f t="shared" si="972"/>
        <v>E373*      "</v>
      </c>
      <c r="AS373" s="2">
        <f t="shared" si="964"/>
        <v>0</v>
      </c>
      <c r="AT373" s="2">
        <f t="shared" si="965"/>
        <v>0</v>
      </c>
      <c r="AU373" s="2">
        <f t="shared" si="965"/>
        <v>0</v>
      </c>
      <c r="AV373" s="2">
        <f t="shared" si="965"/>
        <v>0</v>
      </c>
      <c r="AW373" s="2">
        <f t="shared" si="965"/>
        <v>0</v>
      </c>
      <c r="AX373" s="2">
        <f t="shared" si="965"/>
        <v>0</v>
      </c>
      <c r="AY373" s="2">
        <f t="shared" si="965"/>
        <v>0</v>
      </c>
      <c r="BA373" s="2">
        <f t="shared" si="966"/>
        <v>0</v>
      </c>
      <c r="BB373" s="2">
        <f t="shared" si="967"/>
        <v>0</v>
      </c>
      <c r="BC373" s="2">
        <f t="shared" si="967"/>
        <v>0</v>
      </c>
      <c r="BD373" s="2">
        <f t="shared" si="967"/>
        <v>0</v>
      </c>
      <c r="BE373" s="2">
        <f t="shared" si="967"/>
        <v>0</v>
      </c>
      <c r="BF373" s="2">
        <f t="shared" si="967"/>
        <v>0</v>
      </c>
      <c r="BG373" s="2">
        <f t="shared" si="967"/>
        <v>0</v>
      </c>
      <c r="BI373" s="2">
        <f t="shared" si="968"/>
        <v>6030000.0000000009</v>
      </c>
      <c r="BJ373" s="2">
        <f t="shared" si="969"/>
        <v>5894454.7274358487</v>
      </c>
      <c r="BK373" s="2">
        <f t="shared" si="969"/>
        <v>117982.39311495521</v>
      </c>
      <c r="BL373" s="2">
        <f t="shared" si="969"/>
        <v>0</v>
      </c>
      <c r="BM373" s="2">
        <f t="shared" si="969"/>
        <v>453.42199170596996</v>
      </c>
      <c r="BN373" s="2">
        <f t="shared" si="969"/>
        <v>17109.457457490782</v>
      </c>
      <c r="BO373" s="2">
        <f t="shared" si="969"/>
        <v>0</v>
      </c>
      <c r="CK373" s="112"/>
    </row>
    <row r="374" spans="1:89">
      <c r="A374" s="50">
        <f t="shared" si="876"/>
        <v>374</v>
      </c>
      <c r="B374" s="51">
        <v>381</v>
      </c>
      <c r="C374" s="36" t="s">
        <v>154</v>
      </c>
      <c r="D374" s="28" t="s">
        <v>370</v>
      </c>
      <c r="E374" s="369">
        <f>PROFORMA!AY194</f>
        <v>4149000</v>
      </c>
      <c r="F374" s="60" t="str">
        <f>"as 367 Plant ("&amp;A$35&amp;")"</f>
        <v>as 367 Plant (35)</v>
      </c>
      <c r="G374" s="60"/>
      <c r="H374" s="2">
        <f t="shared" si="959"/>
        <v>4148999.9999999995</v>
      </c>
      <c r="I374" s="2">
        <f t="shared" si="960"/>
        <v>3545688.9369712495</v>
      </c>
      <c r="J374" s="2">
        <f t="shared" si="960"/>
        <v>574287.12775763846</v>
      </c>
      <c r="K374" s="2">
        <f t="shared" si="960"/>
        <v>0</v>
      </c>
      <c r="L374" s="2">
        <f t="shared" si="960"/>
        <v>4254.8348127706586</v>
      </c>
      <c r="M374" s="2">
        <f t="shared" si="960"/>
        <v>24769.100458341403</v>
      </c>
      <c r="N374" s="2">
        <f t="shared" si="960"/>
        <v>0</v>
      </c>
      <c r="O374" s="2"/>
      <c r="P374" s="61" t="str">
        <f t="shared" si="970"/>
        <v>E374*     "</v>
      </c>
      <c r="Q374" s="61"/>
      <c r="R374" s="14">
        <f>R$35</f>
        <v>0</v>
      </c>
      <c r="S374" s="14">
        <f t="shared" ref="S374:AH374" si="978">S$35</f>
        <v>0</v>
      </c>
      <c r="T374" s="14">
        <f t="shared" si="978"/>
        <v>0</v>
      </c>
      <c r="U374" s="14">
        <f t="shared" si="978"/>
        <v>0</v>
      </c>
      <c r="V374" s="14">
        <f t="shared" si="978"/>
        <v>0</v>
      </c>
      <c r="W374" s="14">
        <f t="shared" si="978"/>
        <v>0</v>
      </c>
      <c r="X374" s="14">
        <f t="shared" si="978"/>
        <v>0</v>
      </c>
      <c r="Y374" s="14">
        <f t="shared" si="978"/>
        <v>0</v>
      </c>
      <c r="Z374" s="14">
        <f t="shared" si="978"/>
        <v>0</v>
      </c>
      <c r="AA374" s="14">
        <f t="shared" si="978"/>
        <v>0</v>
      </c>
      <c r="AB374" s="14">
        <f t="shared" si="978"/>
        <v>0</v>
      </c>
      <c r="AC374" s="14">
        <f t="shared" si="978"/>
        <v>0</v>
      </c>
      <c r="AD374" s="14">
        <f t="shared" si="978"/>
        <v>1</v>
      </c>
      <c r="AE374" s="14">
        <f t="shared" si="978"/>
        <v>0</v>
      </c>
      <c r="AF374" s="14">
        <f t="shared" si="978"/>
        <v>0</v>
      </c>
      <c r="AG374" s="14">
        <f t="shared" si="978"/>
        <v>0</v>
      </c>
      <c r="AH374" s="14">
        <f t="shared" si="978"/>
        <v>0</v>
      </c>
      <c r="AI374" s="76">
        <f t="shared" si="935"/>
        <v>0</v>
      </c>
      <c r="AK374" s="2">
        <f t="shared" si="962"/>
        <v>4149000</v>
      </c>
      <c r="AL374" s="2">
        <f t="shared" si="963"/>
        <v>0</v>
      </c>
      <c r="AM374" s="2">
        <f t="shared" si="963"/>
        <v>0</v>
      </c>
      <c r="AN374" s="2">
        <f t="shared" si="963"/>
        <v>4149000</v>
      </c>
      <c r="AO374" s="2">
        <f t="shared" si="963"/>
        <v>0</v>
      </c>
      <c r="AP374" s="2"/>
      <c r="AQ374" s="61" t="str">
        <f t="shared" si="972"/>
        <v>E374*      "</v>
      </c>
      <c r="AS374" s="2">
        <f t="shared" si="964"/>
        <v>0</v>
      </c>
      <c r="AT374" s="2">
        <f t="shared" si="965"/>
        <v>0</v>
      </c>
      <c r="AU374" s="2">
        <f t="shared" si="965"/>
        <v>0</v>
      </c>
      <c r="AV374" s="2">
        <f t="shared" si="965"/>
        <v>0</v>
      </c>
      <c r="AW374" s="2">
        <f t="shared" si="965"/>
        <v>0</v>
      </c>
      <c r="AX374" s="2">
        <f t="shared" si="965"/>
        <v>0</v>
      </c>
      <c r="AY374" s="2">
        <f t="shared" si="965"/>
        <v>0</v>
      </c>
      <c r="BA374" s="2">
        <f t="shared" si="966"/>
        <v>0</v>
      </c>
      <c r="BB374" s="2">
        <f t="shared" si="967"/>
        <v>0</v>
      </c>
      <c r="BC374" s="2">
        <f t="shared" si="967"/>
        <v>0</v>
      </c>
      <c r="BD374" s="2">
        <f t="shared" si="967"/>
        <v>0</v>
      </c>
      <c r="BE374" s="2">
        <f t="shared" si="967"/>
        <v>0</v>
      </c>
      <c r="BF374" s="2">
        <f t="shared" si="967"/>
        <v>0</v>
      </c>
      <c r="BG374" s="2">
        <f t="shared" si="967"/>
        <v>0</v>
      </c>
      <c r="BI374" s="2">
        <f t="shared" si="968"/>
        <v>4148999.9999999995</v>
      </c>
      <c r="BJ374" s="2">
        <f t="shared" si="969"/>
        <v>3545688.9369712495</v>
      </c>
      <c r="BK374" s="2">
        <f t="shared" si="969"/>
        <v>574287.12775763846</v>
      </c>
      <c r="BL374" s="2">
        <f t="shared" si="969"/>
        <v>0</v>
      </c>
      <c r="BM374" s="2">
        <f t="shared" si="969"/>
        <v>4254.8348127706586</v>
      </c>
      <c r="BN374" s="2">
        <f t="shared" si="969"/>
        <v>24769.100458341403</v>
      </c>
      <c r="BO374" s="2">
        <f t="shared" si="969"/>
        <v>0</v>
      </c>
      <c r="CK374" s="112"/>
    </row>
    <row r="375" spans="1:89">
      <c r="A375" s="50">
        <f t="shared" si="876"/>
        <v>375</v>
      </c>
      <c r="B375" s="51">
        <v>382</v>
      </c>
      <c r="C375" s="36" t="s">
        <v>154</v>
      </c>
      <c r="D375" s="28" t="s">
        <v>371</v>
      </c>
      <c r="E375" s="369">
        <f>PROFORMA!AY195</f>
        <v>0</v>
      </c>
      <c r="F375" s="60" t="str">
        <f>"as 368 Plant ("&amp;A$36&amp;")"</f>
        <v>as 368 Plant (36)</v>
      </c>
      <c r="G375" s="60"/>
      <c r="H375" s="2">
        <f t="shared" si="959"/>
        <v>0</v>
      </c>
      <c r="I375" s="2">
        <f t="shared" si="960"/>
        <v>0</v>
      </c>
      <c r="J375" s="2">
        <f t="shared" si="960"/>
        <v>0</v>
      </c>
      <c r="K375" s="2">
        <f t="shared" si="960"/>
        <v>0</v>
      </c>
      <c r="L375" s="2">
        <f t="shared" si="960"/>
        <v>0</v>
      </c>
      <c r="M375" s="2">
        <f t="shared" si="960"/>
        <v>0</v>
      </c>
      <c r="N375" s="2">
        <f t="shared" si="960"/>
        <v>0</v>
      </c>
      <c r="O375" s="2"/>
      <c r="P375" s="61" t="str">
        <f t="shared" si="970"/>
        <v>E375*     "</v>
      </c>
      <c r="Q375" s="61"/>
      <c r="R375" s="14">
        <f>R$36</f>
        <v>0</v>
      </c>
      <c r="S375" s="14">
        <f t="shared" ref="S375:AH375" si="979">S$36</f>
        <v>0</v>
      </c>
      <c r="T375" s="14">
        <f t="shared" si="979"/>
        <v>0</v>
      </c>
      <c r="U375" s="14">
        <f t="shared" si="979"/>
        <v>0</v>
      </c>
      <c r="V375" s="14">
        <f t="shared" si="979"/>
        <v>0</v>
      </c>
      <c r="W375" s="14">
        <f t="shared" si="979"/>
        <v>0</v>
      </c>
      <c r="X375" s="14">
        <f t="shared" si="979"/>
        <v>0</v>
      </c>
      <c r="Y375" s="14">
        <f t="shared" si="979"/>
        <v>0</v>
      </c>
      <c r="Z375" s="14">
        <f t="shared" si="979"/>
        <v>0</v>
      </c>
      <c r="AA375" s="14">
        <f t="shared" si="979"/>
        <v>0</v>
      </c>
      <c r="AB375" s="14">
        <f t="shared" si="979"/>
        <v>1</v>
      </c>
      <c r="AC375" s="14">
        <f t="shared" si="979"/>
        <v>0</v>
      </c>
      <c r="AD375" s="14">
        <f t="shared" si="979"/>
        <v>0</v>
      </c>
      <c r="AE375" s="14">
        <f t="shared" si="979"/>
        <v>0</v>
      </c>
      <c r="AF375" s="14">
        <f t="shared" si="979"/>
        <v>0</v>
      </c>
      <c r="AG375" s="14">
        <f t="shared" si="979"/>
        <v>0</v>
      </c>
      <c r="AH375" s="14">
        <f t="shared" si="979"/>
        <v>0</v>
      </c>
      <c r="AI375" s="76">
        <f t="shared" si="935"/>
        <v>0</v>
      </c>
      <c r="AK375" s="2">
        <f t="shared" si="962"/>
        <v>0</v>
      </c>
      <c r="AL375" s="2">
        <f t="shared" si="963"/>
        <v>0</v>
      </c>
      <c r="AM375" s="2">
        <f t="shared" si="963"/>
        <v>0</v>
      </c>
      <c r="AN375" s="2">
        <f t="shared" si="963"/>
        <v>0</v>
      </c>
      <c r="AO375" s="2">
        <f t="shared" si="963"/>
        <v>0</v>
      </c>
      <c r="AP375" s="2"/>
      <c r="AQ375" s="61" t="str">
        <f t="shared" si="972"/>
        <v>E375*      "</v>
      </c>
      <c r="AS375" s="2">
        <f t="shared" si="964"/>
        <v>0</v>
      </c>
      <c r="AT375" s="2">
        <f t="shared" si="965"/>
        <v>0</v>
      </c>
      <c r="AU375" s="2">
        <f t="shared" si="965"/>
        <v>0</v>
      </c>
      <c r="AV375" s="2">
        <f t="shared" si="965"/>
        <v>0</v>
      </c>
      <c r="AW375" s="2">
        <f t="shared" si="965"/>
        <v>0</v>
      </c>
      <c r="AX375" s="2">
        <f t="shared" si="965"/>
        <v>0</v>
      </c>
      <c r="AY375" s="2">
        <f t="shared" si="965"/>
        <v>0</v>
      </c>
      <c r="BA375" s="2">
        <f t="shared" si="966"/>
        <v>0</v>
      </c>
      <c r="BB375" s="2">
        <f t="shared" si="967"/>
        <v>0</v>
      </c>
      <c r="BC375" s="2">
        <f t="shared" si="967"/>
        <v>0</v>
      </c>
      <c r="BD375" s="2">
        <f t="shared" si="967"/>
        <v>0</v>
      </c>
      <c r="BE375" s="2">
        <f t="shared" si="967"/>
        <v>0</v>
      </c>
      <c r="BF375" s="2">
        <f t="shared" si="967"/>
        <v>0</v>
      </c>
      <c r="BG375" s="2">
        <f t="shared" si="967"/>
        <v>0</v>
      </c>
      <c r="BI375" s="2">
        <f t="shared" si="968"/>
        <v>0</v>
      </c>
      <c r="BJ375" s="2">
        <f t="shared" si="969"/>
        <v>0</v>
      </c>
      <c r="BK375" s="2">
        <f t="shared" si="969"/>
        <v>0</v>
      </c>
      <c r="BL375" s="2">
        <f t="shared" si="969"/>
        <v>0</v>
      </c>
      <c r="BM375" s="2">
        <f t="shared" si="969"/>
        <v>0</v>
      </c>
      <c r="BN375" s="2">
        <f t="shared" si="969"/>
        <v>0</v>
      </c>
      <c r="BO375" s="2">
        <f t="shared" si="969"/>
        <v>0</v>
      </c>
      <c r="CK375" s="112"/>
    </row>
    <row r="376" spans="1:89">
      <c r="A376" s="50">
        <f t="shared" si="876"/>
        <v>376</v>
      </c>
      <c r="B376" s="51">
        <v>383</v>
      </c>
      <c r="C376" s="36" t="s">
        <v>154</v>
      </c>
      <c r="D376" s="28" t="s">
        <v>372</v>
      </c>
      <c r="E376" s="369">
        <f>PROFORMA!AY196</f>
        <v>0</v>
      </c>
      <c r="F376" s="60" t="str">
        <f>"as 369 Plant ("&amp;A$37&amp;")"</f>
        <v>as 369 Plant (37)</v>
      </c>
      <c r="G376" s="60"/>
      <c r="H376" s="2">
        <f t="shared" si="959"/>
        <v>0</v>
      </c>
      <c r="I376" s="2">
        <f t="shared" si="960"/>
        <v>0</v>
      </c>
      <c r="J376" s="2">
        <f t="shared" si="960"/>
        <v>0</v>
      </c>
      <c r="K376" s="2">
        <f t="shared" si="960"/>
        <v>0</v>
      </c>
      <c r="L376" s="2">
        <f t="shared" si="960"/>
        <v>0</v>
      </c>
      <c r="M376" s="2">
        <f t="shared" si="960"/>
        <v>0</v>
      </c>
      <c r="N376" s="2">
        <f t="shared" si="960"/>
        <v>0</v>
      </c>
      <c r="O376" s="2"/>
      <c r="P376" s="61" t="str">
        <f t="shared" si="970"/>
        <v>E376*     "</v>
      </c>
      <c r="Q376" s="61"/>
      <c r="R376" s="14">
        <f>R$37</f>
        <v>0</v>
      </c>
      <c r="S376" s="14">
        <f t="shared" ref="S376:AH376" si="980">S$37</f>
        <v>0</v>
      </c>
      <c r="T376" s="14">
        <f t="shared" si="980"/>
        <v>0</v>
      </c>
      <c r="U376" s="14">
        <f t="shared" si="980"/>
        <v>0</v>
      </c>
      <c r="V376" s="14">
        <f t="shared" si="980"/>
        <v>0</v>
      </c>
      <c r="W376" s="14">
        <f t="shared" si="980"/>
        <v>0</v>
      </c>
      <c r="X376" s="14">
        <f t="shared" si="980"/>
        <v>0</v>
      </c>
      <c r="Y376" s="14">
        <f t="shared" si="980"/>
        <v>0</v>
      </c>
      <c r="Z376" s="14">
        <f t="shared" si="980"/>
        <v>0</v>
      </c>
      <c r="AA376" s="14">
        <f t="shared" si="980"/>
        <v>0</v>
      </c>
      <c r="AB376" s="14">
        <f t="shared" si="980"/>
        <v>0</v>
      </c>
      <c r="AC376" s="14">
        <f t="shared" si="980"/>
        <v>0</v>
      </c>
      <c r="AD376" s="14">
        <f t="shared" si="980"/>
        <v>0</v>
      </c>
      <c r="AE376" s="14">
        <f t="shared" si="980"/>
        <v>0</v>
      </c>
      <c r="AF376" s="14">
        <f t="shared" si="980"/>
        <v>0</v>
      </c>
      <c r="AG376" s="14">
        <f t="shared" si="980"/>
        <v>0</v>
      </c>
      <c r="AH376" s="14">
        <f t="shared" si="980"/>
        <v>0</v>
      </c>
      <c r="AI376" s="76">
        <f t="shared" si="935"/>
        <v>0</v>
      </c>
      <c r="AK376" s="2">
        <f t="shared" si="962"/>
        <v>0</v>
      </c>
      <c r="AL376" s="2">
        <f t="shared" si="963"/>
        <v>0</v>
      </c>
      <c r="AM376" s="2">
        <f t="shared" si="963"/>
        <v>0</v>
      </c>
      <c r="AN376" s="2">
        <f t="shared" si="963"/>
        <v>0</v>
      </c>
      <c r="AO376" s="2">
        <f t="shared" si="963"/>
        <v>0</v>
      </c>
      <c r="AP376" s="2"/>
      <c r="AQ376" s="61" t="str">
        <f t="shared" si="972"/>
        <v>E376*      "</v>
      </c>
      <c r="AS376" s="2">
        <f t="shared" si="964"/>
        <v>0</v>
      </c>
      <c r="AT376" s="2">
        <f t="shared" si="965"/>
        <v>0</v>
      </c>
      <c r="AU376" s="2">
        <f t="shared" si="965"/>
        <v>0</v>
      </c>
      <c r="AV376" s="2">
        <f t="shared" si="965"/>
        <v>0</v>
      </c>
      <c r="AW376" s="2">
        <f t="shared" si="965"/>
        <v>0</v>
      </c>
      <c r="AX376" s="2">
        <f t="shared" si="965"/>
        <v>0</v>
      </c>
      <c r="AY376" s="2">
        <f t="shared" si="965"/>
        <v>0</v>
      </c>
      <c r="BA376" s="2">
        <f t="shared" si="966"/>
        <v>0</v>
      </c>
      <c r="BB376" s="2">
        <f t="shared" si="967"/>
        <v>0</v>
      </c>
      <c r="BC376" s="2">
        <f t="shared" si="967"/>
        <v>0</v>
      </c>
      <c r="BD376" s="2">
        <f t="shared" si="967"/>
        <v>0</v>
      </c>
      <c r="BE376" s="2">
        <f t="shared" si="967"/>
        <v>0</v>
      </c>
      <c r="BF376" s="2">
        <f t="shared" si="967"/>
        <v>0</v>
      </c>
      <c r="BG376" s="2">
        <f t="shared" si="967"/>
        <v>0</v>
      </c>
      <c r="BI376" s="2">
        <f t="shared" si="968"/>
        <v>0</v>
      </c>
      <c r="BJ376" s="2">
        <f t="shared" si="969"/>
        <v>0</v>
      </c>
      <c r="BK376" s="2">
        <f t="shared" si="969"/>
        <v>0</v>
      </c>
      <c r="BL376" s="2">
        <f t="shared" si="969"/>
        <v>0</v>
      </c>
      <c r="BM376" s="2">
        <f t="shared" si="969"/>
        <v>0</v>
      </c>
      <c r="BN376" s="2">
        <f t="shared" si="969"/>
        <v>0</v>
      </c>
      <c r="BO376" s="2">
        <f t="shared" si="969"/>
        <v>0</v>
      </c>
      <c r="CK376" s="112"/>
    </row>
    <row r="377" spans="1:89">
      <c r="A377" s="50">
        <f t="shared" si="876"/>
        <v>377</v>
      </c>
      <c r="B377" s="51">
        <v>384</v>
      </c>
      <c r="C377" s="36" t="s">
        <v>154</v>
      </c>
      <c r="D377" s="28" t="s">
        <v>373</v>
      </c>
      <c r="E377" s="369">
        <f>PROFORMA!AY197</f>
        <v>0</v>
      </c>
      <c r="F377" s="60" t="str">
        <f>"as 370 Plant ("&amp;A$38&amp;")"</f>
        <v>as 370 Plant (38)</v>
      </c>
      <c r="G377" s="60"/>
      <c r="H377" s="2">
        <f t="shared" si="959"/>
        <v>0</v>
      </c>
      <c r="I377" s="2">
        <f t="shared" si="960"/>
        <v>0</v>
      </c>
      <c r="J377" s="2">
        <f t="shared" si="960"/>
        <v>0</v>
      </c>
      <c r="K377" s="2">
        <f t="shared" si="960"/>
        <v>0</v>
      </c>
      <c r="L377" s="2">
        <f t="shared" si="960"/>
        <v>0</v>
      </c>
      <c r="M377" s="2">
        <f t="shared" si="960"/>
        <v>0</v>
      </c>
      <c r="N377" s="2">
        <f t="shared" si="960"/>
        <v>0</v>
      </c>
      <c r="O377" s="2"/>
      <c r="P377" s="61" t="str">
        <f t="shared" si="970"/>
        <v>E377*     "</v>
      </c>
      <c r="Q377" s="61"/>
      <c r="R377" s="14">
        <f>R$38</f>
        <v>0</v>
      </c>
      <c r="S377" s="14">
        <f t="shared" ref="S377:AH377" si="981">S$38</f>
        <v>0</v>
      </c>
      <c r="T377" s="14">
        <f t="shared" si="981"/>
        <v>0</v>
      </c>
      <c r="U377" s="14">
        <f t="shared" si="981"/>
        <v>0</v>
      </c>
      <c r="V377" s="14">
        <f t="shared" si="981"/>
        <v>0</v>
      </c>
      <c r="W377" s="14">
        <f t="shared" si="981"/>
        <v>0</v>
      </c>
      <c r="X377" s="14">
        <f t="shared" si="981"/>
        <v>0</v>
      </c>
      <c r="Y377" s="14">
        <f t="shared" si="981"/>
        <v>0</v>
      </c>
      <c r="Z377" s="14">
        <f t="shared" si="981"/>
        <v>0</v>
      </c>
      <c r="AA377" s="14">
        <f t="shared" si="981"/>
        <v>0</v>
      </c>
      <c r="AB377" s="14">
        <f t="shared" si="981"/>
        <v>1</v>
      </c>
      <c r="AC377" s="14">
        <f t="shared" si="981"/>
        <v>0</v>
      </c>
      <c r="AD377" s="14">
        <f t="shared" si="981"/>
        <v>0</v>
      </c>
      <c r="AE377" s="14">
        <f t="shared" si="981"/>
        <v>0</v>
      </c>
      <c r="AF377" s="14">
        <f t="shared" si="981"/>
        <v>0</v>
      </c>
      <c r="AG377" s="14">
        <f t="shared" si="981"/>
        <v>0</v>
      </c>
      <c r="AH377" s="14">
        <f t="shared" si="981"/>
        <v>0</v>
      </c>
      <c r="AI377" s="76">
        <f t="shared" si="935"/>
        <v>0</v>
      </c>
      <c r="AK377" s="2">
        <f t="shared" si="962"/>
        <v>0</v>
      </c>
      <c r="AL377" s="2">
        <f t="shared" si="963"/>
        <v>0</v>
      </c>
      <c r="AM377" s="2">
        <f t="shared" si="963"/>
        <v>0</v>
      </c>
      <c r="AN377" s="2">
        <f t="shared" si="963"/>
        <v>0</v>
      </c>
      <c r="AO377" s="2">
        <f t="shared" si="963"/>
        <v>0</v>
      </c>
      <c r="AP377" s="2"/>
      <c r="AQ377" s="61" t="str">
        <f t="shared" si="972"/>
        <v>E377*      "</v>
      </c>
      <c r="AS377" s="2">
        <f t="shared" si="964"/>
        <v>0</v>
      </c>
      <c r="AT377" s="2">
        <f t="shared" si="965"/>
        <v>0</v>
      </c>
      <c r="AU377" s="2">
        <f t="shared" si="965"/>
        <v>0</v>
      </c>
      <c r="AV377" s="2">
        <f t="shared" si="965"/>
        <v>0</v>
      </c>
      <c r="AW377" s="2">
        <f t="shared" si="965"/>
        <v>0</v>
      </c>
      <c r="AX377" s="2">
        <f t="shared" si="965"/>
        <v>0</v>
      </c>
      <c r="AY377" s="2">
        <f t="shared" si="965"/>
        <v>0</v>
      </c>
      <c r="BA377" s="2">
        <f t="shared" si="966"/>
        <v>0</v>
      </c>
      <c r="BB377" s="2">
        <f t="shared" si="967"/>
        <v>0</v>
      </c>
      <c r="BC377" s="2">
        <f t="shared" si="967"/>
        <v>0</v>
      </c>
      <c r="BD377" s="2">
        <f t="shared" si="967"/>
        <v>0</v>
      </c>
      <c r="BE377" s="2">
        <f t="shared" si="967"/>
        <v>0</v>
      </c>
      <c r="BF377" s="2">
        <f t="shared" si="967"/>
        <v>0</v>
      </c>
      <c r="BG377" s="2">
        <f t="shared" si="967"/>
        <v>0</v>
      </c>
      <c r="BI377" s="2">
        <f t="shared" si="968"/>
        <v>0</v>
      </c>
      <c r="BJ377" s="2">
        <f t="shared" si="969"/>
        <v>0</v>
      </c>
      <c r="BK377" s="2">
        <f t="shared" si="969"/>
        <v>0</v>
      </c>
      <c r="BL377" s="2">
        <f t="shared" si="969"/>
        <v>0</v>
      </c>
      <c r="BM377" s="2">
        <f t="shared" si="969"/>
        <v>0</v>
      </c>
      <c r="BN377" s="2">
        <f t="shared" si="969"/>
        <v>0</v>
      </c>
      <c r="BO377" s="2">
        <f t="shared" si="969"/>
        <v>0</v>
      </c>
      <c r="CK377" s="112"/>
    </row>
    <row r="378" spans="1:89">
      <c r="A378" s="50">
        <f t="shared" si="876"/>
        <v>378</v>
      </c>
      <c r="B378" s="51">
        <v>385</v>
      </c>
      <c r="C378" s="36" t="s">
        <v>154</v>
      </c>
      <c r="D378" s="28" t="s">
        <v>374</v>
      </c>
      <c r="E378" s="369">
        <f>PROFORMA!AY198</f>
        <v>46000</v>
      </c>
      <c r="F378" s="60" t="str">
        <f>"as 371 Plant ("&amp;A$39&amp;")"</f>
        <v>as 371 Plant (39)</v>
      </c>
      <c r="G378" s="60"/>
      <c r="H378" s="2">
        <f t="shared" si="959"/>
        <v>46000</v>
      </c>
      <c r="I378" s="2">
        <f t="shared" si="960"/>
        <v>0</v>
      </c>
      <c r="J378" s="2">
        <f t="shared" si="960"/>
        <v>43211.246305773617</v>
      </c>
      <c r="K378" s="2">
        <f t="shared" si="960"/>
        <v>0</v>
      </c>
      <c r="L378" s="2">
        <f t="shared" si="960"/>
        <v>411.00624841773794</v>
      </c>
      <c r="M378" s="2">
        <f t="shared" si="960"/>
        <v>2377.747445808644</v>
      </c>
      <c r="N378" s="2">
        <f t="shared" si="960"/>
        <v>0</v>
      </c>
      <c r="O378" s="2"/>
      <c r="P378" s="61" t="str">
        <f t="shared" si="970"/>
        <v>E378*     "</v>
      </c>
      <c r="Q378" s="61"/>
      <c r="R378" s="14">
        <f>R$39</f>
        <v>0</v>
      </c>
      <c r="S378" s="14">
        <f t="shared" ref="S378:AH378" si="982">S$39</f>
        <v>0</v>
      </c>
      <c r="T378" s="14">
        <f t="shared" si="982"/>
        <v>0</v>
      </c>
      <c r="U378" s="14">
        <f t="shared" si="982"/>
        <v>0</v>
      </c>
      <c r="V378" s="14">
        <f t="shared" si="982"/>
        <v>0</v>
      </c>
      <c r="W378" s="14">
        <f t="shared" si="982"/>
        <v>0</v>
      </c>
      <c r="X378" s="14">
        <f t="shared" si="982"/>
        <v>0</v>
      </c>
      <c r="Y378" s="14">
        <f t="shared" si="982"/>
        <v>0</v>
      </c>
      <c r="Z378" s="14">
        <f t="shared" si="982"/>
        <v>0</v>
      </c>
      <c r="AA378" s="14">
        <f t="shared" si="982"/>
        <v>0</v>
      </c>
      <c r="AB378" s="14">
        <f t="shared" si="982"/>
        <v>0</v>
      </c>
      <c r="AC378" s="14">
        <f t="shared" si="982"/>
        <v>0</v>
      </c>
      <c r="AD378" s="14">
        <f t="shared" si="982"/>
        <v>0</v>
      </c>
      <c r="AE378" s="14">
        <f t="shared" si="982"/>
        <v>0</v>
      </c>
      <c r="AF378" s="14">
        <f t="shared" si="982"/>
        <v>1</v>
      </c>
      <c r="AG378" s="14">
        <f t="shared" si="982"/>
        <v>0</v>
      </c>
      <c r="AH378" s="14">
        <f t="shared" si="982"/>
        <v>0</v>
      </c>
      <c r="AI378" s="76">
        <f t="shared" si="935"/>
        <v>0</v>
      </c>
      <c r="AK378" s="2">
        <f t="shared" si="962"/>
        <v>46000</v>
      </c>
      <c r="AL378" s="2">
        <f t="shared" si="963"/>
        <v>0</v>
      </c>
      <c r="AM378" s="2">
        <f t="shared" si="963"/>
        <v>0</v>
      </c>
      <c r="AN378" s="2">
        <f t="shared" si="963"/>
        <v>46000</v>
      </c>
      <c r="AO378" s="2">
        <f t="shared" si="963"/>
        <v>0</v>
      </c>
      <c r="AP378" s="2"/>
      <c r="AQ378" s="61" t="str">
        <f t="shared" si="972"/>
        <v>E378*      "</v>
      </c>
      <c r="AS378" s="2">
        <f t="shared" si="964"/>
        <v>0</v>
      </c>
      <c r="AT378" s="2">
        <f t="shared" si="965"/>
        <v>0</v>
      </c>
      <c r="AU378" s="2">
        <f t="shared" si="965"/>
        <v>0</v>
      </c>
      <c r="AV378" s="2">
        <f t="shared" si="965"/>
        <v>0</v>
      </c>
      <c r="AW378" s="2">
        <f t="shared" si="965"/>
        <v>0</v>
      </c>
      <c r="AX378" s="2">
        <f t="shared" si="965"/>
        <v>0</v>
      </c>
      <c r="AY378" s="2">
        <f t="shared" si="965"/>
        <v>0</v>
      </c>
      <c r="BA378" s="2">
        <f t="shared" si="966"/>
        <v>0</v>
      </c>
      <c r="BB378" s="2">
        <f t="shared" si="967"/>
        <v>0</v>
      </c>
      <c r="BC378" s="2">
        <f t="shared" si="967"/>
        <v>0</v>
      </c>
      <c r="BD378" s="2">
        <f t="shared" si="967"/>
        <v>0</v>
      </c>
      <c r="BE378" s="2">
        <f t="shared" si="967"/>
        <v>0</v>
      </c>
      <c r="BF378" s="2">
        <f t="shared" si="967"/>
        <v>0</v>
      </c>
      <c r="BG378" s="2">
        <f t="shared" si="967"/>
        <v>0</v>
      </c>
      <c r="BI378" s="2">
        <f t="shared" si="968"/>
        <v>46000</v>
      </c>
      <c r="BJ378" s="2">
        <f t="shared" si="969"/>
        <v>0</v>
      </c>
      <c r="BK378" s="2">
        <f t="shared" si="969"/>
        <v>43211.246305773617</v>
      </c>
      <c r="BL378" s="2">
        <f t="shared" si="969"/>
        <v>0</v>
      </c>
      <c r="BM378" s="2">
        <f t="shared" si="969"/>
        <v>411.00624841773794</v>
      </c>
      <c r="BN378" s="2">
        <f t="shared" si="969"/>
        <v>2377.747445808644</v>
      </c>
      <c r="BO378" s="2">
        <f t="shared" si="969"/>
        <v>0</v>
      </c>
      <c r="CK378" s="112"/>
    </row>
    <row r="379" spans="1:89">
      <c r="A379" s="50">
        <f t="shared" si="876"/>
        <v>379</v>
      </c>
      <c r="B379" s="51">
        <v>387</v>
      </c>
      <c r="C379" s="36" t="s">
        <v>154</v>
      </c>
      <c r="D379" s="28" t="s">
        <v>365</v>
      </c>
      <c r="E379" s="369">
        <f>PROFORMA!AY199</f>
        <v>-11000</v>
      </c>
      <c r="F379" s="60" t="str">
        <f>"as 372 Plant ("&amp;A$40&amp;")"</f>
        <v>as 372 Plant (40)</v>
      </c>
      <c r="G379" s="60"/>
      <c r="H379" s="2">
        <f t="shared" si="959"/>
        <v>-11000.000000000002</v>
      </c>
      <c r="I379" s="2">
        <f t="shared" si="960"/>
        <v>-8256.9320126849689</v>
      </c>
      <c r="J379" s="2">
        <f t="shared" si="960"/>
        <v>-2111.8948576110183</v>
      </c>
      <c r="K379" s="2">
        <f t="shared" si="960"/>
        <v>0</v>
      </c>
      <c r="L379" s="2">
        <f t="shared" si="960"/>
        <v>-52.129835102455537</v>
      </c>
      <c r="M379" s="2">
        <f t="shared" si="960"/>
        <v>-579.04329460155839</v>
      </c>
      <c r="N379" s="2">
        <f t="shared" si="960"/>
        <v>0</v>
      </c>
      <c r="O379" s="2"/>
      <c r="P379" s="61" t="str">
        <f t="shared" si="970"/>
        <v>E379*     "</v>
      </c>
      <c r="Q379" s="61"/>
      <c r="R379" s="14">
        <f>R$40</f>
        <v>0.1933876764871075</v>
      </c>
      <c r="S379" s="14">
        <f t="shared" ref="S379:AH379" si="983">S$40</f>
        <v>0</v>
      </c>
      <c r="T379" s="14">
        <f t="shared" si="983"/>
        <v>0</v>
      </c>
      <c r="U379" s="14">
        <f t="shared" si="983"/>
        <v>0</v>
      </c>
      <c r="V379" s="14">
        <f t="shared" si="983"/>
        <v>0</v>
      </c>
      <c r="W379" s="14">
        <f t="shared" si="983"/>
        <v>0.31084546333511004</v>
      </c>
      <c r="X379" s="14">
        <f t="shared" si="983"/>
        <v>0</v>
      </c>
      <c r="Y379" s="14">
        <f t="shared" si="983"/>
        <v>0</v>
      </c>
      <c r="Z379" s="14">
        <f t="shared" si="983"/>
        <v>0</v>
      </c>
      <c r="AA379" s="14">
        <f t="shared" si="983"/>
        <v>0</v>
      </c>
      <c r="AB379" s="14">
        <f t="shared" si="983"/>
        <v>0</v>
      </c>
      <c r="AC379" s="14">
        <f t="shared" si="983"/>
        <v>0.3588897282899246</v>
      </c>
      <c r="AD379" s="14">
        <f t="shared" si="983"/>
        <v>0.13220566312906262</v>
      </c>
      <c r="AE379" s="14">
        <f t="shared" si="983"/>
        <v>0</v>
      </c>
      <c r="AF379" s="14">
        <f t="shared" si="983"/>
        <v>4.6714687587951949E-3</v>
      </c>
      <c r="AG379" s="14">
        <f t="shared" si="983"/>
        <v>0</v>
      </c>
      <c r="AH379" s="14">
        <f t="shared" si="983"/>
        <v>0</v>
      </c>
      <c r="AI379" s="76">
        <f t="shared" si="935"/>
        <v>0</v>
      </c>
      <c r="AK379" s="2">
        <f t="shared" si="962"/>
        <v>-11000</v>
      </c>
      <c r="AL379" s="2">
        <f t="shared" si="963"/>
        <v>-2127.2644413581825</v>
      </c>
      <c r="AM379" s="2">
        <f t="shared" si="963"/>
        <v>-3419.3000966862105</v>
      </c>
      <c r="AN379" s="2">
        <f t="shared" si="963"/>
        <v>-5453.435461955607</v>
      </c>
      <c r="AO379" s="2">
        <f t="shared" si="963"/>
        <v>0</v>
      </c>
      <c r="AP379" s="2"/>
      <c r="AQ379" s="61" t="str">
        <f t="shared" si="972"/>
        <v>E379*      "</v>
      </c>
      <c r="AS379" s="2">
        <f t="shared" si="964"/>
        <v>-2127.2644413581825</v>
      </c>
      <c r="AT379" s="2">
        <f t="shared" si="965"/>
        <v>-1221.9826668961018</v>
      </c>
      <c r="AU379" s="2">
        <f t="shared" si="965"/>
        <v>-592.0690964152783</v>
      </c>
      <c r="AV379" s="2">
        <f t="shared" si="965"/>
        <v>0</v>
      </c>
      <c r="AW379" s="2">
        <f t="shared" si="965"/>
        <v>-24.176880130614844</v>
      </c>
      <c r="AX379" s="2">
        <f t="shared" si="965"/>
        <v>-289.03579791618773</v>
      </c>
      <c r="AY379" s="2">
        <f t="shared" si="965"/>
        <v>0</v>
      </c>
      <c r="BA379" s="2">
        <f t="shared" si="966"/>
        <v>-3419.3000966862101</v>
      </c>
      <c r="BB379" s="2">
        <f t="shared" si="967"/>
        <v>-1933.1063398644551</v>
      </c>
      <c r="BC379" s="2">
        <f t="shared" si="967"/>
        <v>-1193.0200086481075</v>
      </c>
      <c r="BD379" s="2">
        <f t="shared" si="967"/>
        <v>0</v>
      </c>
      <c r="BE379" s="2">
        <f t="shared" si="967"/>
        <v>-25.705614177047877</v>
      </c>
      <c r="BF379" s="2">
        <f t="shared" si="967"/>
        <v>-267.4681339965997</v>
      </c>
      <c r="BG379" s="2">
        <f t="shared" si="967"/>
        <v>0</v>
      </c>
      <c r="BI379" s="2">
        <f t="shared" si="968"/>
        <v>-5453.435461955607</v>
      </c>
      <c r="BJ379" s="2">
        <f t="shared" si="969"/>
        <v>-5101.843005924411</v>
      </c>
      <c r="BK379" s="2">
        <f t="shared" si="969"/>
        <v>-326.80575254763221</v>
      </c>
      <c r="BL379" s="2">
        <f t="shared" si="969"/>
        <v>0</v>
      </c>
      <c r="BM379" s="2">
        <f t="shared" si="969"/>
        <v>-2.2473407947928172</v>
      </c>
      <c r="BN379" s="2">
        <f t="shared" si="969"/>
        <v>-22.539362688771014</v>
      </c>
      <c r="BO379" s="2">
        <f t="shared" si="969"/>
        <v>0</v>
      </c>
      <c r="CK379" s="112"/>
    </row>
    <row r="380" spans="1:89">
      <c r="A380" s="50">
        <f t="shared" si="876"/>
        <v>380</v>
      </c>
      <c r="B380" s="51"/>
      <c r="D380" s="52" t="s">
        <v>223</v>
      </c>
      <c r="E380" s="4">
        <f>SUM(E367:E379)</f>
        <v>18494000</v>
      </c>
      <c r="F380" s="60"/>
      <c r="G380" s="60"/>
      <c r="H380" s="4">
        <f>IF(ROUND(SUM(H366:H379),3)&lt;&gt;ROUND(SUM(I380:N380),3),#VALUE!,SUM(H366:H379))</f>
        <v>18494000</v>
      </c>
      <c r="I380" s="4">
        <f t="shared" ref="I380:N380" si="984">SUM(I366:I379)</f>
        <v>14146944.139465069</v>
      </c>
      <c r="J380" s="4">
        <f t="shared" si="984"/>
        <v>3394542.6566049</v>
      </c>
      <c r="K380" s="4">
        <f t="shared" si="984"/>
        <v>0</v>
      </c>
      <c r="L380" s="4">
        <f t="shared" si="984"/>
        <v>79413.395076005923</v>
      </c>
      <c r="M380" s="4">
        <f t="shared" si="984"/>
        <v>873099.80885402462</v>
      </c>
      <c r="N380" s="4">
        <f t="shared" si="984"/>
        <v>0</v>
      </c>
      <c r="O380" s="5"/>
      <c r="P380" s="61" t="str">
        <f>$A366&amp;":"&amp;A379</f>
        <v>366:379</v>
      </c>
      <c r="Q380" s="61"/>
      <c r="R380" s="16">
        <f t="shared" ref="R380:AH380" si="985">SUMPRODUCT($E$367:$E$379,R$367:R$379)/$E380</f>
        <v>0.1713076177295442</v>
      </c>
      <c r="S380" s="16">
        <f t="shared" si="985"/>
        <v>0</v>
      </c>
      <c r="T380" s="16">
        <f t="shared" si="985"/>
        <v>0</v>
      </c>
      <c r="U380" s="16">
        <f t="shared" si="985"/>
        <v>0</v>
      </c>
      <c r="V380" s="16">
        <f t="shared" si="985"/>
        <v>0</v>
      </c>
      <c r="W380" s="16">
        <f t="shared" si="985"/>
        <v>0.27535464913414009</v>
      </c>
      <c r="X380" s="16">
        <f t="shared" si="985"/>
        <v>0</v>
      </c>
      <c r="Y380" s="16">
        <f t="shared" si="985"/>
        <v>0</v>
      </c>
      <c r="Z380" s="16">
        <f t="shared" si="985"/>
        <v>0</v>
      </c>
      <c r="AA380" s="16">
        <f t="shared" si="985"/>
        <v>0</v>
      </c>
      <c r="AB380" s="16">
        <f t="shared" si="985"/>
        <v>0</v>
      </c>
      <c r="AC380" s="16">
        <f t="shared" si="985"/>
        <v>0.32638158999572447</v>
      </c>
      <c r="AD380" s="16">
        <f t="shared" si="985"/>
        <v>0.22446455587072531</v>
      </c>
      <c r="AE380" s="16">
        <f t="shared" si="985"/>
        <v>0</v>
      </c>
      <c r="AF380" s="16">
        <f t="shared" si="985"/>
        <v>2.4915872698658766E-3</v>
      </c>
      <c r="AG380" s="16">
        <f t="shared" si="985"/>
        <v>0</v>
      </c>
      <c r="AH380" s="16">
        <f t="shared" si="985"/>
        <v>0</v>
      </c>
      <c r="AI380" s="76">
        <f t="shared" si="935"/>
        <v>0</v>
      </c>
      <c r="AK380" s="4">
        <f>IF(ROUND(SUM(AK366:AK379),3)&lt;&gt;ROUND(SUM(AL380:AO380),3),#VALUE!,SUM(AK366:AK379))</f>
        <v>18494000</v>
      </c>
      <c r="AL380" s="4">
        <f>SUM(AL366:AL379)</f>
        <v>3168163.0822901903</v>
      </c>
      <c r="AM380" s="4">
        <f>SUM(AM366:AM379)</f>
        <v>5092408.8810867872</v>
      </c>
      <c r="AN380" s="4">
        <f>SUM(AN366:AN379)</f>
        <v>10233428.036623022</v>
      </c>
      <c r="AO380" s="4">
        <f>SUM(AO366:AO379)</f>
        <v>0</v>
      </c>
      <c r="AP380" s="5"/>
      <c r="AQ380" s="61" t="str">
        <f>$A366&amp;":"&amp;A379</f>
        <v>366:379</v>
      </c>
      <c r="AS380" s="4">
        <f>IF(ROUND(SUM(AS366:AS379),3)&lt;&gt;ROUND(SUM(AT380:AY380),3),#VALUE!,SUM(AS366:AS379))</f>
        <v>3168163.0822901903</v>
      </c>
      <c r="AT380" s="4">
        <f t="shared" ref="AT380:AY380" si="986">SUM(AT366:AT379)</f>
        <v>1819914.9561241027</v>
      </c>
      <c r="AU380" s="4">
        <f t="shared" si="986"/>
        <v>881776.34005398152</v>
      </c>
      <c r="AV380" s="4">
        <f t="shared" si="986"/>
        <v>0</v>
      </c>
      <c r="AW380" s="4">
        <f t="shared" si="986"/>
        <v>36006.947507600511</v>
      </c>
      <c r="AX380" s="4">
        <f t="shared" si="986"/>
        <v>430464.8386045057</v>
      </c>
      <c r="AY380" s="4">
        <f t="shared" si="986"/>
        <v>0</v>
      </c>
      <c r="BA380" s="4">
        <f>IF(ROUND(SUM(BA366:BA379),3)&lt;&gt;ROUND(SUM(BB380:BG380),3),#VALUE!,SUM(BA366:BA379))</f>
        <v>5092408.8810867872</v>
      </c>
      <c r="BB380" s="4">
        <f t="shared" ref="BB380:BG380" si="987">SUM(BB366:BB379)</f>
        <v>2879000.852470167</v>
      </c>
      <c r="BC380" s="4">
        <f t="shared" si="987"/>
        <v>1776780.4859367958</v>
      </c>
      <c r="BD380" s="4">
        <f t="shared" si="987"/>
        <v>0</v>
      </c>
      <c r="BE380" s="4">
        <f t="shared" si="987"/>
        <v>38283.711352464554</v>
      </c>
      <c r="BF380" s="4">
        <f t="shared" si="987"/>
        <v>398343.83132735931</v>
      </c>
      <c r="BG380" s="4">
        <f t="shared" si="987"/>
        <v>0</v>
      </c>
      <c r="BI380" s="4">
        <f>IF(ROUND(SUM(BI366:BI379),3)&lt;&gt;ROUND(SUM(BJ380:BO380),3),#VALUE!,SUM(BI366:BI379))</f>
        <v>10233428.036623023</v>
      </c>
      <c r="BJ380" s="4">
        <f t="shared" ref="BJ380:BO380" si="988">SUM(BJ366:BJ379)</f>
        <v>9448028.3308707997</v>
      </c>
      <c r="BK380" s="4">
        <f t="shared" si="988"/>
        <v>735985.83061412279</v>
      </c>
      <c r="BL380" s="4">
        <f t="shared" si="988"/>
        <v>0</v>
      </c>
      <c r="BM380" s="4">
        <f t="shared" si="988"/>
        <v>5122.736215940864</v>
      </c>
      <c r="BN380" s="4">
        <f t="shared" si="988"/>
        <v>44291.138922159837</v>
      </c>
      <c r="BO380" s="4">
        <f t="shared" si="988"/>
        <v>0</v>
      </c>
    </row>
    <row r="381" spans="1:89">
      <c r="A381" s="50">
        <f t="shared" si="876"/>
        <v>381</v>
      </c>
      <c r="B381" s="51"/>
      <c r="E381" s="2"/>
      <c r="F381" s="60"/>
      <c r="G381" s="60"/>
      <c r="P381" s="61"/>
      <c r="Q381" s="61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76">
        <f t="shared" si="935"/>
        <v>0</v>
      </c>
      <c r="AQ381" s="61"/>
    </row>
    <row r="382" spans="1:89">
      <c r="A382" s="50">
        <f t="shared" si="876"/>
        <v>382</v>
      </c>
      <c r="B382" s="51"/>
      <c r="D382" t="s">
        <v>71</v>
      </c>
      <c r="E382" s="2"/>
      <c r="F382" s="60"/>
      <c r="G382" s="60"/>
      <c r="P382" s="61"/>
      <c r="Q382" s="61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76">
        <f t="shared" si="935"/>
        <v>0</v>
      </c>
      <c r="AQ382" s="61"/>
    </row>
    <row r="383" spans="1:89">
      <c r="A383" s="50">
        <f t="shared" si="876"/>
        <v>383</v>
      </c>
      <c r="B383" s="51">
        <v>389</v>
      </c>
      <c r="C383" s="36" t="s">
        <v>151</v>
      </c>
      <c r="D383" s="28" t="s">
        <v>358</v>
      </c>
      <c r="E383" s="369">
        <f>PROFORMA!AY203</f>
        <v>14000</v>
      </c>
      <c r="F383" s="60" t="str">
        <f>"as 303.1 Plant ("&amp;A$11&amp;")"</f>
        <v>as 303.1 Plant (11)</v>
      </c>
      <c r="G383" s="60"/>
      <c r="H383" s="2">
        <f>SUM(I383:N383)</f>
        <v>13999.999999999998</v>
      </c>
      <c r="I383" s="2">
        <f t="shared" ref="I383:N392" si="989">$E383*SUMPRODUCT($R383:$AH383,INDEX(AllocFactors,I$4,0))</f>
        <v>11784.096343652531</v>
      </c>
      <c r="J383" s="2">
        <f t="shared" si="989"/>
        <v>1788.2919368260796</v>
      </c>
      <c r="K383" s="2">
        <f t="shared" si="989"/>
        <v>0</v>
      </c>
      <c r="L383" s="2">
        <f t="shared" si="989"/>
        <v>43.155789325472966</v>
      </c>
      <c r="M383" s="2">
        <f t="shared" si="989"/>
        <v>384.45593019591627</v>
      </c>
      <c r="N383" s="2">
        <f t="shared" si="989"/>
        <v>0</v>
      </c>
      <c r="O383" s="2"/>
      <c r="P383" s="61" t="s">
        <v>997</v>
      </c>
      <c r="Q383" s="61"/>
      <c r="R383" s="14">
        <f>R$46</f>
        <v>9.9370957155623774E-2</v>
      </c>
      <c r="S383" s="14">
        <f t="shared" ref="S383:AH383" si="990">S$46</f>
        <v>1.5218388550417537E-2</v>
      </c>
      <c r="T383" s="14">
        <f t="shared" si="990"/>
        <v>8.699877677308605E-3</v>
      </c>
      <c r="U383" s="14">
        <f t="shared" si="990"/>
        <v>5.822225830198835E-2</v>
      </c>
      <c r="V383" s="14">
        <f t="shared" si="990"/>
        <v>0</v>
      </c>
      <c r="W383" s="14">
        <f t="shared" si="990"/>
        <v>0.15327818313927072</v>
      </c>
      <c r="X383" s="14">
        <f t="shared" si="990"/>
        <v>0</v>
      </c>
      <c r="Y383" s="14">
        <f t="shared" si="990"/>
        <v>0</v>
      </c>
      <c r="Z383" s="14">
        <f t="shared" si="990"/>
        <v>0</v>
      </c>
      <c r="AA383" s="14">
        <f t="shared" si="990"/>
        <v>0</v>
      </c>
      <c r="AB383" s="14">
        <f t="shared" si="990"/>
        <v>0.41313387731559803</v>
      </c>
      <c r="AC383" s="14">
        <f t="shared" si="990"/>
        <v>0.17108548237195526</v>
      </c>
      <c r="AD383" s="14">
        <f t="shared" si="990"/>
        <v>7.9473703927617212E-2</v>
      </c>
      <c r="AE383" s="14">
        <f t="shared" si="990"/>
        <v>0</v>
      </c>
      <c r="AF383" s="14">
        <f t="shared" si="990"/>
        <v>1.5172715602204624E-3</v>
      </c>
      <c r="AG383" s="14">
        <f t="shared" si="990"/>
        <v>0</v>
      </c>
      <c r="AH383" s="14">
        <f t="shared" si="990"/>
        <v>-1.4146429571039994E-18</v>
      </c>
      <c r="AI383" s="76">
        <f t="shared" si="935"/>
        <v>0</v>
      </c>
      <c r="AK383" s="2">
        <f t="shared" ref="AK383:AK392" si="991">SUM(AL383:AO383)</f>
        <v>14000</v>
      </c>
      <c r="AL383" s="2">
        <f t="shared" ref="AL383:AO392" si="992">SUMIF($R$4:$AH$4,AL$5,$R383:$AH383)*$E383</f>
        <v>2541.1607435947358</v>
      </c>
      <c r="AM383" s="2">
        <f t="shared" si="992"/>
        <v>2145.8945639497902</v>
      </c>
      <c r="AN383" s="2">
        <f t="shared" si="992"/>
        <v>9312.9446924554741</v>
      </c>
      <c r="AO383" s="2">
        <f t="shared" si="992"/>
        <v>-1.9805001399455992E-14</v>
      </c>
      <c r="AP383" s="2"/>
      <c r="AQ383" s="61" t="str">
        <f>E$1&amp;$A383&amp;"*["&amp;R$1&amp;$A383&amp;":"&amp;$AH$1&amp;$A383&amp;" when "&amp;R$1&amp;$A$4&amp;":"&amp;$AH$1&amp;$A$4&amp;" = E,D,C,or R]"</f>
        <v>E383*[R383:AH383 when R4:AH4 = E,D,C,or R]</v>
      </c>
      <c r="AS383" s="2">
        <f t="shared" ref="AS383:AS392" si="993">SUM(AT383:AY383)</f>
        <v>2541.1607435947358</v>
      </c>
      <c r="AT383" s="2">
        <f t="shared" ref="AT383:AY392" si="994">$E383*SUMPRODUCT($R383:$V383,INDEX(AllocFactors_E,AT$4,0))</f>
        <v>1609.6867405529613</v>
      </c>
      <c r="AU383" s="2">
        <f t="shared" si="994"/>
        <v>705.27860608474998</v>
      </c>
      <c r="AV383" s="2">
        <f t="shared" si="994"/>
        <v>0</v>
      </c>
      <c r="AW383" s="2">
        <f t="shared" si="994"/>
        <v>25.406038652370373</v>
      </c>
      <c r="AX383" s="2">
        <f t="shared" si="994"/>
        <v>200.7893583046544</v>
      </c>
      <c r="AY383" s="2">
        <f t="shared" si="994"/>
        <v>0</v>
      </c>
      <c r="BA383" s="2">
        <f t="shared" ref="BA383:BA392" si="995">SUM(BB383:BG383)</f>
        <v>2145.8945639497897</v>
      </c>
      <c r="BB383" s="2">
        <f t="shared" ref="BB383:BG392" si="996">$E383*SUMPRODUCT($W383:$AA383,INDEX(AllocFactors_D,BB$4,0))</f>
        <v>1213.1846485987726</v>
      </c>
      <c r="BC383" s="2">
        <f t="shared" si="996"/>
        <v>748.71905912043303</v>
      </c>
      <c r="BD383" s="2">
        <f t="shared" si="996"/>
        <v>0</v>
      </c>
      <c r="BE383" s="2">
        <f t="shared" si="996"/>
        <v>16.13240609649241</v>
      </c>
      <c r="BF383" s="2">
        <f t="shared" si="996"/>
        <v>167.85845013409175</v>
      </c>
      <c r="BG383" s="2">
        <f t="shared" si="996"/>
        <v>0</v>
      </c>
      <c r="BI383" s="2">
        <f t="shared" ref="BI383:BI392" si="997">SUM(BJ383:BO383)</f>
        <v>9312.9446924554759</v>
      </c>
      <c r="BJ383" s="2">
        <f t="shared" ref="BJ383:BO392" si="998">$E383*SUMPRODUCT($AB383:$AG383,INDEX(AllocFactors_C,BJ$4,0))</f>
        <v>8961.224954500798</v>
      </c>
      <c r="BK383" s="2">
        <f t="shared" si="998"/>
        <v>334.29427162089667</v>
      </c>
      <c r="BL383" s="2">
        <f t="shared" si="998"/>
        <v>0</v>
      </c>
      <c r="BM383" s="2">
        <f t="shared" si="998"/>
        <v>1.6173445766101804</v>
      </c>
      <c r="BN383" s="2">
        <f t="shared" si="998"/>
        <v>15.808121757170188</v>
      </c>
      <c r="BO383" s="2">
        <f t="shared" si="998"/>
        <v>0</v>
      </c>
    </row>
    <row r="384" spans="1:89">
      <c r="A384" s="50">
        <f t="shared" si="876"/>
        <v>384</v>
      </c>
      <c r="B384" s="51">
        <v>390</v>
      </c>
      <c r="C384" s="36" t="s">
        <v>151</v>
      </c>
      <c r="D384" s="28" t="s">
        <v>359</v>
      </c>
      <c r="E384" s="369">
        <f>PROFORMA!AY204</f>
        <v>2072000</v>
      </c>
      <c r="F384" s="60" t="str">
        <f>"as 389 Plant ("&amp;A$46&amp;")"</f>
        <v>as 389 Plant (46)</v>
      </c>
      <c r="G384" s="60"/>
      <c r="H384" s="2">
        <f t="shared" ref="H384:H392" si="999">SUM(I384:N384)</f>
        <v>2072000</v>
      </c>
      <c r="I384" s="2">
        <f t="shared" si="989"/>
        <v>1744046.2588605746</v>
      </c>
      <c r="J384" s="2">
        <f t="shared" si="989"/>
        <v>264667.20665025979</v>
      </c>
      <c r="K384" s="2">
        <f t="shared" si="989"/>
        <v>0</v>
      </c>
      <c r="L384" s="2">
        <f t="shared" si="989"/>
        <v>6387.0568201699989</v>
      </c>
      <c r="M384" s="2">
        <f t="shared" si="989"/>
        <v>56899.477668995612</v>
      </c>
      <c r="N384" s="2">
        <f t="shared" si="989"/>
        <v>0</v>
      </c>
      <c r="O384" s="2"/>
      <c r="P384" s="61" t="s">
        <v>997</v>
      </c>
      <c r="Q384" s="61"/>
      <c r="R384" s="14">
        <f>R$46</f>
        <v>9.9370957155623774E-2</v>
      </c>
      <c r="S384" s="14">
        <f t="shared" ref="S384:AH384" si="1000">S$46</f>
        <v>1.5218388550417537E-2</v>
      </c>
      <c r="T384" s="14">
        <f t="shared" si="1000"/>
        <v>8.699877677308605E-3</v>
      </c>
      <c r="U384" s="14">
        <f t="shared" si="1000"/>
        <v>5.822225830198835E-2</v>
      </c>
      <c r="V384" s="14">
        <f t="shared" si="1000"/>
        <v>0</v>
      </c>
      <c r="W384" s="14">
        <f t="shared" si="1000"/>
        <v>0.15327818313927072</v>
      </c>
      <c r="X384" s="14">
        <f t="shared" si="1000"/>
        <v>0</v>
      </c>
      <c r="Y384" s="14">
        <f t="shared" si="1000"/>
        <v>0</v>
      </c>
      <c r="Z384" s="14">
        <f t="shared" si="1000"/>
        <v>0</v>
      </c>
      <c r="AA384" s="14">
        <f t="shared" si="1000"/>
        <v>0</v>
      </c>
      <c r="AB384" s="14">
        <f t="shared" si="1000"/>
        <v>0.41313387731559803</v>
      </c>
      <c r="AC384" s="14">
        <f t="shared" si="1000"/>
        <v>0.17108548237195526</v>
      </c>
      <c r="AD384" s="14">
        <f t="shared" si="1000"/>
        <v>7.9473703927617212E-2</v>
      </c>
      <c r="AE384" s="14">
        <f t="shared" si="1000"/>
        <v>0</v>
      </c>
      <c r="AF384" s="14">
        <f t="shared" si="1000"/>
        <v>1.5172715602204624E-3</v>
      </c>
      <c r="AG384" s="14">
        <f t="shared" si="1000"/>
        <v>0</v>
      </c>
      <c r="AH384" s="14">
        <f t="shared" si="1000"/>
        <v>-1.4146429571039994E-18</v>
      </c>
      <c r="AI384" s="76">
        <f t="shared" ref="AI384:AI416" si="1001">IF(SUM(R384:AH384)&lt;&gt;0,(ROUND(SUM(R384:AH384),8)&lt;&gt;1)+0,0)</f>
        <v>0</v>
      </c>
      <c r="AK384" s="2">
        <f t="shared" si="991"/>
        <v>2071999.9999999998</v>
      </c>
      <c r="AL384" s="2">
        <f t="shared" si="992"/>
        <v>376091.79005202086</v>
      </c>
      <c r="AM384" s="2">
        <f t="shared" si="992"/>
        <v>317592.39546456892</v>
      </c>
      <c r="AN384" s="2">
        <f t="shared" si="992"/>
        <v>1378315.81448341</v>
      </c>
      <c r="AO384" s="2">
        <f t="shared" si="992"/>
        <v>-2.9311402071194867E-12</v>
      </c>
      <c r="AP384" s="2"/>
      <c r="AQ384" s="61" t="str">
        <f t="shared" ref="AQ384:AQ392" si="1002">E$1&amp;$A384&amp;"*      """</f>
        <v>E384*      "</v>
      </c>
      <c r="AS384" s="2">
        <f t="shared" si="993"/>
        <v>376091.79005202092</v>
      </c>
      <c r="AT384" s="2">
        <f t="shared" si="994"/>
        <v>238233.63760183827</v>
      </c>
      <c r="AU384" s="2">
        <f t="shared" si="994"/>
        <v>104381.233700543</v>
      </c>
      <c r="AV384" s="2">
        <f t="shared" si="994"/>
        <v>0</v>
      </c>
      <c r="AW384" s="2">
        <f t="shared" si="994"/>
        <v>3760.0937205508153</v>
      </c>
      <c r="AX384" s="2">
        <f t="shared" si="994"/>
        <v>29716.82502908885</v>
      </c>
      <c r="AY384" s="2">
        <f t="shared" si="994"/>
        <v>0</v>
      </c>
      <c r="BA384" s="2">
        <f t="shared" si="995"/>
        <v>317592.39546456892</v>
      </c>
      <c r="BB384" s="2">
        <f t="shared" si="996"/>
        <v>179551.32799261835</v>
      </c>
      <c r="BC384" s="2">
        <f t="shared" si="996"/>
        <v>110810.4207498241</v>
      </c>
      <c r="BD384" s="2">
        <f t="shared" si="996"/>
        <v>0</v>
      </c>
      <c r="BE384" s="2">
        <f t="shared" si="996"/>
        <v>2387.5961022808765</v>
      </c>
      <c r="BF384" s="2">
        <f t="shared" si="996"/>
        <v>24843.050619845581</v>
      </c>
      <c r="BG384" s="2">
        <f t="shared" si="996"/>
        <v>0</v>
      </c>
      <c r="BI384" s="2">
        <f t="shared" si="997"/>
        <v>1378315.8144834102</v>
      </c>
      <c r="BJ384" s="2">
        <f t="shared" si="998"/>
        <v>1326261.293266118</v>
      </c>
      <c r="BK384" s="2">
        <f t="shared" si="998"/>
        <v>49475.552199892707</v>
      </c>
      <c r="BL384" s="2">
        <f t="shared" si="998"/>
        <v>0</v>
      </c>
      <c r="BM384" s="2">
        <f t="shared" si="998"/>
        <v>239.36699733830667</v>
      </c>
      <c r="BN384" s="2">
        <f t="shared" si="998"/>
        <v>2339.6020200611879</v>
      </c>
      <c r="BO384" s="2">
        <f t="shared" si="998"/>
        <v>0</v>
      </c>
    </row>
    <row r="385" spans="1:67">
      <c r="A385" s="50">
        <f t="shared" si="876"/>
        <v>385</v>
      </c>
      <c r="B385" s="51">
        <v>391</v>
      </c>
      <c r="C385" s="36" t="s">
        <v>151</v>
      </c>
      <c r="D385" s="28" t="s">
        <v>375</v>
      </c>
      <c r="E385" s="369">
        <f>PROFORMA!AY205</f>
        <v>2900000</v>
      </c>
      <c r="F385" s="60" t="str">
        <f>"as 390 Plant ("&amp;A$47&amp;")"</f>
        <v>as 390 Plant (47)</v>
      </c>
      <c r="G385" s="60"/>
      <c r="H385" s="2">
        <f t="shared" si="999"/>
        <v>2900000</v>
      </c>
      <c r="I385" s="2">
        <f t="shared" si="989"/>
        <v>2440991.3854708816</v>
      </c>
      <c r="J385" s="2">
        <f t="shared" si="989"/>
        <v>370431.90119968791</v>
      </c>
      <c r="K385" s="2">
        <f t="shared" si="989"/>
        <v>0</v>
      </c>
      <c r="L385" s="2">
        <f t="shared" si="989"/>
        <v>8939.4135031336846</v>
      </c>
      <c r="M385" s="2">
        <f t="shared" si="989"/>
        <v>79637.299826296949</v>
      </c>
      <c r="N385" s="2">
        <f t="shared" si="989"/>
        <v>0</v>
      </c>
      <c r="O385" s="2"/>
      <c r="P385" s="61" t="s">
        <v>997</v>
      </c>
      <c r="Q385" s="61"/>
      <c r="R385" s="14">
        <f>R$47</f>
        <v>9.9370957155623774E-2</v>
      </c>
      <c r="S385" s="14">
        <f t="shared" ref="S385:AH385" si="1003">S$47</f>
        <v>1.5218388550417537E-2</v>
      </c>
      <c r="T385" s="14">
        <f t="shared" si="1003"/>
        <v>8.699877677308605E-3</v>
      </c>
      <c r="U385" s="14">
        <f t="shared" si="1003"/>
        <v>5.822225830198835E-2</v>
      </c>
      <c r="V385" s="14">
        <f t="shared" si="1003"/>
        <v>0</v>
      </c>
      <c r="W385" s="14">
        <f t="shared" si="1003"/>
        <v>0.15327818313927072</v>
      </c>
      <c r="X385" s="14">
        <f t="shared" si="1003"/>
        <v>0</v>
      </c>
      <c r="Y385" s="14">
        <f t="shared" si="1003"/>
        <v>0</v>
      </c>
      <c r="Z385" s="14">
        <f t="shared" si="1003"/>
        <v>0</v>
      </c>
      <c r="AA385" s="14">
        <f t="shared" si="1003"/>
        <v>0</v>
      </c>
      <c r="AB385" s="14">
        <f t="shared" si="1003"/>
        <v>0.41313387731559803</v>
      </c>
      <c r="AC385" s="14">
        <f t="shared" si="1003"/>
        <v>0.17108548237195526</v>
      </c>
      <c r="AD385" s="14">
        <f t="shared" si="1003"/>
        <v>7.9473703927617212E-2</v>
      </c>
      <c r="AE385" s="14">
        <f t="shared" si="1003"/>
        <v>0</v>
      </c>
      <c r="AF385" s="14">
        <f t="shared" si="1003"/>
        <v>1.5172715602204624E-3</v>
      </c>
      <c r="AG385" s="14">
        <f t="shared" si="1003"/>
        <v>0</v>
      </c>
      <c r="AH385" s="14">
        <f t="shared" si="1003"/>
        <v>-1.4146429571039994E-18</v>
      </c>
      <c r="AI385" s="76">
        <f t="shared" si="1001"/>
        <v>0</v>
      </c>
      <c r="AK385" s="2">
        <f t="shared" si="991"/>
        <v>2900000</v>
      </c>
      <c r="AL385" s="2">
        <f t="shared" si="992"/>
        <v>526383.296887481</v>
      </c>
      <c r="AM385" s="2">
        <f t="shared" si="992"/>
        <v>444506.7311038851</v>
      </c>
      <c r="AN385" s="2">
        <f t="shared" si="992"/>
        <v>1929109.9720086339</v>
      </c>
      <c r="AO385" s="2">
        <f t="shared" si="992"/>
        <v>-4.1024645756015979E-12</v>
      </c>
      <c r="AP385" s="2"/>
      <c r="AQ385" s="61" t="str">
        <f t="shared" si="1002"/>
        <v>E385*      "</v>
      </c>
      <c r="AS385" s="2">
        <f t="shared" si="993"/>
        <v>526383.29688748112</v>
      </c>
      <c r="AT385" s="2">
        <f t="shared" si="994"/>
        <v>333435.11054311343</v>
      </c>
      <c r="AU385" s="2">
        <f t="shared" si="994"/>
        <v>146093.42554612679</v>
      </c>
      <c r="AV385" s="2">
        <f t="shared" si="994"/>
        <v>0</v>
      </c>
      <c r="AW385" s="2">
        <f t="shared" si="994"/>
        <v>5262.6794351338631</v>
      </c>
      <c r="AX385" s="2">
        <f t="shared" si="994"/>
        <v>41592.081363106983</v>
      </c>
      <c r="AY385" s="2">
        <f t="shared" si="994"/>
        <v>0</v>
      </c>
      <c r="BA385" s="2">
        <f t="shared" si="995"/>
        <v>444506.73110388499</v>
      </c>
      <c r="BB385" s="2">
        <f t="shared" si="996"/>
        <v>251302.53435260287</v>
      </c>
      <c r="BC385" s="2">
        <f t="shared" si="996"/>
        <v>155091.80510351827</v>
      </c>
      <c r="BD385" s="2">
        <f t="shared" si="996"/>
        <v>0</v>
      </c>
      <c r="BE385" s="2">
        <f t="shared" si="996"/>
        <v>3341.7126914162845</v>
      </c>
      <c r="BF385" s="2">
        <f t="shared" si="996"/>
        <v>34770.678956347576</v>
      </c>
      <c r="BG385" s="2">
        <f t="shared" si="996"/>
        <v>0</v>
      </c>
      <c r="BI385" s="2">
        <f t="shared" si="997"/>
        <v>1929109.9720086337</v>
      </c>
      <c r="BJ385" s="2">
        <f t="shared" si="998"/>
        <v>1856253.740575165</v>
      </c>
      <c r="BK385" s="2">
        <f t="shared" si="998"/>
        <v>69246.67055004288</v>
      </c>
      <c r="BL385" s="2">
        <f t="shared" si="998"/>
        <v>0</v>
      </c>
      <c r="BM385" s="2">
        <f t="shared" si="998"/>
        <v>335.02137658353735</v>
      </c>
      <c r="BN385" s="2">
        <f t="shared" si="998"/>
        <v>3274.5395068423963</v>
      </c>
      <c r="BO385" s="2">
        <f t="shared" si="998"/>
        <v>0</v>
      </c>
    </row>
    <row r="386" spans="1:67">
      <c r="A386" s="50">
        <f t="shared" si="876"/>
        <v>386</v>
      </c>
      <c r="B386" s="51">
        <v>392</v>
      </c>
      <c r="C386" s="36" t="s">
        <v>151</v>
      </c>
      <c r="D386" s="28" t="s">
        <v>376</v>
      </c>
      <c r="E386" s="369">
        <f>PROFORMA!AY206</f>
        <v>0</v>
      </c>
      <c r="F386" s="60" t="str">
        <f>"as 391 Plant ("&amp;A$48&amp;")"</f>
        <v>as 391 Plant (48)</v>
      </c>
      <c r="G386" s="60"/>
      <c r="H386" s="2">
        <f t="shared" si="999"/>
        <v>0</v>
      </c>
      <c r="I386" s="2">
        <f t="shared" si="989"/>
        <v>0</v>
      </c>
      <c r="J386" s="2">
        <f t="shared" si="989"/>
        <v>0</v>
      </c>
      <c r="K386" s="2">
        <f t="shared" si="989"/>
        <v>0</v>
      </c>
      <c r="L386" s="2">
        <f t="shared" si="989"/>
        <v>0</v>
      </c>
      <c r="M386" s="2">
        <f t="shared" si="989"/>
        <v>0</v>
      </c>
      <c r="N386" s="2">
        <f t="shared" si="989"/>
        <v>0</v>
      </c>
      <c r="O386" s="2"/>
      <c r="P386" s="61" t="s">
        <v>997</v>
      </c>
      <c r="Q386" s="61"/>
      <c r="R386" s="14">
        <f>R$48</f>
        <v>9.9370957155623774E-2</v>
      </c>
      <c r="S386" s="14">
        <f t="shared" ref="S386:AH386" si="1004">S$48</f>
        <v>1.5218388550417537E-2</v>
      </c>
      <c r="T386" s="14">
        <f t="shared" si="1004"/>
        <v>8.699877677308605E-3</v>
      </c>
      <c r="U386" s="14">
        <f t="shared" si="1004"/>
        <v>5.822225830198835E-2</v>
      </c>
      <c r="V386" s="14">
        <f t="shared" si="1004"/>
        <v>0</v>
      </c>
      <c r="W386" s="14">
        <f t="shared" si="1004"/>
        <v>0.15327818313927072</v>
      </c>
      <c r="X386" s="14">
        <f t="shared" si="1004"/>
        <v>0</v>
      </c>
      <c r="Y386" s="14">
        <f t="shared" si="1004"/>
        <v>0</v>
      </c>
      <c r="Z386" s="14">
        <f t="shared" si="1004"/>
        <v>0</v>
      </c>
      <c r="AA386" s="14">
        <f t="shared" si="1004"/>
        <v>0</v>
      </c>
      <c r="AB386" s="14">
        <f t="shared" si="1004"/>
        <v>0.41313387731559803</v>
      </c>
      <c r="AC386" s="14">
        <f t="shared" si="1004"/>
        <v>0.17108548237195526</v>
      </c>
      <c r="AD386" s="14">
        <f t="shared" si="1004"/>
        <v>7.9473703927617212E-2</v>
      </c>
      <c r="AE386" s="14">
        <f t="shared" si="1004"/>
        <v>0</v>
      </c>
      <c r="AF386" s="14">
        <f t="shared" si="1004"/>
        <v>1.5172715602204624E-3</v>
      </c>
      <c r="AG386" s="14">
        <f t="shared" si="1004"/>
        <v>0</v>
      </c>
      <c r="AH386" s="14">
        <f t="shared" si="1004"/>
        <v>-1.4146429571039994E-18</v>
      </c>
      <c r="AI386" s="76">
        <f t="shared" si="1001"/>
        <v>0</v>
      </c>
      <c r="AK386" s="2">
        <f t="shared" si="991"/>
        <v>0</v>
      </c>
      <c r="AL386" s="2">
        <f t="shared" si="992"/>
        <v>0</v>
      </c>
      <c r="AM386" s="2">
        <f t="shared" si="992"/>
        <v>0</v>
      </c>
      <c r="AN386" s="2">
        <f t="shared" si="992"/>
        <v>0</v>
      </c>
      <c r="AO386" s="2">
        <f t="shared" si="992"/>
        <v>0</v>
      </c>
      <c r="AP386" s="2"/>
      <c r="AQ386" s="61" t="str">
        <f t="shared" si="1002"/>
        <v>E386*      "</v>
      </c>
      <c r="AS386" s="2">
        <f t="shared" si="993"/>
        <v>0</v>
      </c>
      <c r="AT386" s="2">
        <f t="shared" si="994"/>
        <v>0</v>
      </c>
      <c r="AU386" s="2">
        <f t="shared" si="994"/>
        <v>0</v>
      </c>
      <c r="AV386" s="2">
        <f t="shared" si="994"/>
        <v>0</v>
      </c>
      <c r="AW386" s="2">
        <f t="shared" si="994"/>
        <v>0</v>
      </c>
      <c r="AX386" s="2">
        <f t="shared" si="994"/>
        <v>0</v>
      </c>
      <c r="AY386" s="2">
        <f t="shared" si="994"/>
        <v>0</v>
      </c>
      <c r="BA386" s="2">
        <f t="shared" si="995"/>
        <v>0</v>
      </c>
      <c r="BB386" s="2">
        <f t="shared" si="996"/>
        <v>0</v>
      </c>
      <c r="BC386" s="2">
        <f t="shared" si="996"/>
        <v>0</v>
      </c>
      <c r="BD386" s="2">
        <f t="shared" si="996"/>
        <v>0</v>
      </c>
      <c r="BE386" s="2">
        <f t="shared" si="996"/>
        <v>0</v>
      </c>
      <c r="BF386" s="2">
        <f t="shared" si="996"/>
        <v>0</v>
      </c>
      <c r="BG386" s="2">
        <f t="shared" si="996"/>
        <v>0</v>
      </c>
      <c r="BI386" s="2">
        <f t="shared" si="997"/>
        <v>0</v>
      </c>
      <c r="BJ386" s="2">
        <f t="shared" si="998"/>
        <v>0</v>
      </c>
      <c r="BK386" s="2">
        <f t="shared" si="998"/>
        <v>0</v>
      </c>
      <c r="BL386" s="2">
        <f t="shared" si="998"/>
        <v>0</v>
      </c>
      <c r="BM386" s="2">
        <f t="shared" si="998"/>
        <v>0</v>
      </c>
      <c r="BN386" s="2">
        <f t="shared" si="998"/>
        <v>0</v>
      </c>
      <c r="BO386" s="2">
        <f t="shared" si="998"/>
        <v>0</v>
      </c>
    </row>
    <row r="387" spans="1:67">
      <c r="A387" s="50">
        <f t="shared" si="876"/>
        <v>387</v>
      </c>
      <c r="B387" s="51">
        <v>393</v>
      </c>
      <c r="C387" s="36" t="s">
        <v>151</v>
      </c>
      <c r="D387" s="28" t="s">
        <v>377</v>
      </c>
      <c r="E387" s="369">
        <f>PROFORMA!AY207</f>
        <v>65000</v>
      </c>
      <c r="F387" s="60" t="str">
        <f>"as 392 Plant ("&amp;A$49&amp;")"</f>
        <v>as 392 Plant (49)</v>
      </c>
      <c r="G387" s="60"/>
      <c r="H387" s="2">
        <f t="shared" si="999"/>
        <v>65000</v>
      </c>
      <c r="I387" s="2">
        <f t="shared" si="989"/>
        <v>54711.875881243897</v>
      </c>
      <c r="J387" s="2">
        <f t="shared" si="989"/>
        <v>8302.7839924067976</v>
      </c>
      <c r="K387" s="2">
        <f t="shared" si="989"/>
        <v>0</v>
      </c>
      <c r="L387" s="2">
        <f t="shared" si="989"/>
        <v>200.36616472541019</v>
      </c>
      <c r="M387" s="2">
        <f t="shared" si="989"/>
        <v>1784.9739616238971</v>
      </c>
      <c r="N387" s="2">
        <f t="shared" si="989"/>
        <v>0</v>
      </c>
      <c r="O387" s="2"/>
      <c r="P387" s="61" t="s">
        <v>997</v>
      </c>
      <c r="Q387" s="61"/>
      <c r="R387" s="14">
        <f>R$49</f>
        <v>9.9370957155623774E-2</v>
      </c>
      <c r="S387" s="14">
        <f t="shared" ref="S387:AH387" si="1005">S$49</f>
        <v>1.5218388550417537E-2</v>
      </c>
      <c r="T387" s="14">
        <f t="shared" si="1005"/>
        <v>8.699877677308605E-3</v>
      </c>
      <c r="U387" s="14">
        <f t="shared" si="1005"/>
        <v>5.822225830198835E-2</v>
      </c>
      <c r="V387" s="14">
        <f t="shared" si="1005"/>
        <v>0</v>
      </c>
      <c r="W387" s="14">
        <f t="shared" si="1005"/>
        <v>0.15327818313927072</v>
      </c>
      <c r="X387" s="14">
        <f t="shared" si="1005"/>
        <v>0</v>
      </c>
      <c r="Y387" s="14">
        <f t="shared" si="1005"/>
        <v>0</v>
      </c>
      <c r="Z387" s="14">
        <f t="shared" si="1005"/>
        <v>0</v>
      </c>
      <c r="AA387" s="14">
        <f t="shared" si="1005"/>
        <v>0</v>
      </c>
      <c r="AB387" s="14">
        <f t="shared" si="1005"/>
        <v>0.41313387731559803</v>
      </c>
      <c r="AC387" s="14">
        <f t="shared" si="1005"/>
        <v>0.17108548237195526</v>
      </c>
      <c r="AD387" s="14">
        <f t="shared" si="1005"/>
        <v>7.9473703927617212E-2</v>
      </c>
      <c r="AE387" s="14">
        <f t="shared" si="1005"/>
        <v>0</v>
      </c>
      <c r="AF387" s="14">
        <f t="shared" si="1005"/>
        <v>1.5172715602204624E-3</v>
      </c>
      <c r="AG387" s="14">
        <f t="shared" si="1005"/>
        <v>0</v>
      </c>
      <c r="AH387" s="14">
        <f t="shared" si="1005"/>
        <v>-1.4146429571039994E-18</v>
      </c>
      <c r="AI387" s="76">
        <f t="shared" si="1001"/>
        <v>0</v>
      </c>
      <c r="AK387" s="2">
        <f t="shared" si="991"/>
        <v>64999.999999999993</v>
      </c>
      <c r="AL387" s="2">
        <f t="shared" si="992"/>
        <v>11798.246309546987</v>
      </c>
      <c r="AM387" s="2">
        <f t="shared" si="992"/>
        <v>9963.0819040525967</v>
      </c>
      <c r="AN387" s="2">
        <f t="shared" si="992"/>
        <v>43238.671786400409</v>
      </c>
      <c r="AO387" s="2">
        <f t="shared" si="992"/>
        <v>-9.1951792211759961E-14</v>
      </c>
      <c r="AP387" s="2"/>
      <c r="AQ387" s="61" t="str">
        <f t="shared" si="1002"/>
        <v>E387*      "</v>
      </c>
      <c r="AS387" s="2">
        <f t="shared" si="993"/>
        <v>11798.246309546988</v>
      </c>
      <c r="AT387" s="2">
        <f t="shared" si="994"/>
        <v>7473.5455811387492</v>
      </c>
      <c r="AU387" s="2">
        <f t="shared" si="994"/>
        <v>3274.5078139649108</v>
      </c>
      <c r="AV387" s="2">
        <f t="shared" si="994"/>
        <v>0</v>
      </c>
      <c r="AW387" s="2">
        <f t="shared" si="994"/>
        <v>117.95660802886245</v>
      </c>
      <c r="AX387" s="2">
        <f t="shared" si="994"/>
        <v>932.23630641446687</v>
      </c>
      <c r="AY387" s="2">
        <f t="shared" si="994"/>
        <v>0</v>
      </c>
      <c r="BA387" s="2">
        <f t="shared" si="995"/>
        <v>9963.0819040525967</v>
      </c>
      <c r="BB387" s="2">
        <f t="shared" si="996"/>
        <v>5632.6430113514443</v>
      </c>
      <c r="BC387" s="2">
        <f t="shared" si="996"/>
        <v>3476.1956316305823</v>
      </c>
      <c r="BD387" s="2">
        <f t="shared" si="996"/>
        <v>0</v>
      </c>
      <c r="BE387" s="2">
        <f t="shared" si="996"/>
        <v>74.900456876571894</v>
      </c>
      <c r="BF387" s="2">
        <f t="shared" si="996"/>
        <v>779.34280419399738</v>
      </c>
      <c r="BG387" s="2">
        <f t="shared" si="996"/>
        <v>0</v>
      </c>
      <c r="BI387" s="2">
        <f t="shared" si="997"/>
        <v>43238.671786400409</v>
      </c>
      <c r="BJ387" s="2">
        <f t="shared" si="998"/>
        <v>41605.687288753703</v>
      </c>
      <c r="BK387" s="2">
        <f t="shared" si="998"/>
        <v>1552.080546811306</v>
      </c>
      <c r="BL387" s="2">
        <f t="shared" si="998"/>
        <v>0</v>
      </c>
      <c r="BM387" s="2">
        <f t="shared" si="998"/>
        <v>7.5090998199758374</v>
      </c>
      <c r="BN387" s="2">
        <f t="shared" si="998"/>
        <v>73.394851015433019</v>
      </c>
      <c r="BO387" s="2">
        <f t="shared" si="998"/>
        <v>0</v>
      </c>
    </row>
    <row r="388" spans="1:67">
      <c r="A388" s="50">
        <f t="shared" si="876"/>
        <v>388</v>
      </c>
      <c r="B388" s="51">
        <v>394</v>
      </c>
      <c r="C388" s="36" t="s">
        <v>151</v>
      </c>
      <c r="D388" s="28" t="s">
        <v>378</v>
      </c>
      <c r="E388" s="369">
        <f>PROFORMA!AY208</f>
        <v>608000</v>
      </c>
      <c r="F388" s="60" t="str">
        <f>"as 393 Plant ("&amp;A$50&amp;")"</f>
        <v>as 393 Plant (50)</v>
      </c>
      <c r="G388" s="60"/>
      <c r="H388" s="2">
        <f t="shared" si="999"/>
        <v>608000.00000000012</v>
      </c>
      <c r="I388" s="2">
        <f t="shared" si="989"/>
        <v>511766.46978148137</v>
      </c>
      <c r="J388" s="2">
        <f t="shared" si="989"/>
        <v>77662.96411358974</v>
      </c>
      <c r="K388" s="2">
        <f t="shared" si="989"/>
        <v>0</v>
      </c>
      <c r="L388" s="2">
        <f t="shared" si="989"/>
        <v>1874.1942792776829</v>
      </c>
      <c r="M388" s="2">
        <f t="shared" si="989"/>
        <v>16696.371825651222</v>
      </c>
      <c r="N388" s="2">
        <f t="shared" si="989"/>
        <v>0</v>
      </c>
      <c r="O388" s="2"/>
      <c r="P388" s="61" t="s">
        <v>997</v>
      </c>
      <c r="Q388" s="61"/>
      <c r="R388" s="14">
        <f>R$50</f>
        <v>9.9370957155623774E-2</v>
      </c>
      <c r="S388" s="14">
        <f t="shared" ref="S388:AH388" si="1006">S$50</f>
        <v>1.5218388550417537E-2</v>
      </c>
      <c r="T388" s="14">
        <f t="shared" si="1006"/>
        <v>8.699877677308605E-3</v>
      </c>
      <c r="U388" s="14">
        <f t="shared" si="1006"/>
        <v>5.822225830198835E-2</v>
      </c>
      <c r="V388" s="14">
        <f t="shared" si="1006"/>
        <v>0</v>
      </c>
      <c r="W388" s="14">
        <f t="shared" si="1006"/>
        <v>0.15327818313927072</v>
      </c>
      <c r="X388" s="14">
        <f t="shared" si="1006"/>
        <v>0</v>
      </c>
      <c r="Y388" s="14">
        <f t="shared" si="1006"/>
        <v>0</v>
      </c>
      <c r="Z388" s="14">
        <f t="shared" si="1006"/>
        <v>0</v>
      </c>
      <c r="AA388" s="14">
        <f t="shared" si="1006"/>
        <v>0</v>
      </c>
      <c r="AB388" s="14">
        <f t="shared" si="1006"/>
        <v>0.41313387731559803</v>
      </c>
      <c r="AC388" s="14">
        <f t="shared" si="1006"/>
        <v>0.17108548237195526</v>
      </c>
      <c r="AD388" s="14">
        <f t="shared" si="1006"/>
        <v>7.9473703927617212E-2</v>
      </c>
      <c r="AE388" s="14">
        <f t="shared" si="1006"/>
        <v>0</v>
      </c>
      <c r="AF388" s="14">
        <f t="shared" si="1006"/>
        <v>1.5172715602204624E-3</v>
      </c>
      <c r="AG388" s="14">
        <f t="shared" si="1006"/>
        <v>0</v>
      </c>
      <c r="AH388" s="14">
        <f t="shared" si="1006"/>
        <v>-1.4146429571039994E-18</v>
      </c>
      <c r="AI388" s="76">
        <f t="shared" si="1001"/>
        <v>0</v>
      </c>
      <c r="AK388" s="2">
        <f t="shared" si="991"/>
        <v>608000</v>
      </c>
      <c r="AL388" s="2">
        <f t="shared" si="992"/>
        <v>110358.98086468567</v>
      </c>
      <c r="AM388" s="2">
        <f t="shared" si="992"/>
        <v>93193.135348676602</v>
      </c>
      <c r="AN388" s="2">
        <f t="shared" si="992"/>
        <v>404447.88378663769</v>
      </c>
      <c r="AO388" s="2">
        <f t="shared" si="992"/>
        <v>-8.6010291791923168E-13</v>
      </c>
      <c r="AP388" s="2"/>
      <c r="AQ388" s="61" t="str">
        <f t="shared" si="1002"/>
        <v>E388*      "</v>
      </c>
      <c r="AS388" s="2">
        <f t="shared" si="993"/>
        <v>110358.98086468567</v>
      </c>
      <c r="AT388" s="2">
        <f t="shared" si="994"/>
        <v>69906.395589728607</v>
      </c>
      <c r="AU388" s="2">
        <f t="shared" si="994"/>
        <v>30629.242321394857</v>
      </c>
      <c r="AV388" s="2">
        <f t="shared" si="994"/>
        <v>0</v>
      </c>
      <c r="AW388" s="2">
        <f t="shared" si="994"/>
        <v>1103.3479643315134</v>
      </c>
      <c r="AX388" s="2">
        <f t="shared" si="994"/>
        <v>8719.994989230705</v>
      </c>
      <c r="AY388" s="2">
        <f t="shared" si="994"/>
        <v>0</v>
      </c>
      <c r="BA388" s="2">
        <f t="shared" si="995"/>
        <v>93193.135348676602</v>
      </c>
      <c r="BB388" s="2">
        <f t="shared" si="996"/>
        <v>52686.876167718125</v>
      </c>
      <c r="BC388" s="2">
        <f t="shared" si="996"/>
        <v>32515.799138944523</v>
      </c>
      <c r="BD388" s="2">
        <f t="shared" si="996"/>
        <v>0</v>
      </c>
      <c r="BE388" s="2">
        <f t="shared" si="996"/>
        <v>700.60735047624178</v>
      </c>
      <c r="BF388" s="2">
        <f t="shared" si="996"/>
        <v>7289.8526915376988</v>
      </c>
      <c r="BG388" s="2">
        <f t="shared" si="996"/>
        <v>0</v>
      </c>
      <c r="BI388" s="2">
        <f t="shared" si="997"/>
        <v>404447.88378663774</v>
      </c>
      <c r="BJ388" s="2">
        <f t="shared" si="998"/>
        <v>389173.19802403462</v>
      </c>
      <c r="BK388" s="2">
        <f t="shared" si="998"/>
        <v>14517.922653250369</v>
      </c>
      <c r="BL388" s="2">
        <f t="shared" si="998"/>
        <v>0</v>
      </c>
      <c r="BM388" s="2">
        <f t="shared" si="998"/>
        <v>70.238964469927836</v>
      </c>
      <c r="BN388" s="2">
        <f t="shared" si="998"/>
        <v>686.52414488281966</v>
      </c>
      <c r="BO388" s="2">
        <f t="shared" si="998"/>
        <v>0</v>
      </c>
    </row>
    <row r="389" spans="1:67">
      <c r="A389" s="50">
        <f t="shared" si="876"/>
        <v>389</v>
      </c>
      <c r="B389" s="51">
        <v>395</v>
      </c>
      <c r="C389" s="36" t="s">
        <v>151</v>
      </c>
      <c r="D389" s="28" t="s">
        <v>379</v>
      </c>
      <c r="E389" s="369">
        <f>PROFORMA!AY209</f>
        <v>48000</v>
      </c>
      <c r="F389" s="60" t="str">
        <f>"as 394 Plant ("&amp;A$51&amp;")"</f>
        <v>as 394 Plant (51)</v>
      </c>
      <c r="G389" s="60"/>
      <c r="H389" s="2">
        <f t="shared" si="999"/>
        <v>48000.000000000007</v>
      </c>
      <c r="I389" s="2">
        <f t="shared" si="989"/>
        <v>40402.61603538011</v>
      </c>
      <c r="J389" s="2">
        <f t="shared" si="989"/>
        <v>6131.2866405465584</v>
      </c>
      <c r="K389" s="2">
        <f t="shared" si="989"/>
        <v>0</v>
      </c>
      <c r="L389" s="2">
        <f t="shared" si="989"/>
        <v>147.96270625876446</v>
      </c>
      <c r="M389" s="2">
        <f t="shared" si="989"/>
        <v>1318.1346178145702</v>
      </c>
      <c r="N389" s="2">
        <f t="shared" si="989"/>
        <v>0</v>
      </c>
      <c r="O389" s="2"/>
      <c r="P389" s="61" t="s">
        <v>997</v>
      </c>
      <c r="Q389" s="61"/>
      <c r="R389" s="14">
        <f>R$51</f>
        <v>9.9370957155623774E-2</v>
      </c>
      <c r="S389" s="14">
        <f t="shared" ref="S389:AH389" si="1007">S$51</f>
        <v>1.5218388550417537E-2</v>
      </c>
      <c r="T389" s="14">
        <f t="shared" si="1007"/>
        <v>8.699877677308605E-3</v>
      </c>
      <c r="U389" s="14">
        <f t="shared" si="1007"/>
        <v>5.822225830198835E-2</v>
      </c>
      <c r="V389" s="14">
        <f t="shared" si="1007"/>
        <v>0</v>
      </c>
      <c r="W389" s="14">
        <f t="shared" si="1007"/>
        <v>0.15327818313927072</v>
      </c>
      <c r="X389" s="14">
        <f t="shared" si="1007"/>
        <v>0</v>
      </c>
      <c r="Y389" s="14">
        <f t="shared" si="1007"/>
        <v>0</v>
      </c>
      <c r="Z389" s="14">
        <f t="shared" si="1007"/>
        <v>0</v>
      </c>
      <c r="AA389" s="14">
        <f t="shared" si="1007"/>
        <v>0</v>
      </c>
      <c r="AB389" s="14">
        <f t="shared" si="1007"/>
        <v>0.41313387731559803</v>
      </c>
      <c r="AC389" s="14">
        <f t="shared" si="1007"/>
        <v>0.17108548237195526</v>
      </c>
      <c r="AD389" s="14">
        <f t="shared" si="1007"/>
        <v>7.9473703927617212E-2</v>
      </c>
      <c r="AE389" s="14">
        <f t="shared" si="1007"/>
        <v>0</v>
      </c>
      <c r="AF389" s="14">
        <f t="shared" si="1007"/>
        <v>1.5172715602204624E-3</v>
      </c>
      <c r="AG389" s="14">
        <f t="shared" si="1007"/>
        <v>0</v>
      </c>
      <c r="AH389" s="14">
        <f t="shared" si="1007"/>
        <v>-1.4146429571039994E-18</v>
      </c>
      <c r="AI389" s="76">
        <f t="shared" si="1001"/>
        <v>0</v>
      </c>
      <c r="AK389" s="2">
        <f t="shared" si="991"/>
        <v>48000</v>
      </c>
      <c r="AL389" s="2">
        <f t="shared" si="992"/>
        <v>8712.5511208962362</v>
      </c>
      <c r="AM389" s="2">
        <f t="shared" si="992"/>
        <v>7357.352790684994</v>
      </c>
      <c r="AN389" s="2">
        <f t="shared" si="992"/>
        <v>31930.096088418766</v>
      </c>
      <c r="AO389" s="2">
        <f t="shared" si="992"/>
        <v>-6.7902861940991976E-14</v>
      </c>
      <c r="AP389" s="2"/>
      <c r="AQ389" s="61" t="str">
        <f t="shared" si="1002"/>
        <v>E389*      "</v>
      </c>
      <c r="AS389" s="2">
        <f t="shared" si="993"/>
        <v>8712.5511208962362</v>
      </c>
      <c r="AT389" s="2">
        <f t="shared" si="994"/>
        <v>5518.9259676101528</v>
      </c>
      <c r="AU389" s="2">
        <f t="shared" si="994"/>
        <v>2418.0980780048571</v>
      </c>
      <c r="AV389" s="2">
        <f t="shared" si="994"/>
        <v>0</v>
      </c>
      <c r="AW389" s="2">
        <f t="shared" si="994"/>
        <v>87.106418236698417</v>
      </c>
      <c r="AX389" s="2">
        <f t="shared" si="994"/>
        <v>688.42065704452932</v>
      </c>
      <c r="AY389" s="2">
        <f t="shared" si="994"/>
        <v>0</v>
      </c>
      <c r="BA389" s="2">
        <f t="shared" si="995"/>
        <v>7357.352790684994</v>
      </c>
      <c r="BB389" s="2">
        <f t="shared" si="996"/>
        <v>4159.4902237672204</v>
      </c>
      <c r="BC389" s="2">
        <f t="shared" si="996"/>
        <v>2567.0367741271989</v>
      </c>
      <c r="BD389" s="2">
        <f t="shared" si="996"/>
        <v>0</v>
      </c>
      <c r="BE389" s="2">
        <f t="shared" si="996"/>
        <v>55.311106616545402</v>
      </c>
      <c r="BF389" s="2">
        <f t="shared" si="996"/>
        <v>575.51468617402884</v>
      </c>
      <c r="BG389" s="2">
        <f t="shared" si="996"/>
        <v>0</v>
      </c>
      <c r="BI389" s="2">
        <f t="shared" si="997"/>
        <v>31930.09608841877</v>
      </c>
      <c r="BJ389" s="2">
        <f t="shared" si="998"/>
        <v>30724.199844002735</v>
      </c>
      <c r="BK389" s="2">
        <f t="shared" si="998"/>
        <v>1146.1517884145028</v>
      </c>
      <c r="BL389" s="2">
        <f t="shared" si="998"/>
        <v>0</v>
      </c>
      <c r="BM389" s="2">
        <f t="shared" si="998"/>
        <v>5.5451814055206183</v>
      </c>
      <c r="BN389" s="2">
        <f t="shared" si="998"/>
        <v>54.199274596012074</v>
      </c>
      <c r="BO389" s="2">
        <f t="shared" si="998"/>
        <v>0</v>
      </c>
    </row>
    <row r="390" spans="1:67">
      <c r="A390" s="50">
        <f t="shared" si="876"/>
        <v>390</v>
      </c>
      <c r="B390" s="51">
        <v>396</v>
      </c>
      <c r="C390" s="36" t="s">
        <v>151</v>
      </c>
      <c r="D390" s="28" t="s">
        <v>380</v>
      </c>
      <c r="E390" s="369">
        <f>PROFORMA!AY210</f>
        <v>0</v>
      </c>
      <c r="F390" s="60" t="str">
        <f>"as 395 Plant ("&amp;A$52&amp;")"</f>
        <v>as 395 Plant (52)</v>
      </c>
      <c r="G390" s="60"/>
      <c r="H390" s="2">
        <f t="shared" si="999"/>
        <v>0</v>
      </c>
      <c r="I390" s="2">
        <f t="shared" si="989"/>
        <v>0</v>
      </c>
      <c r="J390" s="2">
        <f t="shared" si="989"/>
        <v>0</v>
      </c>
      <c r="K390" s="2">
        <f t="shared" si="989"/>
        <v>0</v>
      </c>
      <c r="L390" s="2">
        <f t="shared" si="989"/>
        <v>0</v>
      </c>
      <c r="M390" s="2">
        <f t="shared" si="989"/>
        <v>0</v>
      </c>
      <c r="N390" s="2">
        <f t="shared" si="989"/>
        <v>0</v>
      </c>
      <c r="O390" s="2"/>
      <c r="P390" s="61" t="s">
        <v>997</v>
      </c>
      <c r="Q390" s="61"/>
      <c r="R390" s="14">
        <f>R$52</f>
        <v>9.9370957155623774E-2</v>
      </c>
      <c r="S390" s="14">
        <f t="shared" ref="S390:AH390" si="1008">S$52</f>
        <v>1.5218388550417537E-2</v>
      </c>
      <c r="T390" s="14">
        <f t="shared" si="1008"/>
        <v>8.699877677308605E-3</v>
      </c>
      <c r="U390" s="14">
        <f t="shared" si="1008"/>
        <v>5.822225830198835E-2</v>
      </c>
      <c r="V390" s="14">
        <f t="shared" si="1008"/>
        <v>0</v>
      </c>
      <c r="W390" s="14">
        <f t="shared" si="1008"/>
        <v>0.15327818313927072</v>
      </c>
      <c r="X390" s="14">
        <f t="shared" si="1008"/>
        <v>0</v>
      </c>
      <c r="Y390" s="14">
        <f t="shared" si="1008"/>
        <v>0</v>
      </c>
      <c r="Z390" s="14">
        <f t="shared" si="1008"/>
        <v>0</v>
      </c>
      <c r="AA390" s="14">
        <f t="shared" si="1008"/>
        <v>0</v>
      </c>
      <c r="AB390" s="14">
        <f t="shared" si="1008"/>
        <v>0.41313387731559803</v>
      </c>
      <c r="AC390" s="14">
        <f t="shared" si="1008"/>
        <v>0.17108548237195526</v>
      </c>
      <c r="AD390" s="14">
        <f t="shared" si="1008"/>
        <v>7.9473703927617212E-2</v>
      </c>
      <c r="AE390" s="14">
        <f t="shared" si="1008"/>
        <v>0</v>
      </c>
      <c r="AF390" s="14">
        <f t="shared" si="1008"/>
        <v>1.5172715602204624E-3</v>
      </c>
      <c r="AG390" s="14">
        <f t="shared" si="1008"/>
        <v>0</v>
      </c>
      <c r="AH390" s="14">
        <f t="shared" si="1008"/>
        <v>-1.4146429571039994E-18</v>
      </c>
      <c r="AI390" s="76">
        <f t="shared" si="1001"/>
        <v>0</v>
      </c>
      <c r="AK390" s="2">
        <f t="shared" si="991"/>
        <v>0</v>
      </c>
      <c r="AL390" s="2">
        <f t="shared" si="992"/>
        <v>0</v>
      </c>
      <c r="AM390" s="2">
        <f t="shared" si="992"/>
        <v>0</v>
      </c>
      <c r="AN390" s="2">
        <f t="shared" si="992"/>
        <v>0</v>
      </c>
      <c r="AO390" s="2">
        <f t="shared" si="992"/>
        <v>0</v>
      </c>
      <c r="AP390" s="2"/>
      <c r="AQ390" s="61" t="str">
        <f t="shared" si="1002"/>
        <v>E390*      "</v>
      </c>
      <c r="AS390" s="2">
        <f t="shared" si="993"/>
        <v>0</v>
      </c>
      <c r="AT390" s="2">
        <f t="shared" si="994"/>
        <v>0</v>
      </c>
      <c r="AU390" s="2">
        <f t="shared" si="994"/>
        <v>0</v>
      </c>
      <c r="AV390" s="2">
        <f t="shared" si="994"/>
        <v>0</v>
      </c>
      <c r="AW390" s="2">
        <f t="shared" si="994"/>
        <v>0</v>
      </c>
      <c r="AX390" s="2">
        <f t="shared" si="994"/>
        <v>0</v>
      </c>
      <c r="AY390" s="2">
        <f t="shared" si="994"/>
        <v>0</v>
      </c>
      <c r="BA390" s="2">
        <f t="shared" si="995"/>
        <v>0</v>
      </c>
      <c r="BB390" s="2">
        <f t="shared" si="996"/>
        <v>0</v>
      </c>
      <c r="BC390" s="2">
        <f t="shared" si="996"/>
        <v>0</v>
      </c>
      <c r="BD390" s="2">
        <f t="shared" si="996"/>
        <v>0</v>
      </c>
      <c r="BE390" s="2">
        <f t="shared" si="996"/>
        <v>0</v>
      </c>
      <c r="BF390" s="2">
        <f t="shared" si="996"/>
        <v>0</v>
      </c>
      <c r="BG390" s="2">
        <f t="shared" si="996"/>
        <v>0</v>
      </c>
      <c r="BI390" s="2">
        <f t="shared" si="997"/>
        <v>0</v>
      </c>
      <c r="BJ390" s="2">
        <f t="shared" si="998"/>
        <v>0</v>
      </c>
      <c r="BK390" s="2">
        <f t="shared" si="998"/>
        <v>0</v>
      </c>
      <c r="BL390" s="2">
        <f t="shared" si="998"/>
        <v>0</v>
      </c>
      <c r="BM390" s="2">
        <f t="shared" si="998"/>
        <v>0</v>
      </c>
      <c r="BN390" s="2">
        <f t="shared" si="998"/>
        <v>0</v>
      </c>
      <c r="BO390" s="2">
        <f t="shared" si="998"/>
        <v>0</v>
      </c>
    </row>
    <row r="391" spans="1:67">
      <c r="A391" s="50">
        <f t="shared" si="876"/>
        <v>391</v>
      </c>
      <c r="B391" s="51">
        <v>397</v>
      </c>
      <c r="C391" s="36" t="s">
        <v>151</v>
      </c>
      <c r="D391" s="28" t="s">
        <v>381</v>
      </c>
      <c r="E391" s="369">
        <f>PROFORMA!AY211</f>
        <v>1793000</v>
      </c>
      <c r="F391" s="60" t="str">
        <f>"as 396 Plant ("&amp;A$53&amp;")"</f>
        <v>as 396 Plant (53)</v>
      </c>
      <c r="G391" s="60"/>
      <c r="H391" s="2">
        <f t="shared" si="999"/>
        <v>1793000</v>
      </c>
      <c r="I391" s="2">
        <f t="shared" si="989"/>
        <v>1509206.0531549277</v>
      </c>
      <c r="J391" s="2">
        <f t="shared" si="989"/>
        <v>229029.10305208291</v>
      </c>
      <c r="K391" s="2">
        <f t="shared" si="989"/>
        <v>0</v>
      </c>
      <c r="L391" s="2">
        <f t="shared" si="989"/>
        <v>5527.0235900409307</v>
      </c>
      <c r="M391" s="2">
        <f t="shared" si="989"/>
        <v>49237.820202948424</v>
      </c>
      <c r="N391" s="2">
        <f t="shared" si="989"/>
        <v>0</v>
      </c>
      <c r="O391" s="2"/>
      <c r="P391" s="61" t="s">
        <v>997</v>
      </c>
      <c r="Q391" s="61"/>
      <c r="R391" s="14">
        <f>R$53</f>
        <v>9.9370957155623774E-2</v>
      </c>
      <c r="S391" s="14">
        <f t="shared" ref="S391:AH391" si="1009">S$53</f>
        <v>1.5218388550417537E-2</v>
      </c>
      <c r="T391" s="14">
        <f t="shared" si="1009"/>
        <v>8.699877677308605E-3</v>
      </c>
      <c r="U391" s="14">
        <f t="shared" si="1009"/>
        <v>5.822225830198835E-2</v>
      </c>
      <c r="V391" s="14">
        <f t="shared" si="1009"/>
        <v>0</v>
      </c>
      <c r="W391" s="14">
        <f t="shared" si="1009"/>
        <v>0.15327818313927072</v>
      </c>
      <c r="X391" s="14">
        <f t="shared" si="1009"/>
        <v>0</v>
      </c>
      <c r="Y391" s="14">
        <f t="shared" si="1009"/>
        <v>0</v>
      </c>
      <c r="Z391" s="14">
        <f t="shared" si="1009"/>
        <v>0</v>
      </c>
      <c r="AA391" s="14">
        <f t="shared" si="1009"/>
        <v>0</v>
      </c>
      <c r="AB391" s="14">
        <f t="shared" si="1009"/>
        <v>0.41313387731559803</v>
      </c>
      <c r="AC391" s="14">
        <f t="shared" si="1009"/>
        <v>0.17108548237195526</v>
      </c>
      <c r="AD391" s="14">
        <f t="shared" si="1009"/>
        <v>7.9473703927617212E-2</v>
      </c>
      <c r="AE391" s="14">
        <f t="shared" si="1009"/>
        <v>0</v>
      </c>
      <c r="AF391" s="14">
        <f t="shared" si="1009"/>
        <v>1.5172715602204624E-3</v>
      </c>
      <c r="AG391" s="14">
        <f t="shared" si="1009"/>
        <v>0</v>
      </c>
      <c r="AH391" s="14">
        <f t="shared" si="1009"/>
        <v>-1.4146429571039994E-18</v>
      </c>
      <c r="AI391" s="76">
        <f t="shared" si="1001"/>
        <v>0</v>
      </c>
      <c r="AK391" s="2">
        <f t="shared" si="991"/>
        <v>1793000</v>
      </c>
      <c r="AL391" s="2">
        <f t="shared" si="992"/>
        <v>325450.08666181151</v>
      </c>
      <c r="AM391" s="2">
        <f t="shared" si="992"/>
        <v>274827.78236871242</v>
      </c>
      <c r="AN391" s="2">
        <f t="shared" si="992"/>
        <v>1192722.130969476</v>
      </c>
      <c r="AO391" s="2">
        <f t="shared" si="992"/>
        <v>-2.5364548220874709E-12</v>
      </c>
      <c r="AP391" s="2"/>
      <c r="AQ391" s="61" t="str">
        <f t="shared" si="1002"/>
        <v>E391*      "</v>
      </c>
      <c r="AS391" s="2">
        <f t="shared" si="993"/>
        <v>325450.08666181157</v>
      </c>
      <c r="AT391" s="2">
        <f t="shared" si="994"/>
        <v>206154.88041510427</v>
      </c>
      <c r="AU391" s="2">
        <f t="shared" si="994"/>
        <v>90326.038622139764</v>
      </c>
      <c r="AV391" s="2">
        <f t="shared" si="994"/>
        <v>0</v>
      </c>
      <c r="AW391" s="2">
        <f t="shared" si="994"/>
        <v>3253.7876645500055</v>
      </c>
      <c r="AX391" s="2">
        <f t="shared" si="994"/>
        <v>25715.379960017523</v>
      </c>
      <c r="AY391" s="2">
        <f t="shared" si="994"/>
        <v>0</v>
      </c>
      <c r="BA391" s="2">
        <f t="shared" si="995"/>
        <v>274827.78236871236</v>
      </c>
      <c r="BB391" s="2">
        <f t="shared" si="996"/>
        <v>155374.29106697137</v>
      </c>
      <c r="BC391" s="2">
        <f t="shared" si="996"/>
        <v>95889.519500209746</v>
      </c>
      <c r="BD391" s="2">
        <f t="shared" si="996"/>
        <v>0</v>
      </c>
      <c r="BE391" s="2">
        <f t="shared" si="996"/>
        <v>2066.1002950722063</v>
      </c>
      <c r="BF391" s="2">
        <f t="shared" si="996"/>
        <v>21497.871506459036</v>
      </c>
      <c r="BG391" s="2">
        <f t="shared" si="996"/>
        <v>0</v>
      </c>
      <c r="BI391" s="2">
        <f t="shared" si="997"/>
        <v>1192722.1309694764</v>
      </c>
      <c r="BJ391" s="2">
        <f t="shared" si="998"/>
        <v>1147676.8816728522</v>
      </c>
      <c r="BK391" s="2">
        <f t="shared" si="998"/>
        <v>42813.544929733405</v>
      </c>
      <c r="BL391" s="2">
        <f t="shared" si="998"/>
        <v>0</v>
      </c>
      <c r="BM391" s="2">
        <f t="shared" si="998"/>
        <v>207.13563041871808</v>
      </c>
      <c r="BN391" s="2">
        <f t="shared" si="998"/>
        <v>2024.5687364718676</v>
      </c>
      <c r="BO391" s="2">
        <f t="shared" si="998"/>
        <v>0</v>
      </c>
    </row>
    <row r="392" spans="1:67">
      <c r="A392" s="50">
        <f t="shared" si="876"/>
        <v>392</v>
      </c>
      <c r="B392" s="51">
        <v>398</v>
      </c>
      <c r="C392" s="36" t="s">
        <v>151</v>
      </c>
      <c r="D392" s="28" t="s">
        <v>382</v>
      </c>
      <c r="E392" s="369">
        <f>PROFORMA!AY212</f>
        <v>16000</v>
      </c>
      <c r="F392" s="60" t="str">
        <f>"as 397 Plant ("&amp;A$54&amp;")"</f>
        <v>as 397 Plant (54)</v>
      </c>
      <c r="G392" s="60"/>
      <c r="H392" s="2">
        <f t="shared" si="999"/>
        <v>16000</v>
      </c>
      <c r="I392" s="2">
        <f t="shared" si="989"/>
        <v>13467.538678460036</v>
      </c>
      <c r="J392" s="2">
        <f t="shared" si="989"/>
        <v>2043.7622135155195</v>
      </c>
      <c r="K392" s="2">
        <f t="shared" si="989"/>
        <v>0</v>
      </c>
      <c r="L392" s="2">
        <f t="shared" si="989"/>
        <v>49.320902086254819</v>
      </c>
      <c r="M392" s="2">
        <f t="shared" si="989"/>
        <v>439.37820593819004</v>
      </c>
      <c r="N392" s="2">
        <f t="shared" si="989"/>
        <v>0</v>
      </c>
      <c r="O392" s="2"/>
      <c r="P392" s="61" t="s">
        <v>997</v>
      </c>
      <c r="Q392" s="61"/>
      <c r="R392" s="14">
        <f>R$54</f>
        <v>9.9370957155623774E-2</v>
      </c>
      <c r="S392" s="14">
        <f t="shared" ref="S392:AH392" si="1010">S$54</f>
        <v>1.5218388550417537E-2</v>
      </c>
      <c r="T392" s="14">
        <f t="shared" si="1010"/>
        <v>8.699877677308605E-3</v>
      </c>
      <c r="U392" s="14">
        <f t="shared" si="1010"/>
        <v>5.822225830198835E-2</v>
      </c>
      <c r="V392" s="14">
        <f t="shared" si="1010"/>
        <v>0</v>
      </c>
      <c r="W392" s="14">
        <f t="shared" si="1010"/>
        <v>0.15327818313927072</v>
      </c>
      <c r="X392" s="14">
        <f t="shared" si="1010"/>
        <v>0</v>
      </c>
      <c r="Y392" s="14">
        <f t="shared" si="1010"/>
        <v>0</v>
      </c>
      <c r="Z392" s="14">
        <f t="shared" si="1010"/>
        <v>0</v>
      </c>
      <c r="AA392" s="14">
        <f t="shared" si="1010"/>
        <v>0</v>
      </c>
      <c r="AB392" s="14">
        <f t="shared" si="1010"/>
        <v>0.41313387731559803</v>
      </c>
      <c r="AC392" s="14">
        <f t="shared" si="1010"/>
        <v>0.17108548237195526</v>
      </c>
      <c r="AD392" s="14">
        <f t="shared" si="1010"/>
        <v>7.9473703927617212E-2</v>
      </c>
      <c r="AE392" s="14">
        <f t="shared" si="1010"/>
        <v>0</v>
      </c>
      <c r="AF392" s="14">
        <f t="shared" si="1010"/>
        <v>1.5172715602204624E-3</v>
      </c>
      <c r="AG392" s="14">
        <f t="shared" si="1010"/>
        <v>0</v>
      </c>
      <c r="AH392" s="14">
        <f t="shared" si="1010"/>
        <v>-1.4146429571039994E-18</v>
      </c>
      <c r="AI392" s="76">
        <f t="shared" si="1001"/>
        <v>0</v>
      </c>
      <c r="AK392" s="2">
        <f t="shared" si="991"/>
        <v>15999.999999999998</v>
      </c>
      <c r="AL392" s="2">
        <f t="shared" si="992"/>
        <v>2904.1837069654121</v>
      </c>
      <c r="AM392" s="2">
        <f t="shared" si="992"/>
        <v>2452.4509302283313</v>
      </c>
      <c r="AN392" s="2">
        <f t="shared" si="992"/>
        <v>10643.365362806255</v>
      </c>
      <c r="AO392" s="2">
        <f t="shared" si="992"/>
        <v>-2.2634287313663991E-14</v>
      </c>
      <c r="AP392" s="2"/>
      <c r="AQ392" s="61" t="str">
        <f t="shared" si="1002"/>
        <v>E392*      "</v>
      </c>
      <c r="AS392" s="2">
        <f t="shared" si="993"/>
        <v>2904.1837069654125</v>
      </c>
      <c r="AT392" s="2">
        <f t="shared" si="994"/>
        <v>1839.6419892033844</v>
      </c>
      <c r="AU392" s="2">
        <f t="shared" si="994"/>
        <v>806.03269266828568</v>
      </c>
      <c r="AV392" s="2">
        <f t="shared" si="994"/>
        <v>0</v>
      </c>
      <c r="AW392" s="2">
        <f t="shared" si="994"/>
        <v>29.035472745566139</v>
      </c>
      <c r="AX392" s="2">
        <f t="shared" si="994"/>
        <v>229.47355234817647</v>
      </c>
      <c r="AY392" s="2">
        <f t="shared" si="994"/>
        <v>0</v>
      </c>
      <c r="BA392" s="2">
        <f t="shared" si="995"/>
        <v>2452.4509302283309</v>
      </c>
      <c r="BB392" s="2">
        <f t="shared" si="996"/>
        <v>1386.4967412557401</v>
      </c>
      <c r="BC392" s="2">
        <f t="shared" si="996"/>
        <v>855.67892470906634</v>
      </c>
      <c r="BD392" s="2">
        <f t="shared" si="996"/>
        <v>0</v>
      </c>
      <c r="BE392" s="2">
        <f t="shared" si="996"/>
        <v>18.437035538848466</v>
      </c>
      <c r="BF392" s="2">
        <f t="shared" si="996"/>
        <v>191.8382287246763</v>
      </c>
      <c r="BG392" s="2">
        <f t="shared" si="996"/>
        <v>0</v>
      </c>
      <c r="BI392" s="2">
        <f t="shared" si="997"/>
        <v>10643.365362806257</v>
      </c>
      <c r="BJ392" s="2">
        <f t="shared" si="998"/>
        <v>10241.399948000912</v>
      </c>
      <c r="BK392" s="2">
        <f t="shared" si="998"/>
        <v>382.05059613816763</v>
      </c>
      <c r="BL392" s="2">
        <f t="shared" si="998"/>
        <v>0</v>
      </c>
      <c r="BM392" s="2">
        <f t="shared" si="998"/>
        <v>1.848393801840206</v>
      </c>
      <c r="BN392" s="2">
        <f t="shared" si="998"/>
        <v>18.066424865337357</v>
      </c>
      <c r="BO392" s="2">
        <f t="shared" si="998"/>
        <v>0</v>
      </c>
    </row>
    <row r="393" spans="1:67">
      <c r="A393" s="50">
        <f t="shared" si="876"/>
        <v>393</v>
      </c>
      <c r="D393" s="52" t="s">
        <v>224</v>
      </c>
      <c r="E393" s="4">
        <f>SUM(E383:E392)</f>
        <v>7516000</v>
      </c>
      <c r="F393" s="60"/>
      <c r="G393" s="60"/>
      <c r="H393" s="4">
        <f>IF(ROUND(SUM(H382:H392),3)&lt;&gt;ROUND(SUM(I393:N393),3),#VALUE!,SUM(H382:H392))</f>
        <v>7516000</v>
      </c>
      <c r="I393" s="4">
        <f t="shared" ref="I393:N393" si="1011">SUM(I382:I392)</f>
        <v>6326376.2942066016</v>
      </c>
      <c r="J393" s="4">
        <f t="shared" si="1011"/>
        <v>960057.29979891528</v>
      </c>
      <c r="K393" s="4">
        <f t="shared" si="1011"/>
        <v>0</v>
      </c>
      <c r="L393" s="4">
        <f t="shared" si="1011"/>
        <v>23168.493755018204</v>
      </c>
      <c r="M393" s="4">
        <f t="shared" si="1011"/>
        <v>206397.91223946473</v>
      </c>
      <c r="N393" s="4">
        <f t="shared" si="1011"/>
        <v>0</v>
      </c>
      <c r="O393" s="5"/>
      <c r="P393" s="61" t="str">
        <f>$A382&amp;":"&amp;A392</f>
        <v>382:392</v>
      </c>
      <c r="Q393" s="61"/>
      <c r="R393" s="16">
        <f t="shared" ref="R393:AH393" si="1012">SUMPRODUCT($E$383:$E$392,R$383:R$392)/$E393</f>
        <v>9.9370957155623788E-2</v>
      </c>
      <c r="S393" s="16">
        <f t="shared" si="1012"/>
        <v>1.5218388550417537E-2</v>
      </c>
      <c r="T393" s="16">
        <f t="shared" si="1012"/>
        <v>8.699877677308605E-3</v>
      </c>
      <c r="U393" s="16">
        <f t="shared" si="1012"/>
        <v>5.8222258301988336E-2</v>
      </c>
      <c r="V393" s="16">
        <f t="shared" si="1012"/>
        <v>0</v>
      </c>
      <c r="W393" s="16">
        <f t="shared" si="1012"/>
        <v>0.15327818313927072</v>
      </c>
      <c r="X393" s="16">
        <f t="shared" si="1012"/>
        <v>0</v>
      </c>
      <c r="Y393" s="16">
        <f t="shared" si="1012"/>
        <v>0</v>
      </c>
      <c r="Z393" s="16">
        <f t="shared" si="1012"/>
        <v>0</v>
      </c>
      <c r="AA393" s="16">
        <f t="shared" si="1012"/>
        <v>0</v>
      </c>
      <c r="AB393" s="16">
        <f t="shared" si="1012"/>
        <v>0.41313387731559797</v>
      </c>
      <c r="AC393" s="16">
        <f t="shared" si="1012"/>
        <v>0.17108548237195528</v>
      </c>
      <c r="AD393" s="16">
        <f t="shared" si="1012"/>
        <v>7.9473703927617226E-2</v>
      </c>
      <c r="AE393" s="16">
        <f t="shared" si="1012"/>
        <v>0</v>
      </c>
      <c r="AF393" s="16">
        <f t="shared" si="1012"/>
        <v>1.5172715602204626E-3</v>
      </c>
      <c r="AG393" s="16">
        <f t="shared" si="1012"/>
        <v>0</v>
      </c>
      <c r="AH393" s="16">
        <f t="shared" si="1012"/>
        <v>-1.4146429571039994E-18</v>
      </c>
      <c r="AI393" s="76">
        <f t="shared" si="1001"/>
        <v>0</v>
      </c>
      <c r="AK393" s="4">
        <f>IF(ROUND(SUM(AK382:AK392),3)&lt;&gt;ROUND(SUM(AL393:AO393),3),#VALUE!,SUM(AK382:AK392))</f>
        <v>7516000</v>
      </c>
      <c r="AL393" s="4">
        <f>SUM(AL382:AL392)</f>
        <v>1364240.2963470025</v>
      </c>
      <c r="AM393" s="4">
        <f>SUM(AM382:AM392)</f>
        <v>1152038.8244747587</v>
      </c>
      <c r="AN393" s="4">
        <f>SUM(AN382:AN392)</f>
        <v>4999720.879178239</v>
      </c>
      <c r="AO393" s="4">
        <f>SUM(AO382:AO392)</f>
        <v>-1.0632456465593659E-11</v>
      </c>
      <c r="AP393" s="5"/>
      <c r="AQ393" s="61" t="str">
        <f>$A382&amp;":"&amp;A392</f>
        <v>382:392</v>
      </c>
      <c r="AS393" s="4">
        <f>IF(ROUND(SUM(AS382:AS392),3)&lt;&gt;ROUND(SUM(AT393:AY393),3),#VALUE!,SUM(AS382:AS392))</f>
        <v>1364240.2963470025</v>
      </c>
      <c r="AT393" s="4">
        <f t="shared" ref="AT393:AY393" si="1013">SUM(AT382:AT392)</f>
        <v>864171.8244282899</v>
      </c>
      <c r="AU393" s="4">
        <f t="shared" si="1013"/>
        <v>378633.85738092719</v>
      </c>
      <c r="AV393" s="4">
        <f t="shared" si="1013"/>
        <v>0</v>
      </c>
      <c r="AW393" s="4">
        <f t="shared" si="1013"/>
        <v>13639.413322229695</v>
      </c>
      <c r="AX393" s="4">
        <f t="shared" si="1013"/>
        <v>107795.20121555589</v>
      </c>
      <c r="AY393" s="4">
        <f t="shared" si="1013"/>
        <v>0</v>
      </c>
      <c r="BA393" s="4">
        <f>IF(ROUND(SUM(BA382:BA392),3)&lt;&gt;ROUND(SUM(BB393:BG393),3),#VALUE!,SUM(BA382:BA392))</f>
        <v>1152038.8244747587</v>
      </c>
      <c r="BB393" s="4">
        <f t="shared" ref="BB393:BG393" si="1014">SUM(BB382:BB392)</f>
        <v>651306.84420488402</v>
      </c>
      <c r="BC393" s="4">
        <f t="shared" si="1014"/>
        <v>401955.17488208401</v>
      </c>
      <c r="BD393" s="4">
        <f t="shared" si="1014"/>
        <v>0</v>
      </c>
      <c r="BE393" s="4">
        <f t="shared" si="1014"/>
        <v>8660.7974443740677</v>
      </c>
      <c r="BF393" s="4">
        <f t="shared" si="1014"/>
        <v>90116.007943416698</v>
      </c>
      <c r="BG393" s="4">
        <f t="shared" si="1014"/>
        <v>0</v>
      </c>
      <c r="BI393" s="4">
        <f>IF(ROUND(SUM(BI382:BI392),3)&lt;&gt;ROUND(SUM(BJ393:BO393),3),#VALUE!,SUM(BI382:BI392))</f>
        <v>4999720.879178239</v>
      </c>
      <c r="BJ393" s="4">
        <f t="shared" ref="BJ393:BO393" si="1015">SUM(BJ382:BJ392)</f>
        <v>4810897.6255734283</v>
      </c>
      <c r="BK393" s="4">
        <f t="shared" si="1015"/>
        <v>179468.26753590428</v>
      </c>
      <c r="BL393" s="4">
        <f t="shared" si="1015"/>
        <v>0</v>
      </c>
      <c r="BM393" s="4">
        <f t="shared" si="1015"/>
        <v>868.28298841443666</v>
      </c>
      <c r="BN393" s="4">
        <f t="shared" si="1015"/>
        <v>8486.7030804922251</v>
      </c>
      <c r="BO393" s="4">
        <f t="shared" si="1015"/>
        <v>0</v>
      </c>
    </row>
    <row r="394" spans="1:67">
      <c r="A394" s="50">
        <f t="shared" si="876"/>
        <v>394</v>
      </c>
      <c r="E394" s="2"/>
      <c r="F394" s="60"/>
      <c r="G394" s="60"/>
      <c r="P394" s="61"/>
      <c r="Q394" s="61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76">
        <f t="shared" si="1001"/>
        <v>0</v>
      </c>
      <c r="AQ394" s="61"/>
    </row>
    <row r="395" spans="1:67">
      <c r="A395" s="50">
        <f t="shared" si="876"/>
        <v>395</v>
      </c>
      <c r="D395" t="s">
        <v>72</v>
      </c>
      <c r="E395" s="2">
        <f>E364+E380+E393</f>
        <v>26575000</v>
      </c>
      <c r="F395" s="60" t="str">
        <f>"("&amp;A$364&amp;"+"&amp;A$380&amp;"+"&amp;A$393&amp;")"</f>
        <v>(364+380+393)</v>
      </c>
      <c r="G395" s="60"/>
      <c r="H395" s="2">
        <f t="shared" ref="H395:N395" si="1016">H364+H380+H393</f>
        <v>26575000</v>
      </c>
      <c r="I395" s="2">
        <f t="shared" si="1016"/>
        <v>20876697.688626923</v>
      </c>
      <c r="J395" s="2">
        <f t="shared" si="1016"/>
        <v>4505031.5836589355</v>
      </c>
      <c r="K395" s="2">
        <f t="shared" si="1016"/>
        <v>0</v>
      </c>
      <c r="L395" s="2">
        <f t="shared" si="1016"/>
        <v>106678.13876745517</v>
      </c>
      <c r="M395" s="2">
        <f t="shared" si="1016"/>
        <v>1086592.5889466861</v>
      </c>
      <c r="N395" s="2">
        <f t="shared" si="1016"/>
        <v>0</v>
      </c>
      <c r="O395" s="2"/>
      <c r="P395" s="61" t="str">
        <f>$A364&amp;"+"&amp;$A380&amp;"+"&amp;$A393</f>
        <v>364+380+393</v>
      </c>
      <c r="Q395" s="61"/>
      <c r="R395" s="14">
        <f t="shared" ref="R395:AH395" si="1017">($E364*R364+$E380*R380+$E393*R393)/$E395</f>
        <v>0.14732023316168799</v>
      </c>
      <c r="S395" s="14">
        <f t="shared" si="1017"/>
        <v>4.3040981503269316E-3</v>
      </c>
      <c r="T395" s="14">
        <f t="shared" si="1017"/>
        <v>5.2243943790273367E-3</v>
      </c>
      <c r="U395" s="14">
        <f t="shared" si="1017"/>
        <v>3.4963254690413711E-2</v>
      </c>
      <c r="V395" s="14">
        <f t="shared" si="1017"/>
        <v>0</v>
      </c>
      <c r="W395" s="14">
        <f t="shared" si="1017"/>
        <v>0.23497451384991705</v>
      </c>
      <c r="X395" s="14">
        <f t="shared" si="1017"/>
        <v>0</v>
      </c>
      <c r="Y395" s="14">
        <f t="shared" si="1017"/>
        <v>0</v>
      </c>
      <c r="Z395" s="14">
        <f t="shared" si="1017"/>
        <v>0</v>
      </c>
      <c r="AA395" s="14">
        <f t="shared" si="1017"/>
        <v>0</v>
      </c>
      <c r="AB395" s="14">
        <f t="shared" si="1017"/>
        <v>0.11684343262103609</v>
      </c>
      <c r="AC395" s="14">
        <f t="shared" si="1017"/>
        <v>0.2755213400146207</v>
      </c>
      <c r="AD395" s="14">
        <f t="shared" si="1017"/>
        <v>0.17868567657547185</v>
      </c>
      <c r="AE395" s="14">
        <f t="shared" si="1017"/>
        <v>0</v>
      </c>
      <c r="AF395" s="14">
        <f t="shared" si="1017"/>
        <v>2.1630565574982698E-3</v>
      </c>
      <c r="AG395" s="14">
        <f t="shared" si="1017"/>
        <v>0</v>
      </c>
      <c r="AH395" s="14">
        <f t="shared" si="1017"/>
        <v>-4.0009243520578211E-19</v>
      </c>
      <c r="AI395" s="76">
        <f t="shared" si="1001"/>
        <v>0</v>
      </c>
      <c r="AK395" s="2">
        <f>AK364+AK380+AK393</f>
        <v>26575000</v>
      </c>
      <c r="AL395" s="2">
        <f>AL364+AL380+AL393</f>
        <v>5097403.3786371928</v>
      </c>
      <c r="AM395" s="2">
        <f>AM364+AM380+AM393</f>
        <v>6244447.7055615457</v>
      </c>
      <c r="AN395" s="2">
        <f>AN364+AN380+AN393</f>
        <v>15233148.915801261</v>
      </c>
      <c r="AO395" s="2">
        <f>AO364+AO380+AO393</f>
        <v>-1.0632456465593659E-11</v>
      </c>
      <c r="AP395" s="2"/>
      <c r="AQ395" s="61" t="str">
        <f>$A364&amp;"+"&amp;$A380&amp;"+"&amp;$A393</f>
        <v>364+380+393</v>
      </c>
      <c r="AS395" s="2">
        <f t="shared" ref="AS395:AY395" si="1018">AS364+AS380+AS393</f>
        <v>5097403.3786371928</v>
      </c>
      <c r="AT395" s="2">
        <f t="shared" si="1018"/>
        <v>3087464.0355076445</v>
      </c>
      <c r="AU395" s="2">
        <f t="shared" si="1018"/>
        <v>1410841.824690029</v>
      </c>
      <c r="AV395" s="2">
        <f t="shared" si="1018"/>
        <v>0</v>
      </c>
      <c r="AW395" s="2">
        <f t="shared" si="1018"/>
        <v>53742.610766261249</v>
      </c>
      <c r="AX395" s="2">
        <f t="shared" si="1018"/>
        <v>545354.90767325833</v>
      </c>
      <c r="AY395" s="2">
        <f t="shared" si="1018"/>
        <v>0</v>
      </c>
      <c r="BA395" s="2">
        <f t="shared" ref="BA395:BG395" si="1019">BA364+BA380+BA393</f>
        <v>6244447.7055615457</v>
      </c>
      <c r="BB395" s="2">
        <f t="shared" si="1019"/>
        <v>3530307.696675051</v>
      </c>
      <c r="BC395" s="2">
        <f t="shared" si="1019"/>
        <v>2178735.66081888</v>
      </c>
      <c r="BD395" s="2">
        <f t="shared" si="1019"/>
        <v>0</v>
      </c>
      <c r="BE395" s="2">
        <f t="shared" si="1019"/>
        <v>46944.508796838621</v>
      </c>
      <c r="BF395" s="2">
        <f t="shared" si="1019"/>
        <v>488459.83927077602</v>
      </c>
      <c r="BG395" s="2">
        <f t="shared" si="1019"/>
        <v>0</v>
      </c>
      <c r="BI395" s="2">
        <f t="shared" ref="BI395:BO395" si="1020">BI364+BI380+BI393</f>
        <v>15233148.915801262</v>
      </c>
      <c r="BJ395" s="2">
        <f t="shared" si="1020"/>
        <v>14258925.956444228</v>
      </c>
      <c r="BK395" s="2">
        <f t="shared" si="1020"/>
        <v>915454.0981500271</v>
      </c>
      <c r="BL395" s="2">
        <f t="shared" si="1020"/>
        <v>0</v>
      </c>
      <c r="BM395" s="2">
        <f t="shared" si="1020"/>
        <v>5991.0192043553006</v>
      </c>
      <c r="BN395" s="2">
        <f t="shared" si="1020"/>
        <v>52777.842002652062</v>
      </c>
      <c r="BO395" s="2">
        <f t="shared" si="1020"/>
        <v>0</v>
      </c>
    </row>
    <row r="396" spans="1:67">
      <c r="A396" s="50">
        <f t="shared" si="876"/>
        <v>396</v>
      </c>
      <c r="E396" s="2"/>
      <c r="F396" s="60"/>
      <c r="G396" s="60"/>
      <c r="P396" s="61"/>
      <c r="Q396" s="61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76">
        <f t="shared" si="1001"/>
        <v>0</v>
      </c>
      <c r="AQ396" s="61"/>
    </row>
    <row r="397" spans="1:67">
      <c r="A397" s="50">
        <f t="shared" ref="A397:A450" si="1021">RowHdr</f>
        <v>397</v>
      </c>
      <c r="C397" s="10"/>
      <c r="D397" s="1" t="s">
        <v>73</v>
      </c>
      <c r="E397" s="2"/>
      <c r="F397" s="60"/>
      <c r="G397" s="60"/>
      <c r="P397" s="61"/>
      <c r="Q397" s="61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76">
        <f t="shared" si="1001"/>
        <v>0</v>
      </c>
      <c r="AQ397" s="61"/>
    </row>
    <row r="398" spans="1:67">
      <c r="A398" s="50">
        <f t="shared" si="1021"/>
        <v>398</v>
      </c>
      <c r="D398" t="s">
        <v>209</v>
      </c>
      <c r="E398" s="2"/>
      <c r="F398" s="60"/>
      <c r="G398" s="60"/>
      <c r="P398" s="61"/>
      <c r="Q398" s="61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76">
        <f t="shared" si="1001"/>
        <v>0</v>
      </c>
      <c r="AQ398" s="61"/>
    </row>
    <row r="399" spans="1:67">
      <c r="A399" s="50">
        <f t="shared" si="1021"/>
        <v>399</v>
      </c>
      <c r="C399" s="36" t="s">
        <v>151</v>
      </c>
      <c r="D399" s="28" t="s">
        <v>383</v>
      </c>
      <c r="E399" s="369">
        <f>PROFORMA!AY218</f>
        <v>-2069000</v>
      </c>
      <c r="F399" s="60" t="str">
        <f>"as 303 Plant"</f>
        <v>as 303 Plant</v>
      </c>
      <c r="G399" s="60"/>
      <c r="H399" s="2">
        <f>SUM(I399:N399)</f>
        <v>-2069000</v>
      </c>
      <c r="I399" s="2">
        <f t="shared" ref="I399:N403" si="1022">$E399*SUMPRODUCT($R399:$AH399,INDEX(AllocFactors,I$4,0))</f>
        <v>-1741521.0953583634</v>
      </c>
      <c r="J399" s="2">
        <f t="shared" si="1022"/>
        <v>-264284.00123522565</v>
      </c>
      <c r="K399" s="2">
        <f t="shared" si="1022"/>
        <v>0</v>
      </c>
      <c r="L399" s="2">
        <f t="shared" si="1022"/>
        <v>-6377.8091510288259</v>
      </c>
      <c r="M399" s="2">
        <f t="shared" si="1022"/>
        <v>-56817.094255382202</v>
      </c>
      <c r="N399" s="2">
        <f t="shared" si="1022"/>
        <v>0</v>
      </c>
      <c r="O399" s="2"/>
      <c r="P399" s="61" t="s">
        <v>997</v>
      </c>
      <c r="Q399" s="61"/>
      <c r="R399" s="14">
        <f>R$11</f>
        <v>9.9370957155623774E-2</v>
      </c>
      <c r="S399" s="14">
        <f t="shared" ref="S399:AH399" si="1023">S$11</f>
        <v>1.5218388550417537E-2</v>
      </c>
      <c r="T399" s="14">
        <f t="shared" si="1023"/>
        <v>8.699877677308605E-3</v>
      </c>
      <c r="U399" s="14">
        <f t="shared" si="1023"/>
        <v>5.822225830198835E-2</v>
      </c>
      <c r="V399" s="14">
        <f t="shared" si="1023"/>
        <v>0</v>
      </c>
      <c r="W399" s="14">
        <f t="shared" si="1023"/>
        <v>0.15327818313927072</v>
      </c>
      <c r="X399" s="14">
        <f t="shared" si="1023"/>
        <v>0</v>
      </c>
      <c r="Y399" s="14">
        <f t="shared" si="1023"/>
        <v>0</v>
      </c>
      <c r="Z399" s="14">
        <f t="shared" si="1023"/>
        <v>0</v>
      </c>
      <c r="AA399" s="14">
        <f t="shared" si="1023"/>
        <v>0</v>
      </c>
      <c r="AB399" s="14">
        <f t="shared" si="1023"/>
        <v>0.41313387731559803</v>
      </c>
      <c r="AC399" s="14">
        <f t="shared" si="1023"/>
        <v>0.17108548237195526</v>
      </c>
      <c r="AD399" s="14">
        <f t="shared" si="1023"/>
        <v>7.9473703927617212E-2</v>
      </c>
      <c r="AE399" s="14">
        <f t="shared" si="1023"/>
        <v>0</v>
      </c>
      <c r="AF399" s="14">
        <f t="shared" si="1023"/>
        <v>1.5172715602204624E-3</v>
      </c>
      <c r="AG399" s="14">
        <f t="shared" si="1023"/>
        <v>0</v>
      </c>
      <c r="AH399" s="14">
        <f t="shared" si="1023"/>
        <v>-1.4146429571039994E-18</v>
      </c>
      <c r="AI399" s="76">
        <f t="shared" si="1001"/>
        <v>0</v>
      </c>
      <c r="AK399" s="2">
        <f>SUM(AL399:AO399)</f>
        <v>-2069000</v>
      </c>
      <c r="AL399" s="2">
        <f t="shared" ref="AL399:AO403" si="1024">SUMIF($R$4:$AH$4,AL$5,$R399:$AH399)*$E399</f>
        <v>-375547.25560696487</v>
      </c>
      <c r="AM399" s="2">
        <f t="shared" si="1024"/>
        <v>-317132.56091515115</v>
      </c>
      <c r="AN399" s="2">
        <f t="shared" si="1024"/>
        <v>-1376320.1834778839</v>
      </c>
      <c r="AO399" s="2">
        <f t="shared" si="1024"/>
        <v>2.9268962782481749E-12</v>
      </c>
      <c r="AP399" s="2"/>
      <c r="AQ399" s="61" t="str">
        <f>E$1&amp;$A399&amp;"*["&amp;R$1&amp;$A399&amp;":"&amp;$AH$1&amp;$A399&amp;" when "&amp;R$1&amp;$A$4&amp;":"&amp;$AH$1&amp;$A$4&amp;" = E,D,C,or R]"</f>
        <v>E399*[R399:AH399 when R4:AH4 = E,D,C,or R]</v>
      </c>
      <c r="AS399" s="2">
        <f>SUM(AT399:AY399)</f>
        <v>-375547.25560696493</v>
      </c>
      <c r="AT399" s="2">
        <f t="shared" ref="AT399:AY403" si="1025">$E399*SUMPRODUCT($R399:$V399,INDEX(AllocFactors_E,AT$4,0))</f>
        <v>-237888.70472886265</v>
      </c>
      <c r="AU399" s="2">
        <f t="shared" si="1025"/>
        <v>-104230.10257066769</v>
      </c>
      <c r="AV399" s="2">
        <f t="shared" si="1025"/>
        <v>0</v>
      </c>
      <c r="AW399" s="2">
        <f t="shared" si="1025"/>
        <v>-3754.6495694110213</v>
      </c>
      <c r="AX399" s="2">
        <f t="shared" si="1025"/>
        <v>-29673.798738023568</v>
      </c>
      <c r="AY399" s="2">
        <f t="shared" si="1025"/>
        <v>0</v>
      </c>
      <c r="BA399" s="2">
        <f>SUM(BB399:BG399)</f>
        <v>-317132.56091515109</v>
      </c>
      <c r="BB399" s="2">
        <f t="shared" ref="BB399:BG403" si="1026">$E399*SUMPRODUCT($W399:$AA399,INDEX(AllocFactors_D,BB$4,0))</f>
        <v>-179291.35985363289</v>
      </c>
      <c r="BC399" s="2">
        <f t="shared" si="1026"/>
        <v>-110649.98095144115</v>
      </c>
      <c r="BD399" s="2">
        <f t="shared" si="1026"/>
        <v>0</v>
      </c>
      <c r="BE399" s="2">
        <f t="shared" si="1026"/>
        <v>-2384.1391581173425</v>
      </c>
      <c r="BF399" s="2">
        <f t="shared" si="1026"/>
        <v>-24807.080951959702</v>
      </c>
      <c r="BG399" s="2">
        <f t="shared" si="1026"/>
        <v>0</v>
      </c>
      <c r="BI399" s="2">
        <f>SUM(BJ399:BO399)</f>
        <v>-1376320.1834778842</v>
      </c>
      <c r="BJ399" s="2">
        <f t="shared" ref="BJ399:BO403" si="1027">$E399*SUMPRODUCT($AB399:$AG399,INDEX(AllocFactors_C,BJ$4,0))</f>
        <v>-1324341.0307758679</v>
      </c>
      <c r="BK399" s="2">
        <f t="shared" si="1027"/>
        <v>-49403.917713116796</v>
      </c>
      <c r="BL399" s="2">
        <f t="shared" si="1027"/>
        <v>0</v>
      </c>
      <c r="BM399" s="2">
        <f t="shared" si="1027"/>
        <v>-239.02042350046165</v>
      </c>
      <c r="BN399" s="2">
        <f t="shared" si="1027"/>
        <v>-2336.2145653989373</v>
      </c>
      <c r="BO399" s="2">
        <f t="shared" si="1027"/>
        <v>0</v>
      </c>
    </row>
    <row r="400" spans="1:67">
      <c r="A400" s="50">
        <f t="shared" si="1021"/>
        <v>400</v>
      </c>
      <c r="C400" s="36" t="s">
        <v>154</v>
      </c>
      <c r="D400" s="28" t="s">
        <v>384</v>
      </c>
      <c r="E400" s="369">
        <f>PROFORMA!AY219</f>
        <v>88000</v>
      </c>
      <c r="F400" s="60" t="s">
        <v>420</v>
      </c>
      <c r="G400" s="60"/>
      <c r="H400" s="2">
        <f>SUM(I400:N400)</f>
        <v>88000.000000000015</v>
      </c>
      <c r="I400" s="2">
        <f t="shared" si="1022"/>
        <v>66055.456101479751</v>
      </c>
      <c r="J400" s="2">
        <f t="shared" si="1022"/>
        <v>16895.158860888147</v>
      </c>
      <c r="K400" s="2">
        <f t="shared" si="1022"/>
        <v>0</v>
      </c>
      <c r="L400" s="2">
        <f t="shared" si="1022"/>
        <v>417.0386808196443</v>
      </c>
      <c r="M400" s="2">
        <f t="shared" si="1022"/>
        <v>4632.3463568124671</v>
      </c>
      <c r="N400" s="2">
        <f t="shared" si="1022"/>
        <v>0</v>
      </c>
      <c r="O400" s="2"/>
      <c r="P400" s="61" t="str">
        <f>E$1&amp;$A400&amp;"*     """</f>
        <v>E400*     "</v>
      </c>
      <c r="Q400" s="61"/>
      <c r="R400" s="14">
        <f>R$41</f>
        <v>0.1933876764871075</v>
      </c>
      <c r="S400" s="14">
        <f t="shared" ref="S400:AH400" si="1028">S$41</f>
        <v>0</v>
      </c>
      <c r="T400" s="14">
        <f t="shared" si="1028"/>
        <v>0</v>
      </c>
      <c r="U400" s="14">
        <f t="shared" si="1028"/>
        <v>0</v>
      </c>
      <c r="V400" s="14">
        <f t="shared" si="1028"/>
        <v>0</v>
      </c>
      <c r="W400" s="14">
        <f t="shared" si="1028"/>
        <v>0.31084546333511004</v>
      </c>
      <c r="X400" s="14">
        <f t="shared" si="1028"/>
        <v>0</v>
      </c>
      <c r="Y400" s="14">
        <f t="shared" si="1028"/>
        <v>0</v>
      </c>
      <c r="Z400" s="14">
        <f t="shared" si="1028"/>
        <v>0</v>
      </c>
      <c r="AA400" s="14">
        <f t="shared" si="1028"/>
        <v>0</v>
      </c>
      <c r="AB400" s="14">
        <f t="shared" si="1028"/>
        <v>0</v>
      </c>
      <c r="AC400" s="14">
        <f t="shared" si="1028"/>
        <v>0.35888972828992466</v>
      </c>
      <c r="AD400" s="14">
        <f t="shared" si="1028"/>
        <v>0.13220566312906262</v>
      </c>
      <c r="AE400" s="14">
        <f t="shared" si="1028"/>
        <v>0</v>
      </c>
      <c r="AF400" s="14">
        <f t="shared" si="1028"/>
        <v>4.6714687587951949E-3</v>
      </c>
      <c r="AG400" s="14">
        <f t="shared" si="1028"/>
        <v>0</v>
      </c>
      <c r="AH400" s="14">
        <f t="shared" si="1028"/>
        <v>0</v>
      </c>
      <c r="AI400" s="76">
        <f t="shared" si="1001"/>
        <v>0</v>
      </c>
      <c r="AK400" s="2">
        <f>SUM(AL400:AO400)</f>
        <v>88000</v>
      </c>
      <c r="AL400" s="2">
        <f t="shared" si="1024"/>
        <v>17018.11553086546</v>
      </c>
      <c r="AM400" s="2">
        <f t="shared" si="1024"/>
        <v>27354.400773489684</v>
      </c>
      <c r="AN400" s="2">
        <f t="shared" si="1024"/>
        <v>43627.483695644856</v>
      </c>
      <c r="AO400" s="2">
        <f t="shared" si="1024"/>
        <v>0</v>
      </c>
      <c r="AP400" s="2"/>
      <c r="AQ400" s="61" t="str">
        <f>E$1&amp;$A400&amp;"*      """</f>
        <v>E400*      "</v>
      </c>
      <c r="AS400" s="2">
        <f>SUM(AT400:AY400)</f>
        <v>17018.11553086546</v>
      </c>
      <c r="AT400" s="2">
        <f t="shared" si="1025"/>
        <v>9775.8613351688145</v>
      </c>
      <c r="AU400" s="2">
        <f t="shared" si="1025"/>
        <v>4736.5527713222264</v>
      </c>
      <c r="AV400" s="2">
        <f t="shared" si="1025"/>
        <v>0</v>
      </c>
      <c r="AW400" s="2">
        <f t="shared" si="1025"/>
        <v>193.41504104491875</v>
      </c>
      <c r="AX400" s="2">
        <f t="shared" si="1025"/>
        <v>2312.2863833295019</v>
      </c>
      <c r="AY400" s="2">
        <f t="shared" si="1025"/>
        <v>0</v>
      </c>
      <c r="BA400" s="2">
        <f>SUM(BB400:BG400)</f>
        <v>27354.40077348968</v>
      </c>
      <c r="BB400" s="2">
        <f t="shared" si="1026"/>
        <v>15464.850718915641</v>
      </c>
      <c r="BC400" s="2">
        <f t="shared" si="1026"/>
        <v>9544.1600691848598</v>
      </c>
      <c r="BD400" s="2">
        <f t="shared" si="1026"/>
        <v>0</v>
      </c>
      <c r="BE400" s="2">
        <f t="shared" si="1026"/>
        <v>205.64491341638302</v>
      </c>
      <c r="BF400" s="2">
        <f t="shared" si="1026"/>
        <v>2139.7450719727976</v>
      </c>
      <c r="BG400" s="2">
        <f t="shared" si="1026"/>
        <v>0</v>
      </c>
      <c r="BI400" s="2">
        <f>SUM(BJ400:BO400)</f>
        <v>43627.483695644856</v>
      </c>
      <c r="BJ400" s="2">
        <f t="shared" si="1027"/>
        <v>40814.744047395288</v>
      </c>
      <c r="BK400" s="2">
        <f t="shared" si="1027"/>
        <v>2614.4460203810577</v>
      </c>
      <c r="BL400" s="2">
        <f t="shared" si="1027"/>
        <v>0</v>
      </c>
      <c r="BM400" s="2">
        <f t="shared" si="1027"/>
        <v>17.978726358342538</v>
      </c>
      <c r="BN400" s="2">
        <f t="shared" si="1027"/>
        <v>180.31490151016811</v>
      </c>
      <c r="BO400" s="2">
        <f t="shared" si="1027"/>
        <v>0</v>
      </c>
    </row>
    <row r="401" spans="1:67">
      <c r="A401" s="50">
        <f t="shared" si="1021"/>
        <v>401</v>
      </c>
      <c r="C401" s="36" t="s">
        <v>151</v>
      </c>
      <c r="D401" s="28" t="s">
        <v>385</v>
      </c>
      <c r="E401" s="369">
        <f>PROFORMA!AY220</f>
        <v>7459000</v>
      </c>
      <c r="F401" s="60" t="str">
        <f>"as 303 Plant"</f>
        <v>as 303 Plant</v>
      </c>
      <c r="G401" s="60"/>
      <c r="H401" s="2">
        <f>SUM(I401:N401)</f>
        <v>7459000</v>
      </c>
      <c r="I401" s="2">
        <f>$E401*SUMPRODUCT($R401:$AH401,INDEX(AllocFactors,I$4,0))</f>
        <v>6278398.187664588</v>
      </c>
      <c r="J401" s="2">
        <f t="shared" si="1022"/>
        <v>952776.39691326628</v>
      </c>
      <c r="K401" s="2">
        <f t="shared" si="1022"/>
        <v>0</v>
      </c>
      <c r="L401" s="2">
        <f t="shared" si="1022"/>
        <v>22992.788041335916</v>
      </c>
      <c r="M401" s="2">
        <f t="shared" si="1022"/>
        <v>204832.62738080998</v>
      </c>
      <c r="N401" s="2">
        <f t="shared" si="1022"/>
        <v>0</v>
      </c>
      <c r="O401" s="2"/>
      <c r="P401" s="61" t="s">
        <v>997</v>
      </c>
      <c r="Q401" s="61"/>
      <c r="R401" s="14">
        <f>R$11</f>
        <v>9.9370957155623774E-2</v>
      </c>
      <c r="S401" s="14">
        <f t="shared" ref="S401:AH402" si="1029">S$11</f>
        <v>1.5218388550417537E-2</v>
      </c>
      <c r="T401" s="14">
        <f t="shared" si="1029"/>
        <v>8.699877677308605E-3</v>
      </c>
      <c r="U401" s="14">
        <f t="shared" si="1029"/>
        <v>5.822225830198835E-2</v>
      </c>
      <c r="V401" s="14">
        <f t="shared" si="1029"/>
        <v>0</v>
      </c>
      <c r="W401" s="14">
        <f t="shared" si="1029"/>
        <v>0.15327818313927072</v>
      </c>
      <c r="X401" s="14">
        <f t="shared" si="1029"/>
        <v>0</v>
      </c>
      <c r="Y401" s="14">
        <f t="shared" si="1029"/>
        <v>0</v>
      </c>
      <c r="Z401" s="14">
        <f t="shared" si="1029"/>
        <v>0</v>
      </c>
      <c r="AA401" s="14">
        <f t="shared" si="1029"/>
        <v>0</v>
      </c>
      <c r="AB401" s="14">
        <f t="shared" si="1029"/>
        <v>0.41313387731559803</v>
      </c>
      <c r="AC401" s="14">
        <f t="shared" si="1029"/>
        <v>0.17108548237195526</v>
      </c>
      <c r="AD401" s="14">
        <f t="shared" si="1029"/>
        <v>7.9473703927617212E-2</v>
      </c>
      <c r="AE401" s="14">
        <f t="shared" si="1029"/>
        <v>0</v>
      </c>
      <c r="AF401" s="14">
        <f t="shared" si="1029"/>
        <v>1.5172715602204624E-3</v>
      </c>
      <c r="AG401" s="14">
        <f t="shared" si="1029"/>
        <v>0</v>
      </c>
      <c r="AH401" s="14">
        <f t="shared" si="1029"/>
        <v>-1.4146429571039994E-18</v>
      </c>
      <c r="AI401" s="76">
        <f t="shared" si="1001"/>
        <v>0</v>
      </c>
      <c r="AK401" s="2">
        <f>SUM(AL401:AO401)</f>
        <v>7459000</v>
      </c>
      <c r="AL401" s="2">
        <f t="shared" si="1024"/>
        <v>1353894.1418909382</v>
      </c>
      <c r="AM401" s="2">
        <f t="shared" si="1024"/>
        <v>1143301.9680358202</v>
      </c>
      <c r="AN401" s="2">
        <f t="shared" si="1024"/>
        <v>4961803.8900732417</v>
      </c>
      <c r="AO401" s="2">
        <f t="shared" si="1024"/>
        <v>-1.0551821817038732E-11</v>
      </c>
      <c r="AP401" s="2"/>
      <c r="AQ401" s="61" t="str">
        <f>E$1&amp;$A401&amp;"*      """</f>
        <v>E401*      "</v>
      </c>
      <c r="AS401" s="2">
        <f>SUM(AT401:AY401)</f>
        <v>1353894.1418909382</v>
      </c>
      <c r="AT401" s="2">
        <f t="shared" si="1025"/>
        <v>857618.09984175279</v>
      </c>
      <c r="AU401" s="2">
        <f t="shared" si="1025"/>
        <v>375762.36591329647</v>
      </c>
      <c r="AV401" s="2">
        <f t="shared" si="1025"/>
        <v>0</v>
      </c>
      <c r="AW401" s="2">
        <f t="shared" si="1025"/>
        <v>13535.974450573614</v>
      </c>
      <c r="AX401" s="2">
        <f t="shared" si="1025"/>
        <v>106977.70168531551</v>
      </c>
      <c r="AY401" s="2">
        <f t="shared" si="1025"/>
        <v>0</v>
      </c>
      <c r="BA401" s="2">
        <f>SUM(BB401:BG401)</f>
        <v>1143301.9680358202</v>
      </c>
      <c r="BB401" s="2">
        <f t="shared" si="1026"/>
        <v>646367.44956416031</v>
      </c>
      <c r="BC401" s="2">
        <f t="shared" si="1026"/>
        <v>398906.8187128079</v>
      </c>
      <c r="BD401" s="2">
        <f t="shared" si="1026"/>
        <v>0</v>
      </c>
      <c r="BE401" s="2">
        <f t="shared" si="1026"/>
        <v>8595.1155052669201</v>
      </c>
      <c r="BF401" s="2">
        <f t="shared" si="1026"/>
        <v>89432.584253585024</v>
      </c>
      <c r="BG401" s="2">
        <f t="shared" si="1026"/>
        <v>0</v>
      </c>
      <c r="BI401" s="2">
        <f>SUM(BJ401:BO401)</f>
        <v>4961803.8900732426</v>
      </c>
      <c r="BJ401" s="2">
        <f t="shared" si="1027"/>
        <v>4774412.6382586751</v>
      </c>
      <c r="BK401" s="2">
        <f t="shared" si="1027"/>
        <v>178107.21228716202</v>
      </c>
      <c r="BL401" s="2">
        <f t="shared" si="1027"/>
        <v>0</v>
      </c>
      <c r="BM401" s="2">
        <f t="shared" si="1027"/>
        <v>861.69808549538106</v>
      </c>
      <c r="BN401" s="2">
        <f t="shared" si="1027"/>
        <v>8422.3414419094606</v>
      </c>
      <c r="BO401" s="2">
        <f t="shared" si="1027"/>
        <v>0</v>
      </c>
    </row>
    <row r="402" spans="1:67">
      <c r="A402" s="50">
        <f t="shared" si="1021"/>
        <v>402</v>
      </c>
      <c r="C402" s="36" t="s">
        <v>151</v>
      </c>
      <c r="D402" s="427" t="s">
        <v>1043</v>
      </c>
      <c r="E402" s="369">
        <f>PROFORMA!AY221</f>
        <v>-31000</v>
      </c>
      <c r="F402" s="60" t="str">
        <f>"as 303 Plant"</f>
        <v>as 303 Plant</v>
      </c>
      <c r="G402" s="60"/>
      <c r="H402" s="2">
        <f>SUM(I402:N402)</f>
        <v>-31000</v>
      </c>
      <c r="I402" s="2">
        <f>$E402*SUMPRODUCT($R402:$AH402,INDEX(AllocFactors,I$4,0))</f>
        <v>-26093.356189516318</v>
      </c>
      <c r="J402" s="2">
        <f t="shared" si="1022"/>
        <v>-3959.7892886863192</v>
      </c>
      <c r="K402" s="2">
        <f t="shared" si="1022"/>
        <v>0</v>
      </c>
      <c r="L402" s="2">
        <f t="shared" si="1022"/>
        <v>-95.559247792118711</v>
      </c>
      <c r="M402" s="2">
        <f t="shared" si="1022"/>
        <v>-851.29527400524319</v>
      </c>
      <c r="N402" s="2">
        <f t="shared" si="1022"/>
        <v>0</v>
      </c>
      <c r="O402" s="2"/>
      <c r="P402" s="61" t="s">
        <v>997</v>
      </c>
      <c r="Q402" s="61"/>
      <c r="R402" s="14">
        <f>R$11</f>
        <v>9.9370957155623774E-2</v>
      </c>
      <c r="S402" s="14">
        <f t="shared" si="1029"/>
        <v>1.5218388550417537E-2</v>
      </c>
      <c r="T402" s="14">
        <f t="shared" si="1029"/>
        <v>8.699877677308605E-3</v>
      </c>
      <c r="U402" s="14">
        <f t="shared" si="1029"/>
        <v>5.822225830198835E-2</v>
      </c>
      <c r="V402" s="14">
        <f t="shared" si="1029"/>
        <v>0</v>
      </c>
      <c r="W402" s="14">
        <f t="shared" si="1029"/>
        <v>0.15327818313927072</v>
      </c>
      <c r="X402" s="14">
        <f t="shared" si="1029"/>
        <v>0</v>
      </c>
      <c r="Y402" s="14">
        <f t="shared" si="1029"/>
        <v>0</v>
      </c>
      <c r="Z402" s="14">
        <f t="shared" si="1029"/>
        <v>0</v>
      </c>
      <c r="AA402" s="14">
        <f t="shared" si="1029"/>
        <v>0</v>
      </c>
      <c r="AB402" s="14">
        <f t="shared" si="1029"/>
        <v>0.41313387731559803</v>
      </c>
      <c r="AC402" s="14">
        <f t="shared" si="1029"/>
        <v>0.17108548237195526</v>
      </c>
      <c r="AD402" s="14">
        <f t="shared" si="1029"/>
        <v>7.9473703927617212E-2</v>
      </c>
      <c r="AE402" s="14">
        <f t="shared" si="1029"/>
        <v>0</v>
      </c>
      <c r="AF402" s="14">
        <f t="shared" si="1029"/>
        <v>1.5172715602204624E-3</v>
      </c>
      <c r="AG402" s="14">
        <f t="shared" si="1029"/>
        <v>0</v>
      </c>
      <c r="AH402" s="14">
        <f t="shared" si="1029"/>
        <v>-1.4146429571039994E-18</v>
      </c>
      <c r="AI402" s="76">
        <f t="shared" ref="AI402" si="1030">IF(SUM(R402:AH402)&lt;&gt;0,(ROUND(SUM(R402:AH402),8)&lt;&gt;1)+0,0)</f>
        <v>0</v>
      </c>
      <c r="AK402" s="2">
        <f>SUM(AL402:AO402)</f>
        <v>-30999.999999999996</v>
      </c>
      <c r="AL402" s="2">
        <f t="shared" si="1024"/>
        <v>-5626.8559322454857</v>
      </c>
      <c r="AM402" s="2">
        <f t="shared" si="1024"/>
        <v>-4751.6236773173923</v>
      </c>
      <c r="AN402" s="2">
        <f t="shared" si="1024"/>
        <v>-20621.520390437119</v>
      </c>
      <c r="AO402" s="2">
        <f t="shared" si="1024"/>
        <v>4.3853931670223984E-14</v>
      </c>
      <c r="AP402" s="2"/>
      <c r="AQ402" s="61" t="str">
        <f>E$1&amp;$A402&amp;"*      """</f>
        <v>E402*      "</v>
      </c>
      <c r="AS402" s="2">
        <f>SUM(AT402:AY402)</f>
        <v>-5626.8559322454876</v>
      </c>
      <c r="AT402" s="2">
        <f t="shared" si="1025"/>
        <v>-3564.3063540815574</v>
      </c>
      <c r="AU402" s="2">
        <f t="shared" si="1025"/>
        <v>-1561.6883420448034</v>
      </c>
      <c r="AV402" s="2">
        <f t="shared" si="1025"/>
        <v>0</v>
      </c>
      <c r="AW402" s="2">
        <f t="shared" si="1025"/>
        <v>-56.256228444534393</v>
      </c>
      <c r="AX402" s="2">
        <f t="shared" si="1025"/>
        <v>-444.60500767459189</v>
      </c>
      <c r="AY402" s="2">
        <f t="shared" si="1025"/>
        <v>0</v>
      </c>
      <c r="BA402" s="2">
        <f>SUM(BB402:BG402)</f>
        <v>-4751.6236773173923</v>
      </c>
      <c r="BB402" s="2">
        <f t="shared" si="1026"/>
        <v>-2686.3374361829965</v>
      </c>
      <c r="BC402" s="2">
        <f t="shared" si="1026"/>
        <v>-1657.8779166238162</v>
      </c>
      <c r="BD402" s="2">
        <f t="shared" si="1026"/>
        <v>0</v>
      </c>
      <c r="BE402" s="2">
        <f t="shared" si="1026"/>
        <v>-35.721756356518902</v>
      </c>
      <c r="BF402" s="2">
        <f t="shared" si="1026"/>
        <v>-371.6865681540603</v>
      </c>
      <c r="BG402" s="2">
        <f t="shared" si="1026"/>
        <v>0</v>
      </c>
      <c r="BI402" s="2">
        <f>SUM(BJ402:BO402)</f>
        <v>-20621.520390437123</v>
      </c>
      <c r="BJ402" s="2">
        <f t="shared" si="1027"/>
        <v>-19842.712399251766</v>
      </c>
      <c r="BK402" s="2">
        <f t="shared" si="1027"/>
        <v>-740.22303001769978</v>
      </c>
      <c r="BL402" s="2">
        <f t="shared" si="1027"/>
        <v>0</v>
      </c>
      <c r="BM402" s="2">
        <f t="shared" si="1027"/>
        <v>-3.5812629910653992</v>
      </c>
      <c r="BN402" s="2">
        <f t="shared" si="1027"/>
        <v>-35.003698176591129</v>
      </c>
      <c r="BO402" s="2"/>
    </row>
    <row r="403" spans="1:67">
      <c r="A403" s="50">
        <f t="shared" si="1021"/>
        <v>403</v>
      </c>
      <c r="C403" s="36" t="s">
        <v>151</v>
      </c>
      <c r="D403" s="28" t="s">
        <v>1057</v>
      </c>
      <c r="E403" s="369">
        <f>PROFORMA!AY222+PROFORMA!AY223</f>
        <v>2037000</v>
      </c>
      <c r="F403" s="60" t="s">
        <v>1052</v>
      </c>
      <c r="G403" s="60"/>
      <c r="H403" s="2">
        <f>SUM(I403:N403)</f>
        <v>2037000</v>
      </c>
      <c r="I403" s="2">
        <f t="shared" si="1022"/>
        <v>2037000</v>
      </c>
      <c r="J403" s="2">
        <f t="shared" si="1022"/>
        <v>0</v>
      </c>
      <c r="K403" s="2">
        <f t="shared" si="1022"/>
        <v>0</v>
      </c>
      <c r="L403" s="2">
        <f t="shared" si="1022"/>
        <v>0</v>
      </c>
      <c r="M403" s="2">
        <f t="shared" si="1022"/>
        <v>0</v>
      </c>
      <c r="N403" s="2">
        <f t="shared" si="1022"/>
        <v>0</v>
      </c>
      <c r="O403" s="2"/>
      <c r="P403" s="61" t="str">
        <f>E$1&amp;$A403&amp;"*     """</f>
        <v>E403*     "</v>
      </c>
      <c r="Q403" s="61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>
        <v>1</v>
      </c>
      <c r="AH403" s="15"/>
      <c r="AI403" s="76">
        <f t="shared" si="1001"/>
        <v>0</v>
      </c>
      <c r="AK403" s="2">
        <f>SUM(AL403:AO403)</f>
        <v>2037000</v>
      </c>
      <c r="AL403" s="2">
        <f t="shared" si="1024"/>
        <v>0</v>
      </c>
      <c r="AM403" s="2">
        <f t="shared" si="1024"/>
        <v>0</v>
      </c>
      <c r="AN403" s="2">
        <f t="shared" si="1024"/>
        <v>2037000</v>
      </c>
      <c r="AO403" s="2">
        <f t="shared" si="1024"/>
        <v>0</v>
      </c>
      <c r="AP403" s="2"/>
      <c r="AQ403" s="61" t="str">
        <f>E$1&amp;$A403&amp;"*      """</f>
        <v>E403*      "</v>
      </c>
      <c r="AS403" s="2">
        <f>SUM(AT403:AY403)</f>
        <v>0</v>
      </c>
      <c r="AT403" s="2">
        <f t="shared" si="1025"/>
        <v>0</v>
      </c>
      <c r="AU403" s="2">
        <f t="shared" si="1025"/>
        <v>0</v>
      </c>
      <c r="AV403" s="2">
        <f t="shared" si="1025"/>
        <v>0</v>
      </c>
      <c r="AW403" s="2">
        <f t="shared" si="1025"/>
        <v>0</v>
      </c>
      <c r="AX403" s="2">
        <f t="shared" si="1025"/>
        <v>0</v>
      </c>
      <c r="AY403" s="2">
        <f t="shared" si="1025"/>
        <v>0</v>
      </c>
      <c r="BA403" s="2">
        <f>SUM(BB403:BG403)</f>
        <v>0</v>
      </c>
      <c r="BB403" s="2">
        <f t="shared" si="1026"/>
        <v>0</v>
      </c>
      <c r="BC403" s="2">
        <f t="shared" si="1026"/>
        <v>0</v>
      </c>
      <c r="BD403" s="2">
        <f t="shared" si="1026"/>
        <v>0</v>
      </c>
      <c r="BE403" s="2">
        <f t="shared" si="1026"/>
        <v>0</v>
      </c>
      <c r="BF403" s="2">
        <f t="shared" si="1026"/>
        <v>0</v>
      </c>
      <c r="BG403" s="2">
        <f t="shared" si="1026"/>
        <v>0</v>
      </c>
      <c r="BI403" s="2">
        <f>SUM(BJ403:BO403)</f>
        <v>2037000</v>
      </c>
      <c r="BJ403" s="2">
        <f t="shared" si="1027"/>
        <v>2037000</v>
      </c>
      <c r="BK403" s="2">
        <f t="shared" si="1027"/>
        <v>0</v>
      </c>
      <c r="BL403" s="2">
        <f t="shared" si="1027"/>
        <v>0</v>
      </c>
      <c r="BM403" s="2">
        <f t="shared" si="1027"/>
        <v>0</v>
      </c>
      <c r="BN403" s="2">
        <f t="shared" si="1027"/>
        <v>0</v>
      </c>
      <c r="BO403" s="2">
        <f t="shared" si="1027"/>
        <v>0</v>
      </c>
    </row>
    <row r="404" spans="1:67">
      <c r="A404" s="50">
        <f t="shared" si="1021"/>
        <v>404</v>
      </c>
      <c r="D404" s="52" t="s">
        <v>74</v>
      </c>
      <c r="E404" s="3">
        <f>SUM(E398:E403)</f>
        <v>7484000</v>
      </c>
      <c r="F404" s="60"/>
      <c r="G404" s="60"/>
      <c r="H404" s="3">
        <f>IF(ROUND(SUM(H398:H403),3)&lt;&gt;ROUND(SUM(I404:N404),3),#VALUE!,SUM(H398:H403))</f>
        <v>7484000</v>
      </c>
      <c r="I404" s="3">
        <f t="shared" ref="I404:N404" si="1031">SUM(I398:I403)</f>
        <v>6613839.1922181882</v>
      </c>
      <c r="J404" s="3">
        <f t="shared" si="1031"/>
        <v>701427.76525024243</v>
      </c>
      <c r="K404" s="3">
        <f t="shared" si="1031"/>
        <v>0</v>
      </c>
      <c r="L404" s="3">
        <f t="shared" si="1031"/>
        <v>16936.458323334617</v>
      </c>
      <c r="M404" s="3">
        <f t="shared" si="1031"/>
        <v>151796.584208235</v>
      </c>
      <c r="N404" s="3">
        <f t="shared" si="1031"/>
        <v>0</v>
      </c>
      <c r="O404" s="5"/>
      <c r="P404" s="61" t="str">
        <f>$A398&amp;":"&amp;A403</f>
        <v>398:403</v>
      </c>
      <c r="Q404" s="61"/>
      <c r="R404" s="16">
        <f t="shared" ref="R404:AH404" si="1032">SUMPRODUCT($E$399:$E$403,R$399:R$403)/$E404</f>
        <v>7.342959312237482E-2</v>
      </c>
      <c r="S404" s="16">
        <f t="shared" si="1032"/>
        <v>1.0897293458269319E-2</v>
      </c>
      <c r="T404" s="16">
        <f t="shared" si="1032"/>
        <v>6.2296425003603439E-3</v>
      </c>
      <c r="U404" s="16">
        <f t="shared" si="1032"/>
        <v>4.1690684425488449E-2</v>
      </c>
      <c r="V404" s="16">
        <f t="shared" si="1032"/>
        <v>0</v>
      </c>
      <c r="W404" s="16">
        <f t="shared" si="1032"/>
        <v>0.11341156924329787</v>
      </c>
      <c r="X404" s="16">
        <f t="shared" si="1032"/>
        <v>0</v>
      </c>
      <c r="Y404" s="16">
        <f t="shared" si="1032"/>
        <v>0</v>
      </c>
      <c r="Z404" s="16">
        <f t="shared" si="1032"/>
        <v>0</v>
      </c>
      <c r="AA404" s="16">
        <f t="shared" si="1032"/>
        <v>0</v>
      </c>
      <c r="AB404" s="16">
        <f t="shared" si="1032"/>
        <v>0.29582902839848868</v>
      </c>
      <c r="AC404" s="16">
        <f t="shared" si="1032"/>
        <v>0.12672760504019528</v>
      </c>
      <c r="AD404" s="16">
        <f t="shared" si="1032"/>
        <v>5.8462543787207132E-2</v>
      </c>
      <c r="AE404" s="16">
        <f t="shared" si="1032"/>
        <v>0</v>
      </c>
      <c r="AF404" s="16">
        <f t="shared" si="1032"/>
        <v>1.1413879665947936E-3</v>
      </c>
      <c r="AG404" s="16">
        <f t="shared" si="1032"/>
        <v>0.27218065205772313</v>
      </c>
      <c r="AH404" s="16">
        <f t="shared" si="1032"/>
        <v>-1.012970551459157E-18</v>
      </c>
      <c r="AI404" s="76">
        <f t="shared" si="1001"/>
        <v>0</v>
      </c>
      <c r="AK404" s="3">
        <f>IF(ROUND(SUM(AK398:AK403),3)&lt;&gt;ROUND(SUM(AL404:AO404),3),#VALUE!,SUM(AK398:AK403))</f>
        <v>7484000</v>
      </c>
      <c r="AL404" s="3">
        <f>SUM(AL398:AL403)</f>
        <v>989738.14588259324</v>
      </c>
      <c r="AM404" s="3">
        <f>SUM(AM398:AM403)</f>
        <v>848772.18421684124</v>
      </c>
      <c r="AN404" s="3">
        <f>SUM(AN398:AN403)</f>
        <v>5645489.6699005654</v>
      </c>
      <c r="AO404" s="3">
        <f>SUM(AO398:AO403)</f>
        <v>-7.5810716071203314E-12</v>
      </c>
      <c r="AP404" s="5"/>
      <c r="AQ404" s="61" t="str">
        <f>$A398&amp;":"&amp;A403</f>
        <v>398:403</v>
      </c>
      <c r="AS404" s="3">
        <f>IF(ROUND(SUM(AS398:AS403),3)&lt;&gt;ROUND(SUM(AT404:AY404),3),#VALUE!,SUM(AS398:AS403))</f>
        <v>989738.14588259324</v>
      </c>
      <c r="AT404" s="3">
        <f t="shared" ref="AT404:AY404" si="1033">SUM(AT398:AT403)</f>
        <v>625940.95009397739</v>
      </c>
      <c r="AU404" s="3">
        <f t="shared" si="1033"/>
        <v>274707.12777190621</v>
      </c>
      <c r="AV404" s="3">
        <f t="shared" si="1033"/>
        <v>0</v>
      </c>
      <c r="AW404" s="3">
        <f t="shared" si="1033"/>
        <v>9918.4836937629771</v>
      </c>
      <c r="AX404" s="3">
        <f t="shared" si="1033"/>
        <v>79171.584322946859</v>
      </c>
      <c r="AY404" s="3">
        <f t="shared" si="1033"/>
        <v>0</v>
      </c>
      <c r="BA404" s="3">
        <f>IF(ROUND(SUM(BA398:BA403),3)&lt;&gt;ROUND(SUM(BB404:BG404),3),#VALUE!,SUM(BA398:BA403))</f>
        <v>848772.18421684136</v>
      </c>
      <c r="BB404" s="3">
        <f t="shared" ref="BB404:BG404" si="1034">SUM(BB398:BB403)</f>
        <v>479854.60299326002</v>
      </c>
      <c r="BC404" s="3">
        <f t="shared" si="1034"/>
        <v>296143.11991392775</v>
      </c>
      <c r="BD404" s="3">
        <f t="shared" si="1034"/>
        <v>0</v>
      </c>
      <c r="BE404" s="3">
        <f t="shared" si="1034"/>
        <v>6380.8995042094411</v>
      </c>
      <c r="BF404" s="3">
        <f t="shared" si="1034"/>
        <v>66393.561805444057</v>
      </c>
      <c r="BG404" s="3">
        <f t="shared" si="1034"/>
        <v>0</v>
      </c>
      <c r="BI404" s="3">
        <f>IF(ROUND(SUM(BI398:BI403),3)&lt;&gt;ROUND(SUM(BJ404:BO404),3),#VALUE!,SUM(BI398:BI403))</f>
        <v>5645489.6699005663</v>
      </c>
      <c r="BJ404" s="3">
        <f t="shared" ref="BJ404:BO404" si="1035">SUM(BJ398:BJ403)</f>
        <v>5508043.6391309509</v>
      </c>
      <c r="BK404" s="3">
        <f t="shared" si="1035"/>
        <v>130577.51756440858</v>
      </c>
      <c r="BL404" s="3">
        <f t="shared" si="1035"/>
        <v>0</v>
      </c>
      <c r="BM404" s="3">
        <f t="shared" si="1035"/>
        <v>637.07512536219656</v>
      </c>
      <c r="BN404" s="3">
        <f t="shared" si="1035"/>
        <v>6231.4380798440998</v>
      </c>
      <c r="BO404" s="3">
        <f t="shared" si="1035"/>
        <v>0</v>
      </c>
    </row>
    <row r="405" spans="1:67">
      <c r="A405" s="50">
        <f t="shared" si="1021"/>
        <v>405</v>
      </c>
      <c r="D405" s="52"/>
      <c r="E405" s="5"/>
      <c r="F405" s="60"/>
      <c r="G405" s="60"/>
      <c r="H405" s="5"/>
      <c r="I405" s="5"/>
      <c r="J405" s="5"/>
      <c r="K405" s="5"/>
      <c r="L405" s="5"/>
      <c r="M405" s="5"/>
      <c r="N405" s="5"/>
      <c r="O405" s="5"/>
      <c r="P405" s="61"/>
      <c r="Q405" s="61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76">
        <f t="shared" si="1001"/>
        <v>0</v>
      </c>
      <c r="AK405" s="5"/>
      <c r="AL405" s="5"/>
      <c r="AM405" s="5"/>
      <c r="AN405" s="5"/>
      <c r="AO405" s="5"/>
      <c r="AP405" s="5"/>
      <c r="AQ405" s="61"/>
      <c r="AS405" s="5"/>
      <c r="AT405" s="5"/>
      <c r="AU405" s="5"/>
      <c r="AV405" s="5"/>
      <c r="AW405" s="5"/>
      <c r="AX405" s="5"/>
      <c r="AY405" s="5"/>
      <c r="BA405" s="5"/>
      <c r="BB405" s="5"/>
      <c r="BC405" s="5"/>
      <c r="BD405" s="5"/>
      <c r="BE405" s="5"/>
      <c r="BF405" s="5"/>
      <c r="BG405" s="5"/>
      <c r="BI405" s="5"/>
      <c r="BJ405" s="5"/>
      <c r="BK405" s="5"/>
      <c r="BL405" s="5"/>
      <c r="BM405" s="5"/>
      <c r="BN405" s="5"/>
      <c r="BO405" s="5"/>
    </row>
    <row r="406" spans="1:67">
      <c r="A406" s="50">
        <f t="shared" si="1021"/>
        <v>406</v>
      </c>
      <c r="D406" t="s">
        <v>226</v>
      </c>
      <c r="E406" s="2">
        <f>E395+E404</f>
        <v>34059000</v>
      </c>
      <c r="F406" s="60" t="str">
        <f>"("&amp;A$395&amp;"+"&amp;A$404&amp;")"</f>
        <v>(395+404)</v>
      </c>
      <c r="G406" s="60"/>
      <c r="H406" s="2">
        <f t="shared" ref="H406:N406" si="1036">H395+H404</f>
        <v>34059000</v>
      </c>
      <c r="I406" s="2">
        <f t="shared" si="1036"/>
        <v>27490536.880845111</v>
      </c>
      <c r="J406" s="2">
        <f t="shared" si="1036"/>
        <v>5206459.3489091778</v>
      </c>
      <c r="K406" s="2">
        <f t="shared" si="1036"/>
        <v>0</v>
      </c>
      <c r="L406" s="2">
        <f t="shared" si="1036"/>
        <v>123614.59709078979</v>
      </c>
      <c r="M406" s="2">
        <f t="shared" si="1036"/>
        <v>1238389.173154921</v>
      </c>
      <c r="N406" s="2">
        <f t="shared" si="1036"/>
        <v>0</v>
      </c>
      <c r="O406" s="2"/>
      <c r="P406" s="61" t="str">
        <f>$A395&amp;"+"&amp;$A404</f>
        <v>395+404</v>
      </c>
      <c r="Q406" s="61"/>
      <c r="R406" s="42">
        <f t="shared" ref="R406:AH406" si="1037">($E395*R395+$E404*R404)/$E406</f>
        <v>0.13108377436799998</v>
      </c>
      <c r="S406" s="42">
        <f t="shared" si="1037"/>
        <v>5.7528627554134229E-3</v>
      </c>
      <c r="T406" s="42">
        <f t="shared" si="1037"/>
        <v>5.445283921881097E-3</v>
      </c>
      <c r="U406" s="42">
        <f t="shared" si="1037"/>
        <v>3.6441515477204263E-2</v>
      </c>
      <c r="V406" s="42">
        <f t="shared" si="1037"/>
        <v>0</v>
      </c>
      <c r="W406" s="42">
        <f t="shared" si="1037"/>
        <v>0.20826271733692672</v>
      </c>
      <c r="X406" s="42">
        <f t="shared" si="1037"/>
        <v>0</v>
      </c>
      <c r="Y406" s="42">
        <f t="shared" si="1037"/>
        <v>0</v>
      </c>
      <c r="Z406" s="42">
        <f t="shared" si="1037"/>
        <v>0</v>
      </c>
      <c r="AA406" s="42">
        <f t="shared" si="1037"/>
        <v>0</v>
      </c>
      <c r="AB406" s="42">
        <f t="shared" si="1037"/>
        <v>0.15617307232855701</v>
      </c>
      <c r="AC406" s="42">
        <f t="shared" si="1037"/>
        <v>0.24282594929414741</v>
      </c>
      <c r="AD406" s="42">
        <f t="shared" si="1037"/>
        <v>0.15226828540757575</v>
      </c>
      <c r="AE406" s="42">
        <f t="shared" si="1037"/>
        <v>0</v>
      </c>
      <c r="AF406" s="42">
        <f t="shared" si="1037"/>
        <v>1.9385588407619706E-3</v>
      </c>
      <c r="AG406" s="42">
        <f t="shared" si="1037"/>
        <v>5.9807980269532275E-2</v>
      </c>
      <c r="AH406" s="42">
        <f t="shared" si="1037"/>
        <v>-5.3476402926433514E-19</v>
      </c>
      <c r="AI406" s="85">
        <f t="shared" si="1001"/>
        <v>0</v>
      </c>
      <c r="AK406" s="2">
        <f>AK395+AK404</f>
        <v>34059000</v>
      </c>
      <c r="AL406" s="2">
        <f>AL395+AL404</f>
        <v>6087141.5245197862</v>
      </c>
      <c r="AM406" s="2">
        <f>AM395+AM404</f>
        <v>7093219.8897783868</v>
      </c>
      <c r="AN406" s="2">
        <f>AN395+AN404</f>
        <v>20878638.585701827</v>
      </c>
      <c r="AO406" s="2">
        <f>AO395+AO404</f>
        <v>-1.8213528072713992E-11</v>
      </c>
      <c r="AP406" s="2"/>
      <c r="AQ406" s="61" t="str">
        <f>$A395&amp;"+"&amp;$A404</f>
        <v>395+404</v>
      </c>
      <c r="AS406" s="2">
        <f t="shared" ref="AS406:AY406" si="1038">AS395+AS404</f>
        <v>6087141.5245197862</v>
      </c>
      <c r="AT406" s="2">
        <f t="shared" si="1038"/>
        <v>3713404.9856016217</v>
      </c>
      <c r="AU406" s="2">
        <f t="shared" si="1038"/>
        <v>1685548.9524619351</v>
      </c>
      <c r="AV406" s="2">
        <f t="shared" si="1038"/>
        <v>0</v>
      </c>
      <c r="AW406" s="2">
        <f t="shared" si="1038"/>
        <v>63661.094460024222</v>
      </c>
      <c r="AX406" s="2">
        <f t="shared" si="1038"/>
        <v>624526.49199620518</v>
      </c>
      <c r="AY406" s="2">
        <f t="shared" si="1038"/>
        <v>0</v>
      </c>
      <c r="BA406" s="2">
        <f t="shared" ref="BA406:BG406" si="1039">BA395+BA404</f>
        <v>7093219.8897783868</v>
      </c>
      <c r="BB406" s="2">
        <f t="shared" si="1039"/>
        <v>4010162.2996683111</v>
      </c>
      <c r="BC406" s="2">
        <f t="shared" si="1039"/>
        <v>2474878.7807328077</v>
      </c>
      <c r="BD406" s="2">
        <f t="shared" si="1039"/>
        <v>0</v>
      </c>
      <c r="BE406" s="2">
        <f t="shared" si="1039"/>
        <v>53325.408301048061</v>
      </c>
      <c r="BF406" s="2">
        <f t="shared" si="1039"/>
        <v>554853.40107622009</v>
      </c>
      <c r="BG406" s="2">
        <f t="shared" si="1039"/>
        <v>0</v>
      </c>
      <c r="BI406" s="2">
        <f t="shared" ref="BI406:BO406" si="1040">BI395+BI404</f>
        <v>20878638.585701831</v>
      </c>
      <c r="BJ406" s="2">
        <f t="shared" si="1040"/>
        <v>19766969.59557518</v>
      </c>
      <c r="BK406" s="2">
        <f t="shared" si="1040"/>
        <v>1046031.6157144357</v>
      </c>
      <c r="BL406" s="2">
        <f t="shared" si="1040"/>
        <v>0</v>
      </c>
      <c r="BM406" s="2">
        <f t="shared" si="1040"/>
        <v>6628.0943297174972</v>
      </c>
      <c r="BN406" s="2">
        <f t="shared" si="1040"/>
        <v>59009.28008249616</v>
      </c>
      <c r="BO406" s="2">
        <f t="shared" si="1040"/>
        <v>0</v>
      </c>
    </row>
    <row r="407" spans="1:67">
      <c r="A407" s="50">
        <f t="shared" si="1021"/>
        <v>407</v>
      </c>
      <c r="E407" s="2"/>
      <c r="F407" s="60"/>
      <c r="G407" s="60"/>
      <c r="P407" s="61"/>
      <c r="Q407" s="61"/>
      <c r="AI407" s="76">
        <f t="shared" si="1001"/>
        <v>0</v>
      </c>
      <c r="AQ407" s="61"/>
    </row>
    <row r="408" spans="1:67">
      <c r="A408" s="50">
        <f t="shared" si="1021"/>
        <v>408</v>
      </c>
      <c r="D408" t="s">
        <v>225</v>
      </c>
      <c r="E408" s="2">
        <f>E344+E352+E406</f>
        <v>93575000</v>
      </c>
      <c r="F408" s="60" t="str">
        <f>"("&amp;A$344&amp;"+"&amp;A$352&amp;"+"&amp;A$406</f>
        <v>(344+352+406</v>
      </c>
      <c r="G408" s="60"/>
      <c r="H408" s="2">
        <f t="shared" ref="H408:N408" si="1041">H344+H352+H406</f>
        <v>93575000.330443949</v>
      </c>
      <c r="I408" s="2">
        <f>I344+I352+I406</f>
        <v>76098803.04227604</v>
      </c>
      <c r="J408" s="2">
        <f t="shared" si="1041"/>
        <v>13964129.073850434</v>
      </c>
      <c r="K408" s="2">
        <f t="shared" si="1041"/>
        <v>0</v>
      </c>
      <c r="L408" s="2">
        <f t="shared" si="1041"/>
        <v>340196.83052425052</v>
      </c>
      <c r="M408" s="2">
        <f t="shared" si="1041"/>
        <v>3171871.383793233</v>
      </c>
      <c r="N408" s="2">
        <f t="shared" si="1041"/>
        <v>0</v>
      </c>
      <c r="O408" s="2"/>
      <c r="P408" s="61" t="str">
        <f>$A344&amp;"+"&amp;$A352&amp;"+"&amp;$A406</f>
        <v>344+352+406</v>
      </c>
      <c r="Q408" s="61"/>
      <c r="R408" s="14">
        <f t="shared" ref="R408:AH408" si="1042">($E344*R344+$E352*R352+$E406*R406)/$E408</f>
        <v>0.12249859802328661</v>
      </c>
      <c r="S408" s="14">
        <f t="shared" si="1042"/>
        <v>1.5024260913387969E-2</v>
      </c>
      <c r="T408" s="14">
        <f t="shared" si="1042"/>
        <v>7.5986066445308375E-3</v>
      </c>
      <c r="U408" s="14">
        <f t="shared" si="1042"/>
        <v>5.085221369801407E-2</v>
      </c>
      <c r="V408" s="14">
        <f t="shared" si="1042"/>
        <v>9.5110873630777451E-4</v>
      </c>
      <c r="W408" s="14">
        <f t="shared" si="1042"/>
        <v>0.19053509617541034</v>
      </c>
      <c r="X408" s="14">
        <f t="shared" si="1042"/>
        <v>0</v>
      </c>
      <c r="Y408" s="14">
        <f t="shared" si="1042"/>
        <v>0</v>
      </c>
      <c r="Z408" s="14">
        <f t="shared" si="1042"/>
        <v>0</v>
      </c>
      <c r="AA408" s="14">
        <f t="shared" si="1042"/>
        <v>0</v>
      </c>
      <c r="AB408" s="14">
        <f t="shared" si="1042"/>
        <v>0.24731180848496684</v>
      </c>
      <c r="AC408" s="14">
        <f t="shared" si="1042"/>
        <v>0.22069190862495663</v>
      </c>
      <c r="AD408" s="14">
        <f t="shared" si="1042"/>
        <v>0.11616265749859087</v>
      </c>
      <c r="AE408" s="14">
        <f t="shared" si="1042"/>
        <v>0</v>
      </c>
      <c r="AF408" s="14">
        <f t="shared" si="1042"/>
        <v>1.9805378876973888E-3</v>
      </c>
      <c r="AG408" s="14">
        <f t="shared" si="1042"/>
        <v>2.1768634784931871E-2</v>
      </c>
      <c r="AH408" s="14">
        <f t="shared" si="1042"/>
        <v>4.6245685279187815E-3</v>
      </c>
      <c r="AI408" s="76">
        <f t="shared" si="1001"/>
        <v>0</v>
      </c>
      <c r="AK408" s="2">
        <f>AK344+AK352+AK406</f>
        <v>93575000</v>
      </c>
      <c r="AL408" s="2">
        <f>AL344+AL352+AL406</f>
        <v>18427237.038552962</v>
      </c>
      <c r="AM408" s="2">
        <f>AM344+AM352+AM406</f>
        <v>17829321.624614023</v>
      </c>
      <c r="AN408" s="2">
        <f>AN344+AN352+AN406</f>
        <v>56885697.336833015</v>
      </c>
      <c r="AO408" s="2">
        <f>AO344+AO352+AO406</f>
        <v>432744</v>
      </c>
      <c r="AP408" s="2"/>
      <c r="AQ408" s="61" t="str">
        <f>$A344&amp;"+"&amp;$A352&amp;"+"&amp;$A406</f>
        <v>344+352+406</v>
      </c>
      <c r="AS408" s="2">
        <f t="shared" ref="AS408:AY408" si="1043">AS344+AS352+AS406</f>
        <v>18427237.038552966</v>
      </c>
      <c r="AT408" s="2">
        <f t="shared" si="1043"/>
        <v>11487605.174387969</v>
      </c>
      <c r="AU408" s="2">
        <f t="shared" si="1043"/>
        <v>5124304.3819358461</v>
      </c>
      <c r="AV408" s="2">
        <f t="shared" si="1043"/>
        <v>0</v>
      </c>
      <c r="AW408" s="2">
        <f t="shared" si="1043"/>
        <v>189169.86253828049</v>
      </c>
      <c r="AX408" s="2">
        <f t="shared" si="1043"/>
        <v>1626157.6196908685</v>
      </c>
      <c r="AY408" s="2">
        <f t="shared" si="1043"/>
        <v>0</v>
      </c>
      <c r="BA408" s="2">
        <f t="shared" ref="BA408:BG408" si="1044">BA344+BA352+BA406</f>
        <v>17829321.624614023</v>
      </c>
      <c r="BB408" s="2">
        <f t="shared" si="1044"/>
        <v>10079833.209558364</v>
      </c>
      <c r="BC408" s="2">
        <f t="shared" si="1044"/>
        <v>6220786.9556115558</v>
      </c>
      <c r="BD408" s="2">
        <f t="shared" si="1044"/>
        <v>0</v>
      </c>
      <c r="BE408" s="2">
        <f t="shared" si="1044"/>
        <v>134037.27364117463</v>
      </c>
      <c r="BF408" s="2">
        <f t="shared" si="1044"/>
        <v>1394664.1858029251</v>
      </c>
      <c r="BG408" s="2">
        <f t="shared" si="1044"/>
        <v>0</v>
      </c>
      <c r="BI408" s="2">
        <f t="shared" ref="BI408:BO408" si="1045">BI344+BI352+BI406</f>
        <v>56885697.336833015</v>
      </c>
      <c r="BJ408" s="2">
        <f t="shared" si="1045"/>
        <v>54196024.79972358</v>
      </c>
      <c r="BK408" s="2">
        <f t="shared" si="1045"/>
        <v>2536734.7508611986</v>
      </c>
      <c r="BL408" s="2">
        <f t="shared" si="1045"/>
        <v>0</v>
      </c>
      <c r="BM408" s="2">
        <f t="shared" si="1045"/>
        <v>14781.803084660805</v>
      </c>
      <c r="BN408" s="2">
        <f t="shared" si="1045"/>
        <v>138155.98316358268</v>
      </c>
      <c r="BO408" s="2">
        <f t="shared" si="1045"/>
        <v>0</v>
      </c>
    </row>
    <row r="409" spans="1:67">
      <c r="A409" s="50">
        <f t="shared" si="1021"/>
        <v>409</v>
      </c>
      <c r="E409" s="2"/>
      <c r="F409" s="60"/>
      <c r="G409" s="60"/>
      <c r="H409" s="33">
        <f>H408-E408</f>
        <v>0.33044394850730896</v>
      </c>
      <c r="I409" s="2"/>
      <c r="J409" s="2"/>
      <c r="K409" s="2"/>
      <c r="L409" s="2"/>
      <c r="M409" s="2"/>
      <c r="N409" s="2"/>
      <c r="O409" s="2"/>
      <c r="P409" s="61"/>
      <c r="Q409" s="61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76">
        <f t="shared" si="1001"/>
        <v>0</v>
      </c>
      <c r="AK409" s="2"/>
      <c r="AL409" s="2"/>
      <c r="AM409" s="2"/>
      <c r="AN409" s="2"/>
      <c r="AO409" s="2"/>
      <c r="AP409" s="2"/>
      <c r="AQ409" s="61"/>
      <c r="AS409" s="2"/>
      <c r="AT409" s="2"/>
      <c r="AU409" s="2"/>
      <c r="AV409" s="2"/>
      <c r="AW409" s="2"/>
      <c r="AX409" s="2"/>
      <c r="AY409" s="2"/>
      <c r="BA409" s="2"/>
      <c r="BB409" s="2"/>
      <c r="BC409" s="2"/>
      <c r="BD409" s="2"/>
      <c r="BE409" s="2"/>
      <c r="BF409" s="2"/>
      <c r="BG409" s="2"/>
      <c r="BI409" s="2"/>
      <c r="BJ409" s="2"/>
      <c r="BK409" s="2"/>
      <c r="BL409" s="2"/>
      <c r="BM409" s="2"/>
      <c r="BN409" s="2"/>
      <c r="BO409" s="2"/>
    </row>
    <row r="410" spans="1:67">
      <c r="A410" s="50">
        <f t="shared" si="1021"/>
        <v>410</v>
      </c>
      <c r="D410" s="1" t="s">
        <v>119</v>
      </c>
      <c r="E410" s="2">
        <f>E433+E158+E408</f>
        <v>-22471000</v>
      </c>
      <c r="F410" s="60" t="str">
        <f>"("&amp;A$433&amp;"+"&amp;A$158&amp;"+"&amp;A$408&amp;")"</f>
        <v>(433+158+408)</v>
      </c>
      <c r="G410" s="60" t="s">
        <v>234</v>
      </c>
      <c r="H410" s="2">
        <f t="shared" ref="H410:N410" si="1046">H433+H158+H408</f>
        <v>-22470999.669556037</v>
      </c>
      <c r="I410" s="2">
        <f t="shared" si="1046"/>
        <v>-13920097.194753602</v>
      </c>
      <c r="J410" s="2">
        <f t="shared" si="1046"/>
        <v>-8222719.3512828797</v>
      </c>
      <c r="K410" s="2">
        <f t="shared" si="1046"/>
        <v>0</v>
      </c>
      <c r="L410" s="2">
        <f t="shared" si="1046"/>
        <v>-259292.4643955729</v>
      </c>
      <c r="M410" s="2">
        <f t="shared" si="1046"/>
        <v>-68890.659123995341</v>
      </c>
      <c r="N410" s="2">
        <f t="shared" si="1046"/>
        <v>0</v>
      </c>
      <c r="O410" s="2"/>
      <c r="P410" s="61" t="str">
        <f>$A433&amp;"+"&amp;$A158&amp;"+"&amp;$A408</f>
        <v>433+158+408</v>
      </c>
      <c r="Q410" s="61"/>
      <c r="R410" s="14">
        <f t="shared" ref="R410:AG410" si="1047">($E433*R433+$E408*R408+$E158*R158)/$E410</f>
        <v>-0.59259512349534138</v>
      </c>
      <c r="S410" s="14">
        <f t="shared" si="1047"/>
        <v>-6.3616219841264393E-2</v>
      </c>
      <c r="T410" s="14">
        <f t="shared" si="1047"/>
        <v>-2.7008035813784269E-2</v>
      </c>
      <c r="U410" s="14">
        <f t="shared" si="1047"/>
        <v>-0.18074608583071014</v>
      </c>
      <c r="V410" s="14">
        <f t="shared" si="1047"/>
        <v>-3.9606604067464728E-3</v>
      </c>
      <c r="W410" s="14">
        <f t="shared" si="1047"/>
        <v>-0.92556668564533751</v>
      </c>
      <c r="X410" s="14">
        <f t="shared" si="1047"/>
        <v>0</v>
      </c>
      <c r="Y410" s="14">
        <f t="shared" si="1047"/>
        <v>0</v>
      </c>
      <c r="Z410" s="14">
        <f t="shared" si="1047"/>
        <v>0</v>
      </c>
      <c r="AA410" s="14">
        <f t="shared" si="1047"/>
        <v>0</v>
      </c>
      <c r="AB410" s="14">
        <f t="shared" si="1047"/>
        <v>-1.0584107081413705</v>
      </c>
      <c r="AC410" s="14">
        <f t="shared" si="1047"/>
        <v>-1.0551207108792351</v>
      </c>
      <c r="AD410" s="14">
        <f t="shared" si="1047"/>
        <v>-0.54736124347855442</v>
      </c>
      <c r="AE410" s="14">
        <f t="shared" si="1047"/>
        <v>0</v>
      </c>
      <c r="AF410" s="14">
        <f t="shared" si="1047"/>
        <v>-9.6963919590330461E-3</v>
      </c>
      <c r="AG410" s="14">
        <f t="shared" si="1047"/>
        <v>-9.3492608274810485E-2</v>
      </c>
      <c r="AH410" s="14">
        <f>($E433*AH433+$E408*AH408+$E158*AH158)/$E410</f>
        <v>5.5575744737661879</v>
      </c>
      <c r="AI410" s="76">
        <f t="shared" si="1001"/>
        <v>0</v>
      </c>
      <c r="AK410" s="2">
        <f>AK433+AK158+AK408</f>
        <v>-22471000</v>
      </c>
      <c r="AL410" s="2">
        <f>AL433+AL158+AL408</f>
        <v>19503167.963590298</v>
      </c>
      <c r="AM410" s="2">
        <f>AM433+AM158+AM408</f>
        <v>20798408.99313638</v>
      </c>
      <c r="AN410" s="2">
        <f>AN433+AN158+AN408</f>
        <v>62111679.043273322</v>
      </c>
      <c r="AO410" s="2">
        <f>AO433+AO158+AO408</f>
        <v>-124884256</v>
      </c>
      <c r="AP410" s="2"/>
      <c r="AQ410" s="61" t="str">
        <f>$A433&amp;"+"&amp;$A158&amp;"+"&amp;$A408</f>
        <v>433+158+408</v>
      </c>
      <c r="AS410" s="2">
        <f t="shared" ref="AS410:AY410" si="1048">AS433+AS158+AS408</f>
        <v>16588759.004127935</v>
      </c>
      <c r="AT410" s="2">
        <f t="shared" si="1048"/>
        <v>10192109.729694696</v>
      </c>
      <c r="AU410" s="2">
        <f t="shared" si="1048"/>
        <v>4633251.2281187344</v>
      </c>
      <c r="AV410" s="2">
        <f t="shared" si="1048"/>
        <v>0</v>
      </c>
      <c r="AW410" s="2">
        <f t="shared" si="1048"/>
        <v>175330.42873187043</v>
      </c>
      <c r="AX410" s="2">
        <f t="shared" si="1048"/>
        <v>1588067.6175826315</v>
      </c>
      <c r="AY410" s="2">
        <f t="shared" si="1048"/>
        <v>0</v>
      </c>
      <c r="BA410" s="2">
        <f t="shared" ref="BA410:BG410" si="1049">BA433+BA158+BA408</f>
        <v>17634154.730590034</v>
      </c>
      <c r="BB410" s="2">
        <f t="shared" si="1049"/>
        <v>9969495.3189078588</v>
      </c>
      <c r="BC410" s="2">
        <f t="shared" si="1049"/>
        <v>6152691.7305618515</v>
      </c>
      <c r="BD410" s="2">
        <f t="shared" si="1049"/>
        <v>0</v>
      </c>
      <c r="BE410" s="2">
        <f t="shared" si="1049"/>
        <v>132570.04797040782</v>
      </c>
      <c r="BF410" s="2">
        <f t="shared" si="1049"/>
        <v>1379397.6331499133</v>
      </c>
      <c r="BG410" s="2">
        <f t="shared" si="1049"/>
        <v>0</v>
      </c>
      <c r="BI410" s="2">
        <f t="shared" ref="BI410:BO410" si="1050">BI433+BI158+BI408</f>
        <v>56542342.265282035</v>
      </c>
      <c r="BJ410" s="2">
        <f t="shared" si="1050"/>
        <v>53873827.220578969</v>
      </c>
      <c r="BK410" s="2">
        <f t="shared" si="1050"/>
        <v>2516960.227536377</v>
      </c>
      <c r="BL410" s="2">
        <f t="shared" si="1050"/>
        <v>0</v>
      </c>
      <c r="BM410" s="2">
        <f t="shared" si="1050"/>
        <v>14650.419409618253</v>
      </c>
      <c r="BN410" s="2">
        <f t="shared" si="1050"/>
        <v>136904.39775707622</v>
      </c>
      <c r="BO410" s="2">
        <f t="shared" si="1050"/>
        <v>0</v>
      </c>
    </row>
    <row r="411" spans="1:67">
      <c r="A411" s="50">
        <f t="shared" si="1021"/>
        <v>411</v>
      </c>
      <c r="E411" s="2"/>
      <c r="F411" s="60"/>
      <c r="G411" s="60"/>
      <c r="H411" s="33">
        <f>H410-E410</f>
        <v>0.33044396340847015</v>
      </c>
      <c r="P411" s="61"/>
      <c r="Q411" s="61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76">
        <f t="shared" si="1001"/>
        <v>0</v>
      </c>
      <c r="AQ411" s="61"/>
    </row>
    <row r="412" spans="1:67">
      <c r="A412" s="50">
        <f t="shared" si="1021"/>
        <v>412</v>
      </c>
      <c r="C412" s="34"/>
      <c r="D412" s="1" t="s">
        <v>117</v>
      </c>
      <c r="E412" s="2"/>
      <c r="F412" s="60"/>
      <c r="G412" s="60"/>
      <c r="P412" s="61"/>
      <c r="Q412" s="61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76">
        <f t="shared" si="1001"/>
        <v>0</v>
      </c>
      <c r="AQ412" s="61"/>
    </row>
    <row r="413" spans="1:67" s="131" customFormat="1">
      <c r="A413" s="130">
        <f t="shared" si="1021"/>
        <v>413</v>
      </c>
      <c r="C413" s="132" t="s">
        <v>155</v>
      </c>
      <c r="D413" s="131" t="s">
        <v>608</v>
      </c>
      <c r="E413" s="373">
        <f>PROFORMA!AY232*1000</f>
        <v>-285000</v>
      </c>
      <c r="F413" s="119" t="str">
        <f>"as Pre-Tax Op Inc ("&amp;A$410&amp;")"</f>
        <v>as Pre-Tax Op Inc (410)</v>
      </c>
      <c r="G413" s="119"/>
      <c r="H413" s="82">
        <f>SUM(I413:N413)</f>
        <v>-285000.00000000006</v>
      </c>
      <c r="I413" s="82">
        <f t="shared" ref="I413:N416" si="1051">$E413*SUMPRODUCT($R413:$AH413,INDEX(AllocFactors,I$4,0))</f>
        <v>-176548.78708919519</v>
      </c>
      <c r="J413" s="82">
        <f t="shared" si="1051"/>
        <v>-104288.86187155085</v>
      </c>
      <c r="K413" s="82">
        <f t="shared" si="1051"/>
        <v>0</v>
      </c>
      <c r="L413" s="82">
        <f t="shared" si="1051"/>
        <v>-3288.6098683965238</v>
      </c>
      <c r="M413" s="82">
        <f t="shared" si="1051"/>
        <v>-873.74117085749367</v>
      </c>
      <c r="N413" s="82">
        <f t="shared" si="1051"/>
        <v>0</v>
      </c>
      <c r="O413" s="82"/>
      <c r="P413" s="133" t="str">
        <f>E$1&amp;$A413&amp;"* Sum["&amp;$R$1&amp;$A413&amp;":"&amp;$AH$1&amp;$A413&amp;"* "&amp;Factors!D$1&amp;Factors!$A$58&amp;":"&amp;Factors!S$1&amp;Factors!$A$64&amp;"]"</f>
        <v>E413* Sum[R413:AH413* D1042:S1048]</v>
      </c>
      <c r="Q413" s="133"/>
      <c r="R413" s="108">
        <f t="shared" ref="R413:AH416" si="1052">R$410</f>
        <v>-0.59259512349534138</v>
      </c>
      <c r="S413" s="108">
        <f t="shared" si="1052"/>
        <v>-6.3616219841264393E-2</v>
      </c>
      <c r="T413" s="108">
        <f t="shared" si="1052"/>
        <v>-2.7008035813784269E-2</v>
      </c>
      <c r="U413" s="108">
        <f t="shared" si="1052"/>
        <v>-0.18074608583071014</v>
      </c>
      <c r="V413" s="108">
        <f t="shared" si="1052"/>
        <v>-3.9606604067464728E-3</v>
      </c>
      <c r="W413" s="108">
        <f t="shared" si="1052"/>
        <v>-0.92556668564533751</v>
      </c>
      <c r="X413" s="108">
        <f t="shared" si="1052"/>
        <v>0</v>
      </c>
      <c r="Y413" s="108">
        <f t="shared" si="1052"/>
        <v>0</v>
      </c>
      <c r="Z413" s="108">
        <f t="shared" si="1052"/>
        <v>0</v>
      </c>
      <c r="AA413" s="108">
        <f t="shared" si="1052"/>
        <v>0</v>
      </c>
      <c r="AB413" s="108">
        <f t="shared" si="1052"/>
        <v>-1.0584107081413705</v>
      </c>
      <c r="AC413" s="108">
        <f t="shared" si="1052"/>
        <v>-1.0551207108792351</v>
      </c>
      <c r="AD413" s="108">
        <f t="shared" si="1052"/>
        <v>-0.54736124347855442</v>
      </c>
      <c r="AE413" s="108">
        <f t="shared" si="1052"/>
        <v>0</v>
      </c>
      <c r="AF413" s="108">
        <f t="shared" si="1052"/>
        <v>-9.6963919590330461E-3</v>
      </c>
      <c r="AG413" s="108">
        <f t="shared" si="1052"/>
        <v>-9.3492608274810485E-2</v>
      </c>
      <c r="AH413" s="108">
        <f t="shared" si="1052"/>
        <v>5.5575744737661879</v>
      </c>
      <c r="AI413" s="134">
        <f t="shared" si="1001"/>
        <v>0</v>
      </c>
      <c r="AK413" s="82">
        <f>SUM(AL413:AO413)</f>
        <v>-285000</v>
      </c>
      <c r="AL413" s="82">
        <f t="shared" ref="AL413:AO416" si="1053">SUMIF($R$4:$AH$4,AL$5,$R413:$AH413)*$E413</f>
        <v>247358.94573553631</v>
      </c>
      <c r="AM413" s="82">
        <f t="shared" si="1053"/>
        <v>263786.50540892116</v>
      </c>
      <c r="AN413" s="82">
        <f t="shared" si="1053"/>
        <v>787763.27387890604</v>
      </c>
      <c r="AO413" s="82">
        <f t="shared" si="1053"/>
        <v>-1583908.7250233635</v>
      </c>
      <c r="AP413" s="82"/>
      <c r="AQ413" s="133" t="str">
        <f>AS$1&amp;$A413&amp;", "&amp;BA$1&amp;$A413&amp;", "&amp;BI$1&amp;$A413</f>
        <v>AS413, BA413, BI413</v>
      </c>
      <c r="AS413" s="82">
        <f>SUM(AT413:AY413)</f>
        <v>-75845.542261054914</v>
      </c>
      <c r="AT413" s="82">
        <f t="shared" ref="AT413:AY416" si="1054">I413*IF(I$132,AT$132/I$132,0)</f>
        <v>-36112.843117193552</v>
      </c>
      <c r="AU413" s="82">
        <f t="shared" si="1054"/>
        <v>-37538.247828707201</v>
      </c>
      <c r="AV413" s="82">
        <f t="shared" si="1054"/>
        <v>0</v>
      </c>
      <c r="AW413" s="82">
        <f t="shared" si="1054"/>
        <v>-1747.9695904068485</v>
      </c>
      <c r="AX413" s="82">
        <f t="shared" si="1054"/>
        <v>-446.48172474730677</v>
      </c>
      <c r="AY413" s="82">
        <f t="shared" si="1054"/>
        <v>0</v>
      </c>
      <c r="BA413" s="82">
        <f>SUM(BB413:BG413)</f>
        <v>-89346.814745568423</v>
      </c>
      <c r="BB413" s="82">
        <f t="shared" ref="BB413:BG416" si="1055">I413*IF(I$132,BB$132/I$132,0)</f>
        <v>-35812.269257060012</v>
      </c>
      <c r="BC413" s="82">
        <f t="shared" si="1055"/>
        <v>-51725.64798506449</v>
      </c>
      <c r="BD413" s="82">
        <f t="shared" si="1055"/>
        <v>0</v>
      </c>
      <c r="BE413" s="82">
        <f t="shared" si="1055"/>
        <v>-1414.0076553267215</v>
      </c>
      <c r="BF413" s="82">
        <f t="shared" si="1055"/>
        <v>-394.88984811719581</v>
      </c>
      <c r="BG413" s="82">
        <f t="shared" si="1055"/>
        <v>0</v>
      </c>
      <c r="BI413" s="82">
        <f>SUM(BJ413:BO413)</f>
        <v>-119807.64299337668</v>
      </c>
      <c r="BJ413" s="82">
        <f t="shared" ref="BJ413:BO416" si="1056">I413*IF(I$132,BJ$132/I$132,0)</f>
        <v>-104623.67471494159</v>
      </c>
      <c r="BK413" s="82">
        <f t="shared" si="1056"/>
        <v>-15024.966057779147</v>
      </c>
      <c r="BL413" s="82">
        <f t="shared" si="1056"/>
        <v>0</v>
      </c>
      <c r="BM413" s="82">
        <f t="shared" si="1056"/>
        <v>-126.63262266295219</v>
      </c>
      <c r="BN413" s="82">
        <f t="shared" si="1056"/>
        <v>-32.369597992991203</v>
      </c>
      <c r="BO413" s="82">
        <f t="shared" si="1056"/>
        <v>0</v>
      </c>
    </row>
    <row r="414" spans="1:67">
      <c r="A414" s="50">
        <f t="shared" si="1021"/>
        <v>414</v>
      </c>
      <c r="C414" s="37" t="s">
        <v>155</v>
      </c>
      <c r="D414" s="17" t="s">
        <v>75</v>
      </c>
      <c r="E414" s="369">
        <f>PROFORMA!AY231*1000</f>
        <v>-3100000</v>
      </c>
      <c r="F414" s="60" t="str">
        <f>"as Pre-Tax Op Inc ("&amp;A$410&amp;")"</f>
        <v>as Pre-Tax Op Inc (410)</v>
      </c>
      <c r="G414" s="60"/>
      <c r="H414" s="2">
        <f>SUM(I414:N414)</f>
        <v>-3100000.0000000009</v>
      </c>
      <c r="I414" s="2">
        <f t="shared" si="1051"/>
        <v>-1920355.2279877372</v>
      </c>
      <c r="J414" s="2">
        <f t="shared" si="1051"/>
        <v>-1134370.0764975706</v>
      </c>
      <c r="K414" s="2">
        <f t="shared" si="1051"/>
        <v>0</v>
      </c>
      <c r="L414" s="2">
        <f t="shared" si="1051"/>
        <v>-35770.844182558678</v>
      </c>
      <c r="M414" s="2">
        <f t="shared" si="1051"/>
        <v>-9503.8513321341416</v>
      </c>
      <c r="N414" s="2">
        <f t="shared" si="1051"/>
        <v>0</v>
      </c>
      <c r="O414" s="2"/>
      <c r="P414" s="61" t="str">
        <f>E$1&amp;$A414&amp;"*     """</f>
        <v>E414*     "</v>
      </c>
      <c r="Q414" s="61"/>
      <c r="R414" s="14">
        <f t="shared" si="1052"/>
        <v>-0.59259512349534138</v>
      </c>
      <c r="S414" s="14">
        <f t="shared" si="1052"/>
        <v>-6.3616219841264393E-2</v>
      </c>
      <c r="T414" s="14">
        <f t="shared" si="1052"/>
        <v>-2.7008035813784269E-2</v>
      </c>
      <c r="U414" s="14">
        <f t="shared" si="1052"/>
        <v>-0.18074608583071014</v>
      </c>
      <c r="V414" s="14">
        <f t="shared" si="1052"/>
        <v>-3.9606604067464728E-3</v>
      </c>
      <c r="W414" s="14">
        <f t="shared" si="1052"/>
        <v>-0.92556668564533751</v>
      </c>
      <c r="X414" s="14">
        <f t="shared" si="1052"/>
        <v>0</v>
      </c>
      <c r="Y414" s="14">
        <f t="shared" si="1052"/>
        <v>0</v>
      </c>
      <c r="Z414" s="14">
        <f t="shared" si="1052"/>
        <v>0</v>
      </c>
      <c r="AA414" s="14">
        <f t="shared" si="1052"/>
        <v>0</v>
      </c>
      <c r="AB414" s="14">
        <f t="shared" si="1052"/>
        <v>-1.0584107081413705</v>
      </c>
      <c r="AC414" s="14">
        <f t="shared" si="1052"/>
        <v>-1.0551207108792351</v>
      </c>
      <c r="AD414" s="14">
        <f t="shared" si="1052"/>
        <v>-0.54736124347855442</v>
      </c>
      <c r="AE414" s="14">
        <f t="shared" si="1052"/>
        <v>0</v>
      </c>
      <c r="AF414" s="14">
        <f t="shared" si="1052"/>
        <v>-9.6963919590330461E-3</v>
      </c>
      <c r="AG414" s="14">
        <f t="shared" si="1052"/>
        <v>-9.3492608274810485E-2</v>
      </c>
      <c r="AH414" s="14">
        <f t="shared" si="1052"/>
        <v>5.5575744737661879</v>
      </c>
      <c r="AI414" s="76">
        <f t="shared" si="1001"/>
        <v>0</v>
      </c>
      <c r="AK414" s="2">
        <f>SUM(AL414:AO414)</f>
        <v>-3100000</v>
      </c>
      <c r="AL414" s="2">
        <f t="shared" si="1053"/>
        <v>2690570.9887023247</v>
      </c>
      <c r="AM414" s="2">
        <f t="shared" si="1053"/>
        <v>2869256.7255005464</v>
      </c>
      <c r="AN414" s="2">
        <f t="shared" si="1053"/>
        <v>8568653.154472312</v>
      </c>
      <c r="AO414" s="2">
        <f t="shared" si="1053"/>
        <v>-17228480.868675184</v>
      </c>
      <c r="AP414" s="2"/>
      <c r="AQ414" s="61" t="str">
        <f>AS$1&amp;$A414&amp;", "&amp;BA$1&amp;$A414&amp;", "&amp;BI$1&amp;$A414</f>
        <v>AS414, BA414, BI414</v>
      </c>
      <c r="AS414" s="2">
        <f>SUM(AT414:AY414)</f>
        <v>-824986.60003252688</v>
      </c>
      <c r="AT414" s="2">
        <f t="shared" si="1054"/>
        <v>-392806.36373087717</v>
      </c>
      <c r="AU414" s="2">
        <f t="shared" si="1054"/>
        <v>-408310.76585611334</v>
      </c>
      <c r="AV414" s="2">
        <f t="shared" si="1054"/>
        <v>0</v>
      </c>
      <c r="AW414" s="2">
        <f t="shared" si="1054"/>
        <v>-19013.002562320104</v>
      </c>
      <c r="AX414" s="2">
        <f t="shared" si="1054"/>
        <v>-4856.467883216319</v>
      </c>
      <c r="AY414" s="2">
        <f t="shared" si="1054"/>
        <v>0</v>
      </c>
      <c r="BA414" s="2">
        <f>SUM(BB414:BG414)</f>
        <v>-971842.54635530559</v>
      </c>
      <c r="BB414" s="2">
        <f t="shared" si="1055"/>
        <v>-389536.96384872292</v>
      </c>
      <c r="BC414" s="2">
        <f t="shared" si="1055"/>
        <v>-562629.85527614004</v>
      </c>
      <c r="BD414" s="2">
        <f t="shared" si="1055"/>
        <v>0</v>
      </c>
      <c r="BE414" s="2">
        <f t="shared" si="1055"/>
        <v>-15380.434145659077</v>
      </c>
      <c r="BF414" s="2">
        <f t="shared" si="1055"/>
        <v>-4295.2930847835332</v>
      </c>
      <c r="BG414" s="2">
        <f t="shared" si="1055"/>
        <v>0</v>
      </c>
      <c r="BI414" s="2">
        <f>SUM(BJ414:BO414)</f>
        <v>-1303170.8536121675</v>
      </c>
      <c r="BJ414" s="2">
        <f t="shared" si="1056"/>
        <v>-1138011.9004081367</v>
      </c>
      <c r="BK414" s="2">
        <f t="shared" si="1056"/>
        <v>-163429.45536531703</v>
      </c>
      <c r="BL414" s="2">
        <f t="shared" si="1056"/>
        <v>0</v>
      </c>
      <c r="BM414" s="2">
        <f t="shared" si="1056"/>
        <v>-1377.4074745794799</v>
      </c>
      <c r="BN414" s="2">
        <f t="shared" si="1056"/>
        <v>-352.09036413429027</v>
      </c>
      <c r="BO414" s="2">
        <f t="shared" si="1056"/>
        <v>0</v>
      </c>
    </row>
    <row r="415" spans="1:67">
      <c r="A415" s="50">
        <f t="shared" si="1021"/>
        <v>415</v>
      </c>
      <c r="C415" s="37" t="s">
        <v>155</v>
      </c>
      <c r="D415" s="17" t="s">
        <v>386</v>
      </c>
      <c r="E415" s="369">
        <f>PROFORMA!AY233*1000</f>
        <v>0</v>
      </c>
      <c r="F415" s="60" t="str">
        <f>"as Pre-Tax Op Inc ("&amp;A$410&amp;")"</f>
        <v>as Pre-Tax Op Inc (410)</v>
      </c>
      <c r="G415" s="60"/>
      <c r="H415" s="2">
        <f>SUM(I415:N415)</f>
        <v>0</v>
      </c>
      <c r="I415" s="2">
        <f t="shared" si="1051"/>
        <v>0</v>
      </c>
      <c r="J415" s="2">
        <f t="shared" si="1051"/>
        <v>0</v>
      </c>
      <c r="K415" s="2">
        <f t="shared" si="1051"/>
        <v>0</v>
      </c>
      <c r="L415" s="2">
        <f t="shared" si="1051"/>
        <v>0</v>
      </c>
      <c r="M415" s="2">
        <f t="shared" si="1051"/>
        <v>0</v>
      </c>
      <c r="N415" s="2">
        <f t="shared" si="1051"/>
        <v>0</v>
      </c>
      <c r="O415" s="2"/>
      <c r="P415" s="61" t="str">
        <f>E$1&amp;$A415&amp;"*     """</f>
        <v>E415*     "</v>
      </c>
      <c r="Q415" s="61"/>
      <c r="R415" s="14">
        <f t="shared" si="1052"/>
        <v>-0.59259512349534138</v>
      </c>
      <c r="S415" s="14">
        <f t="shared" si="1052"/>
        <v>-6.3616219841264393E-2</v>
      </c>
      <c r="T415" s="14">
        <f t="shared" si="1052"/>
        <v>-2.7008035813784269E-2</v>
      </c>
      <c r="U415" s="14">
        <f t="shared" si="1052"/>
        <v>-0.18074608583071014</v>
      </c>
      <c r="V415" s="14">
        <f t="shared" si="1052"/>
        <v>-3.9606604067464728E-3</v>
      </c>
      <c r="W415" s="14">
        <f t="shared" si="1052"/>
        <v>-0.92556668564533751</v>
      </c>
      <c r="X415" s="14">
        <f t="shared" si="1052"/>
        <v>0</v>
      </c>
      <c r="Y415" s="14">
        <f t="shared" si="1052"/>
        <v>0</v>
      </c>
      <c r="Z415" s="14">
        <f t="shared" si="1052"/>
        <v>0</v>
      </c>
      <c r="AA415" s="14">
        <f t="shared" si="1052"/>
        <v>0</v>
      </c>
      <c r="AB415" s="14">
        <f t="shared" si="1052"/>
        <v>-1.0584107081413705</v>
      </c>
      <c r="AC415" s="14">
        <f t="shared" si="1052"/>
        <v>-1.0551207108792351</v>
      </c>
      <c r="AD415" s="14">
        <f t="shared" si="1052"/>
        <v>-0.54736124347855442</v>
      </c>
      <c r="AE415" s="14">
        <f t="shared" si="1052"/>
        <v>0</v>
      </c>
      <c r="AF415" s="14">
        <f t="shared" si="1052"/>
        <v>-9.6963919590330461E-3</v>
      </c>
      <c r="AG415" s="14">
        <f t="shared" si="1052"/>
        <v>-9.3492608274810485E-2</v>
      </c>
      <c r="AH415" s="14">
        <f t="shared" si="1052"/>
        <v>5.5575744737661879</v>
      </c>
      <c r="AI415" s="76">
        <f t="shared" si="1001"/>
        <v>0</v>
      </c>
      <c r="AK415" s="2">
        <f>SUM(AL415:AO415)</f>
        <v>0</v>
      </c>
      <c r="AL415" s="2">
        <f t="shared" si="1053"/>
        <v>0</v>
      </c>
      <c r="AM415" s="2">
        <f t="shared" si="1053"/>
        <v>0</v>
      </c>
      <c r="AN415" s="2">
        <f t="shared" si="1053"/>
        <v>0</v>
      </c>
      <c r="AO415" s="2">
        <f t="shared" si="1053"/>
        <v>0</v>
      </c>
      <c r="AP415" s="2"/>
      <c r="AQ415" s="61" t="str">
        <f>AS$1&amp;$A415&amp;", "&amp;BA$1&amp;$A415&amp;", "&amp;BI$1&amp;$A415</f>
        <v>AS415, BA415, BI415</v>
      </c>
      <c r="AS415" s="2">
        <f>SUM(AT415:AY415)</f>
        <v>0</v>
      </c>
      <c r="AT415" s="2">
        <f t="shared" si="1054"/>
        <v>0</v>
      </c>
      <c r="AU415" s="2">
        <f t="shared" si="1054"/>
        <v>0</v>
      </c>
      <c r="AV415" s="2">
        <f t="shared" si="1054"/>
        <v>0</v>
      </c>
      <c r="AW415" s="2">
        <f t="shared" si="1054"/>
        <v>0</v>
      </c>
      <c r="AX415" s="2">
        <f t="shared" si="1054"/>
        <v>0</v>
      </c>
      <c r="AY415" s="2">
        <f t="shared" si="1054"/>
        <v>0</v>
      </c>
      <c r="BA415" s="2">
        <f>SUM(BB415:BG415)</f>
        <v>0</v>
      </c>
      <c r="BB415" s="2">
        <f t="shared" si="1055"/>
        <v>0</v>
      </c>
      <c r="BC415" s="2">
        <f t="shared" si="1055"/>
        <v>0</v>
      </c>
      <c r="BD415" s="2">
        <f t="shared" si="1055"/>
        <v>0</v>
      </c>
      <c r="BE415" s="2">
        <f t="shared" si="1055"/>
        <v>0</v>
      </c>
      <c r="BF415" s="2">
        <f t="shared" si="1055"/>
        <v>0</v>
      </c>
      <c r="BG415" s="2">
        <f t="shared" si="1055"/>
        <v>0</v>
      </c>
      <c r="BI415" s="2">
        <f>SUM(BJ415:BO415)</f>
        <v>0</v>
      </c>
      <c r="BJ415" s="2">
        <f t="shared" si="1056"/>
        <v>0</v>
      </c>
      <c r="BK415" s="2">
        <f t="shared" si="1056"/>
        <v>0</v>
      </c>
      <c r="BL415" s="2">
        <f t="shared" si="1056"/>
        <v>0</v>
      </c>
      <c r="BM415" s="2">
        <f t="shared" si="1056"/>
        <v>0</v>
      </c>
      <c r="BN415" s="2">
        <f t="shared" si="1056"/>
        <v>0</v>
      </c>
      <c r="BO415" s="2">
        <f t="shared" si="1056"/>
        <v>0</v>
      </c>
    </row>
    <row r="416" spans="1:67">
      <c r="A416" s="50">
        <f t="shared" si="1021"/>
        <v>416</v>
      </c>
      <c r="C416" s="37" t="s">
        <v>155</v>
      </c>
      <c r="D416" s="17" t="s">
        <v>76</v>
      </c>
      <c r="E416" s="369">
        <f>PROFORMA!AY234*1000</f>
        <v>5918000</v>
      </c>
      <c r="F416" s="60" t="str">
        <f>"as Pre-Tax Op Inc ("&amp;A$410&amp;")"</f>
        <v>as Pre-Tax Op Inc (410)</v>
      </c>
      <c r="G416" s="60"/>
      <c r="H416" s="2">
        <f>SUM(I416:N416)</f>
        <v>5918000</v>
      </c>
      <c r="I416" s="2">
        <f t="shared" si="1051"/>
        <v>3666020.0771714286</v>
      </c>
      <c r="J416" s="2">
        <f t="shared" si="1051"/>
        <v>2165549.0686169751</v>
      </c>
      <c r="K416" s="2">
        <f t="shared" si="1051"/>
        <v>0</v>
      </c>
      <c r="L416" s="2">
        <f t="shared" si="1051"/>
        <v>68287.69544270396</v>
      </c>
      <c r="M416" s="2">
        <f t="shared" si="1051"/>
        <v>18143.1587688935</v>
      </c>
      <c r="N416" s="2">
        <f t="shared" si="1051"/>
        <v>0</v>
      </c>
      <c r="O416" s="2"/>
      <c r="P416" s="61" t="str">
        <f>E$1&amp;$A416&amp;"*     """</f>
        <v>E416*     "</v>
      </c>
      <c r="Q416" s="61"/>
      <c r="R416" s="14">
        <f t="shared" si="1052"/>
        <v>-0.59259512349534138</v>
      </c>
      <c r="S416" s="14">
        <f t="shared" si="1052"/>
        <v>-6.3616219841264393E-2</v>
      </c>
      <c r="T416" s="14">
        <f t="shared" si="1052"/>
        <v>-2.7008035813784269E-2</v>
      </c>
      <c r="U416" s="14">
        <f t="shared" si="1052"/>
        <v>-0.18074608583071014</v>
      </c>
      <c r="V416" s="14">
        <f t="shared" si="1052"/>
        <v>-3.9606604067464728E-3</v>
      </c>
      <c r="W416" s="14">
        <f t="shared" si="1052"/>
        <v>-0.92556668564533751</v>
      </c>
      <c r="X416" s="14">
        <f t="shared" si="1052"/>
        <v>0</v>
      </c>
      <c r="Y416" s="14">
        <f t="shared" si="1052"/>
        <v>0</v>
      </c>
      <c r="Z416" s="14">
        <f t="shared" si="1052"/>
        <v>0</v>
      </c>
      <c r="AA416" s="14">
        <f t="shared" si="1052"/>
        <v>0</v>
      </c>
      <c r="AB416" s="14">
        <f t="shared" si="1052"/>
        <v>-1.0584107081413705</v>
      </c>
      <c r="AC416" s="14">
        <f t="shared" si="1052"/>
        <v>-1.0551207108792351</v>
      </c>
      <c r="AD416" s="14">
        <f t="shared" si="1052"/>
        <v>-0.54736124347855442</v>
      </c>
      <c r="AE416" s="14">
        <f t="shared" si="1052"/>
        <v>0</v>
      </c>
      <c r="AF416" s="14">
        <f t="shared" si="1052"/>
        <v>-9.6963919590330461E-3</v>
      </c>
      <c r="AG416" s="14">
        <f t="shared" si="1052"/>
        <v>-9.3492608274810485E-2</v>
      </c>
      <c r="AH416" s="14">
        <f t="shared" si="1052"/>
        <v>5.5575744737661879</v>
      </c>
      <c r="AI416" s="76">
        <f t="shared" si="1001"/>
        <v>0</v>
      </c>
      <c r="AK416" s="2">
        <f>SUM(AL416:AO416)</f>
        <v>5918000</v>
      </c>
      <c r="AL416" s="2">
        <f t="shared" si="1053"/>
        <v>-5136386.8100452768</v>
      </c>
      <c r="AM416" s="2">
        <f t="shared" si="1053"/>
        <v>-5477503.6456491072</v>
      </c>
      <c r="AN416" s="2">
        <f t="shared" si="1053"/>
        <v>-16357835.280053915</v>
      </c>
      <c r="AO416" s="2">
        <f t="shared" si="1053"/>
        <v>32889725.735748298</v>
      </c>
      <c r="AP416" s="2"/>
      <c r="AQ416" s="61" t="str">
        <f>AS$1&amp;$A416&amp;", "&amp;BA$1&amp;$A416&amp;", "&amp;BI$1&amp;$A416</f>
        <v>AS416, BA416, BI416</v>
      </c>
      <c r="AS416" s="2">
        <f>SUM(AT416:AY416)</f>
        <v>1574926.0319330627</v>
      </c>
      <c r="AT416" s="2">
        <f t="shared" si="1054"/>
        <v>749880.01953526819</v>
      </c>
      <c r="AU416" s="2">
        <f t="shared" si="1054"/>
        <v>779478.42333434802</v>
      </c>
      <c r="AV416" s="2">
        <f t="shared" si="1054"/>
        <v>0</v>
      </c>
      <c r="AW416" s="2">
        <f t="shared" si="1054"/>
        <v>36296.435214132383</v>
      </c>
      <c r="AX416" s="2">
        <f t="shared" si="1054"/>
        <v>9271.1538493142507</v>
      </c>
      <c r="AY416" s="2">
        <f t="shared" si="1054"/>
        <v>0</v>
      </c>
      <c r="BA416" s="2">
        <f>SUM(BB416:BG416)</f>
        <v>1855278.7707518383</v>
      </c>
      <c r="BB416" s="2">
        <f t="shared" si="1055"/>
        <v>743638.6296957233</v>
      </c>
      <c r="BC416" s="2">
        <f t="shared" si="1055"/>
        <v>1074078.5430723217</v>
      </c>
      <c r="BD416" s="2">
        <f t="shared" si="1055"/>
        <v>0</v>
      </c>
      <c r="BE416" s="2">
        <f t="shared" si="1055"/>
        <v>29361.744927100135</v>
      </c>
      <c r="BF416" s="2">
        <f t="shared" si="1055"/>
        <v>8199.8530566932095</v>
      </c>
      <c r="BG416" s="2">
        <f t="shared" si="1055"/>
        <v>0</v>
      </c>
      <c r="BI416" s="2">
        <f>SUM(BJ416:BO416)</f>
        <v>2487795.1973150992</v>
      </c>
      <c r="BJ416" s="2">
        <f t="shared" si="1056"/>
        <v>2172501.4279404362</v>
      </c>
      <c r="BK416" s="2">
        <f t="shared" si="1056"/>
        <v>311992.10221030522</v>
      </c>
      <c r="BL416" s="2">
        <f t="shared" si="1056"/>
        <v>0</v>
      </c>
      <c r="BM416" s="2">
        <f t="shared" si="1056"/>
        <v>2629.5153014714074</v>
      </c>
      <c r="BN416" s="2">
        <f t="shared" si="1056"/>
        <v>672.15186288604184</v>
      </c>
      <c r="BO416" s="2">
        <f t="shared" si="1056"/>
        <v>0</v>
      </c>
    </row>
    <row r="417" spans="1:72">
      <c r="A417" s="50">
        <f t="shared" si="1021"/>
        <v>417</v>
      </c>
      <c r="C417" s="37"/>
      <c r="D417" s="59" t="s">
        <v>217</v>
      </c>
      <c r="E417" s="40">
        <f>SUM(E412:E416)</f>
        <v>2533000</v>
      </c>
      <c r="F417" s="60"/>
      <c r="G417" s="60"/>
      <c r="H417" s="4">
        <f>IF(ROUND(SUM(H413:H416),3)&lt;&gt;ROUND(SUM(I417:N417),3),#VALUE!,SUM(H413:H416))</f>
        <v>2532999.9999999991</v>
      </c>
      <c r="I417" s="40">
        <f t="shared" ref="I417:N417" si="1057">SUM(I412:I416)</f>
        <v>1569116.0620944963</v>
      </c>
      <c r="J417" s="40">
        <f t="shared" si="1057"/>
        <v>926890.1302478537</v>
      </c>
      <c r="K417" s="40">
        <f t="shared" si="1057"/>
        <v>0</v>
      </c>
      <c r="L417" s="40">
        <f t="shared" si="1057"/>
        <v>29228.241391748757</v>
      </c>
      <c r="M417" s="40">
        <f t="shared" si="1057"/>
        <v>7765.5662659018635</v>
      </c>
      <c r="N417" s="40">
        <f t="shared" si="1057"/>
        <v>0</v>
      </c>
      <c r="O417" s="41"/>
      <c r="P417" s="61" t="str">
        <f>$A412&amp;":"&amp;$A416</f>
        <v>412:416</v>
      </c>
      <c r="Q417" s="61"/>
      <c r="R417" s="16">
        <f>SUMPRODUCT($E$413:$E$416,R$413:R$416)/$E417</f>
        <v>-0.59259512349534138</v>
      </c>
      <c r="S417" s="16">
        <f t="shared" ref="S417:AH417" si="1058">SUMPRODUCT($E$413:$E$416,S$413:S$416)/$E417</f>
        <v>-6.3616219841264379E-2</v>
      </c>
      <c r="T417" s="16">
        <f t="shared" si="1058"/>
        <v>-2.7008035813784265E-2</v>
      </c>
      <c r="U417" s="16">
        <f t="shared" si="1058"/>
        <v>-0.18074608583071017</v>
      </c>
      <c r="V417" s="16">
        <f t="shared" si="1058"/>
        <v>-3.9606604067464737E-3</v>
      </c>
      <c r="W417" s="16">
        <f t="shared" si="1058"/>
        <v>-0.92556668564533739</v>
      </c>
      <c r="X417" s="16">
        <f t="shared" si="1058"/>
        <v>0</v>
      </c>
      <c r="Y417" s="16">
        <f t="shared" si="1058"/>
        <v>0</v>
      </c>
      <c r="Z417" s="16">
        <f t="shared" si="1058"/>
        <v>0</v>
      </c>
      <c r="AA417" s="16">
        <f t="shared" si="1058"/>
        <v>0</v>
      </c>
      <c r="AB417" s="16">
        <f t="shared" si="1058"/>
        <v>-1.0584107081413703</v>
      </c>
      <c r="AC417" s="16">
        <f t="shared" si="1058"/>
        <v>-1.0551207108792353</v>
      </c>
      <c r="AD417" s="16">
        <f t="shared" si="1058"/>
        <v>-0.54736124347855442</v>
      </c>
      <c r="AE417" s="16">
        <f t="shared" si="1058"/>
        <v>0</v>
      </c>
      <c r="AF417" s="16">
        <f t="shared" si="1058"/>
        <v>-9.6963919590330443E-3</v>
      </c>
      <c r="AG417" s="16">
        <f t="shared" si="1058"/>
        <v>-9.3492608274810485E-2</v>
      </c>
      <c r="AH417" s="16">
        <f t="shared" si="1058"/>
        <v>5.557574473766187</v>
      </c>
      <c r="AI417" s="76">
        <f t="shared" ref="AI417:AI435" si="1059">IF(SUM(R417:AH417)&lt;&gt;0,(ROUND(SUM(R417:AH417),8)&lt;&gt;1)+0,0)</f>
        <v>0</v>
      </c>
      <c r="AK417" s="4">
        <f>IF(ROUND(SUM(AK413:AK416),3)&lt;&gt;ROUND(SUM(AL417:AO417),3),#VALUE!,SUM(AK413:AK416))</f>
        <v>2533000</v>
      </c>
      <c r="AL417" s="40">
        <f>SUM(AL412:AL416)</f>
        <v>-2198456.8756074156</v>
      </c>
      <c r="AM417" s="40">
        <f>SUM(AM412:AM416)</f>
        <v>-2344460.4147396395</v>
      </c>
      <c r="AN417" s="40">
        <f>SUM(AN412:AN416)</f>
        <v>-7001418.8517026976</v>
      </c>
      <c r="AO417" s="40">
        <f>SUM(AO412:AO416)</f>
        <v>14077336.142049752</v>
      </c>
      <c r="AP417" s="41"/>
      <c r="AQ417" s="61" t="str">
        <f>$A412&amp;":"&amp;$A416</f>
        <v>412:416</v>
      </c>
      <c r="AS417" s="4">
        <f>IF(ROUND(SUM(AS413:AS416),3)&lt;&gt;ROUND(SUM(AT417:AY417),3),#VALUE!,SUM(AS413:AS416))</f>
        <v>674093.88963948097</v>
      </c>
      <c r="AT417" s="40">
        <f t="shared" ref="AT417:AY417" si="1060">SUM(AT412:AT416)</f>
        <v>320960.81268719747</v>
      </c>
      <c r="AU417" s="40">
        <f t="shared" si="1060"/>
        <v>333629.40964952746</v>
      </c>
      <c r="AV417" s="40">
        <f t="shared" si="1060"/>
        <v>0</v>
      </c>
      <c r="AW417" s="40">
        <f t="shared" si="1060"/>
        <v>15535.463061405433</v>
      </c>
      <c r="AX417" s="40">
        <f t="shared" si="1060"/>
        <v>3968.2042413506251</v>
      </c>
      <c r="AY417" s="40">
        <f t="shared" si="1060"/>
        <v>0</v>
      </c>
      <c r="BA417" s="4">
        <f>IF(ROUND(SUM(BA413:BA416),3)&lt;&gt;ROUND(SUM(BB417:BG417),3),#VALUE!,SUM(BA413:BA416))</f>
        <v>794089.40965096443</v>
      </c>
      <c r="BB417" s="40">
        <f t="shared" ref="BB417:BG417" si="1061">SUM(BB412:BB416)</f>
        <v>318289.39658994036</v>
      </c>
      <c r="BC417" s="40">
        <f t="shared" si="1061"/>
        <v>459723.03981111711</v>
      </c>
      <c r="BD417" s="40">
        <f t="shared" si="1061"/>
        <v>0</v>
      </c>
      <c r="BE417" s="40">
        <f t="shared" si="1061"/>
        <v>12567.303126114337</v>
      </c>
      <c r="BF417" s="40">
        <f t="shared" si="1061"/>
        <v>3509.6701237924808</v>
      </c>
      <c r="BG417" s="40">
        <f t="shared" si="1061"/>
        <v>0</v>
      </c>
      <c r="BI417" s="4">
        <f>IF(ROUND(SUM(BI413:BI416),3)&lt;&gt;ROUND(SUM(BJ417:BO417),3),#VALUE!,SUM(BI413:BI416))</f>
        <v>1064816.7007095551</v>
      </c>
      <c r="BJ417" s="40">
        <f t="shared" ref="BJ417:BO417" si="1062">SUM(BJ412:BJ416)</f>
        <v>929865.85281735798</v>
      </c>
      <c r="BK417" s="40">
        <f t="shared" si="1062"/>
        <v>133537.68078720904</v>
      </c>
      <c r="BL417" s="40">
        <f t="shared" si="1062"/>
        <v>0</v>
      </c>
      <c r="BM417" s="40">
        <f t="shared" si="1062"/>
        <v>1125.4752042289754</v>
      </c>
      <c r="BN417" s="40">
        <f t="shared" si="1062"/>
        <v>287.69190075876037</v>
      </c>
      <c r="BO417" s="40">
        <f t="shared" si="1062"/>
        <v>0</v>
      </c>
    </row>
    <row r="418" spans="1:72">
      <c r="A418" s="50">
        <f t="shared" si="1021"/>
        <v>418</v>
      </c>
      <c r="E418" s="2"/>
      <c r="F418" s="60"/>
      <c r="G418" s="60"/>
      <c r="P418" s="61"/>
      <c r="Q418" s="61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76">
        <f t="shared" si="1059"/>
        <v>0</v>
      </c>
      <c r="AQ418" s="61"/>
    </row>
    <row r="419" spans="1:72">
      <c r="A419" s="50">
        <f t="shared" si="1021"/>
        <v>419</v>
      </c>
      <c r="C419" s="34"/>
      <c r="D419" s="1" t="s">
        <v>77</v>
      </c>
      <c r="E419" s="21">
        <f>E408+E417</f>
        <v>96108000</v>
      </c>
      <c r="F419" s="60" t="str">
        <f>"("&amp;A$408&amp;"+"&amp;A$417&amp;")"</f>
        <v>(408+417)</v>
      </c>
      <c r="G419" s="60"/>
      <c r="H419" s="2">
        <f t="shared" ref="H419:N419" si="1063">H408+H417</f>
        <v>96108000.330443949</v>
      </c>
      <c r="I419" s="2">
        <f t="shared" si="1063"/>
        <v>77667919.104370534</v>
      </c>
      <c r="J419" s="2">
        <f t="shared" si="1063"/>
        <v>14891019.204098288</v>
      </c>
      <c r="K419" s="2">
        <f t="shared" si="1063"/>
        <v>0</v>
      </c>
      <c r="L419" s="2">
        <f t="shared" si="1063"/>
        <v>369425.07191599929</v>
      </c>
      <c r="M419" s="2">
        <f t="shared" si="1063"/>
        <v>3179636.950059135</v>
      </c>
      <c r="N419" s="2">
        <f t="shared" si="1063"/>
        <v>0</v>
      </c>
      <c r="O419" s="2"/>
      <c r="P419" s="61" t="str">
        <f>$A408&amp;"+"&amp;$A417</f>
        <v>408+417</v>
      </c>
      <c r="Q419" s="61"/>
      <c r="R419" s="14">
        <f>($E408*R408+$E417*R417)/$E419</f>
        <v>0.10365175492378725</v>
      </c>
      <c r="S419" s="14">
        <f t="shared" ref="S419:AH419" si="1064">($E408*S408+$E417*S417)/$E419</f>
        <v>1.2951630770719988E-2</v>
      </c>
      <c r="T419" s="14">
        <f t="shared" si="1064"/>
        <v>6.6865220589925672E-3</v>
      </c>
      <c r="U419" s="14">
        <f>($E408*U408+$E417*U417)/$E419</f>
        <v>4.4748263010181026E-2</v>
      </c>
      <c r="V419" s="14">
        <f>($E408*V408+$E417*V417)/$E419</f>
        <v>8.2165529601813765E-4</v>
      </c>
      <c r="W419" s="14">
        <f t="shared" si="1064"/>
        <v>0.16111937830226811</v>
      </c>
      <c r="X419" s="14">
        <f t="shared" si="1064"/>
        <v>0</v>
      </c>
      <c r="Y419" s="14">
        <f>($E408*Y408+$E417*Y417)/$E419</f>
        <v>0</v>
      </c>
      <c r="Z419" s="14">
        <f t="shared" si="1064"/>
        <v>0</v>
      </c>
      <c r="AA419" s="14">
        <f t="shared" si="1064"/>
        <v>0</v>
      </c>
      <c r="AB419" s="14">
        <f t="shared" si="1064"/>
        <v>0.21289849081511095</v>
      </c>
      <c r="AC419" s="14">
        <f t="shared" si="1064"/>
        <v>0.18706688921758038</v>
      </c>
      <c r="AD419" s="14">
        <f t="shared" si="1064"/>
        <v>9.8674976544090631E-2</v>
      </c>
      <c r="AE419" s="14">
        <f t="shared" si="1064"/>
        <v>0</v>
      </c>
      <c r="AF419" s="14">
        <f t="shared" si="1064"/>
        <v>1.6727834520440799E-3</v>
      </c>
      <c r="AG419" s="14">
        <f>($E408*AG408+$E417*AG417)/$E419</f>
        <v>1.873083638448313E-2</v>
      </c>
      <c r="AH419" s="14">
        <f t="shared" si="1064"/>
        <v>0.15097681922472378</v>
      </c>
      <c r="AI419" s="76">
        <f t="shared" si="1059"/>
        <v>0</v>
      </c>
      <c r="AK419" s="2">
        <f>AK408+AK417</f>
        <v>96108000</v>
      </c>
      <c r="AL419" s="2">
        <f>AL408+AL417</f>
        <v>16228780.162945546</v>
      </c>
      <c r="AM419" s="2">
        <f>AM408+AM417</f>
        <v>15484861.209874384</v>
      </c>
      <c r="AN419" s="2">
        <f>AN408+AN417</f>
        <v>49884278.485130318</v>
      </c>
      <c r="AO419" s="2">
        <f>AO408+AO417</f>
        <v>14510080.142049752</v>
      </c>
      <c r="AP419" s="2"/>
      <c r="AQ419" s="61" t="str">
        <f>$A408&amp;"+"&amp;$A417</f>
        <v>408+417</v>
      </c>
      <c r="AS419" s="2">
        <f>AS408+AS417</f>
        <v>19101330.928192448</v>
      </c>
      <c r="AT419" s="2">
        <f t="shared" ref="AT419:AY419" si="1065">AT408+AT417</f>
        <v>11808565.987075167</v>
      </c>
      <c r="AU419" s="2">
        <f t="shared" si="1065"/>
        <v>5457933.7915853737</v>
      </c>
      <c r="AV419" s="2">
        <f t="shared" si="1065"/>
        <v>0</v>
      </c>
      <c r="AW419" s="2">
        <f t="shared" si="1065"/>
        <v>204705.32559968592</v>
      </c>
      <c r="AX419" s="2">
        <f t="shared" si="1065"/>
        <v>1630125.8239322191</v>
      </c>
      <c r="AY419" s="2">
        <f t="shared" si="1065"/>
        <v>0</v>
      </c>
      <c r="BA419" s="2">
        <f>BA408+BA417</f>
        <v>18623411.034264985</v>
      </c>
      <c r="BB419" s="2">
        <f t="shared" ref="BB419:BG419" si="1066">BB408+BB417</f>
        <v>10398122.606148304</v>
      </c>
      <c r="BC419" s="2">
        <f t="shared" si="1066"/>
        <v>6680509.9954226725</v>
      </c>
      <c r="BD419" s="2">
        <f t="shared" si="1066"/>
        <v>0</v>
      </c>
      <c r="BE419" s="2">
        <f t="shared" si="1066"/>
        <v>146604.57676728896</v>
      </c>
      <c r="BF419" s="2">
        <f t="shared" si="1066"/>
        <v>1398173.8559267176</v>
      </c>
      <c r="BG419" s="2">
        <f t="shared" si="1066"/>
        <v>0</v>
      </c>
      <c r="BI419" s="2">
        <f>BI408+BI417</f>
        <v>57950514.037542567</v>
      </c>
      <c r="BJ419" s="2">
        <f t="shared" ref="BJ419:BO419" si="1067">BJ408+BJ417</f>
        <v>55125890.652540937</v>
      </c>
      <c r="BK419" s="2">
        <f t="shared" si="1067"/>
        <v>2670272.4316484076</v>
      </c>
      <c r="BL419" s="2">
        <f t="shared" si="1067"/>
        <v>0</v>
      </c>
      <c r="BM419" s="2">
        <f t="shared" si="1067"/>
        <v>15907.27828888978</v>
      </c>
      <c r="BN419" s="2">
        <f t="shared" si="1067"/>
        <v>138443.67506434146</v>
      </c>
      <c r="BO419" s="2">
        <f t="shared" si="1067"/>
        <v>0</v>
      </c>
    </row>
    <row r="420" spans="1:72" ht="15">
      <c r="A420" s="50">
        <f t="shared" si="1021"/>
        <v>420</v>
      </c>
      <c r="C420" s="38"/>
      <c r="D420" s="24"/>
      <c r="E420" s="388">
        <f>E419/1000-PROFORMA!AY236</f>
        <v>0</v>
      </c>
      <c r="F420" s="60"/>
      <c r="G420" s="60"/>
      <c r="H420" s="33">
        <f>H419-E419</f>
        <v>0.33044394850730896</v>
      </c>
      <c r="P420" s="61"/>
      <c r="Q420" s="61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76">
        <f t="shared" si="1059"/>
        <v>0</v>
      </c>
      <c r="AL420" s="2"/>
      <c r="AM420" s="2"/>
      <c r="AN420" s="2"/>
      <c r="AQ420" s="61"/>
    </row>
    <row r="421" spans="1:72">
      <c r="A421" s="50">
        <f t="shared" si="1021"/>
        <v>421</v>
      </c>
      <c r="C421" s="34"/>
      <c r="D421" s="1" t="s">
        <v>78</v>
      </c>
      <c r="E421" s="9"/>
      <c r="F421" s="60"/>
      <c r="G421" s="60"/>
      <c r="P421" s="61"/>
      <c r="Q421" s="61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76">
        <f t="shared" si="1059"/>
        <v>0</v>
      </c>
      <c r="AQ421" s="61"/>
    </row>
    <row r="422" spans="1:72">
      <c r="A422" s="50">
        <f t="shared" si="1021"/>
        <v>422</v>
      </c>
      <c r="B422" s="51" t="s">
        <v>387</v>
      </c>
      <c r="D422" s="28" t="s">
        <v>388</v>
      </c>
      <c r="E422" s="369">
        <f>-PROFORMA!AY392*1000</f>
        <v>-125317000</v>
      </c>
      <c r="F422" s="60" t="s">
        <v>451</v>
      </c>
      <c r="G422" s="62"/>
      <c r="H422" s="2">
        <f>SUM(I422:N422)</f>
        <v>-125316999.99999999</v>
      </c>
      <c r="I422" s="2">
        <f t="shared" ref="I422:N422" si="1068">$E422*SUMPRODUCT($R422:$AH422,INDEX(AllocFactors,I$4,0))</f>
        <v>-97109939.480845869</v>
      </c>
      <c r="J422" s="2">
        <f t="shared" si="1068"/>
        <v>-23833867.659896482</v>
      </c>
      <c r="K422" s="2">
        <f t="shared" si="1068"/>
        <v>0</v>
      </c>
      <c r="L422" s="2">
        <f t="shared" si="1068"/>
        <v>-639376.41895967908</v>
      </c>
      <c r="M422" s="2">
        <f>$E422*SUMPRODUCT($R422:$AH422,INDEX(AllocFactors,M$4,0))</f>
        <v>-3733816.4402979673</v>
      </c>
      <c r="N422" s="2">
        <f t="shared" si="1068"/>
        <v>0</v>
      </c>
      <c r="O422" s="5"/>
      <c r="P422" s="61" t="str">
        <f>E$1&amp;$A422&amp;"* Sum["&amp;$R$1&amp;$A422&amp;":"&amp;$AH$1&amp;$A422&amp;"* "&amp;Factors!D$1&amp;Factors!$A$58&amp;":"&amp;Factors!S$1&amp;Factors!$A$64&amp;"]"</f>
        <v>E422* Sum[R422:AH422* D1042:S1048]</v>
      </c>
      <c r="Q422" s="61"/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1</v>
      </c>
      <c r="AI422" s="76">
        <f t="shared" si="1059"/>
        <v>0</v>
      </c>
      <c r="AJ422" s="86"/>
      <c r="AK422" s="2">
        <f>SUM(AL422:AO422)</f>
        <v>-125317000</v>
      </c>
      <c r="AL422" s="2">
        <f>SUMIF($R$4:$AH$4,AL$5,$R422:$AH422)*$E422</f>
        <v>0</v>
      </c>
      <c r="AM422" s="2">
        <f>SUMIF($R$4:$AH$4,AM$5,$R422:$AH422)*$E422</f>
        <v>0</v>
      </c>
      <c r="AN422" s="2">
        <f>SUMIF($R$4:$AH$4,AN$5,$R422:$AH422)*$E422</f>
        <v>0</v>
      </c>
      <c r="AO422" s="2">
        <f>SUMIF($R$4:$AH$4,AO$5,$R422:$AH422)*$E422</f>
        <v>-125317000</v>
      </c>
      <c r="AP422" s="5"/>
      <c r="AQ422" s="61" t="str">
        <f>E$1&amp;$A422&amp;"*["&amp;R$1&amp;$A422&amp;":"&amp;$AH$1&amp;$A422&amp;" when "&amp;R$1&amp;$A$4&amp;":"&amp;$AH$1&amp;$A$4&amp;" = E,D,C,or R]"</f>
        <v>E422*[R422:AH422 when R4:AH4 = E,D,C,or R]</v>
      </c>
      <c r="AR422" s="86"/>
      <c r="AS422" s="2">
        <f>SUM(AT422:AY422)</f>
        <v>0</v>
      </c>
      <c r="AT422" s="2">
        <f t="shared" ref="AT422:AY422" si="1069">$E422*SUMPRODUCT($R422:$V422,INDEX(AllocFactors_E,AT$4,0))</f>
        <v>0</v>
      </c>
      <c r="AU422" s="2">
        <f t="shared" si="1069"/>
        <v>0</v>
      </c>
      <c r="AV422" s="2">
        <f t="shared" si="1069"/>
        <v>0</v>
      </c>
      <c r="AW422" s="2">
        <f t="shared" si="1069"/>
        <v>0</v>
      </c>
      <c r="AX422" s="2">
        <f t="shared" si="1069"/>
        <v>0</v>
      </c>
      <c r="AY422" s="2">
        <f t="shared" si="1069"/>
        <v>0</v>
      </c>
      <c r="AZ422" s="86"/>
      <c r="BA422" s="2">
        <f>SUM(BB422:BG422)</f>
        <v>0</v>
      </c>
      <c r="BB422" s="2">
        <f t="shared" ref="BB422:BG422" si="1070">$E422*SUMPRODUCT($W422:$AA422,INDEX(AllocFactors_D,BB$4,0))</f>
        <v>0</v>
      </c>
      <c r="BC422" s="2">
        <f t="shared" si="1070"/>
        <v>0</v>
      </c>
      <c r="BD422" s="2">
        <f t="shared" si="1070"/>
        <v>0</v>
      </c>
      <c r="BE422" s="2">
        <f t="shared" si="1070"/>
        <v>0</v>
      </c>
      <c r="BF422" s="2">
        <f t="shared" si="1070"/>
        <v>0</v>
      </c>
      <c r="BG422" s="2">
        <f t="shared" si="1070"/>
        <v>0</v>
      </c>
      <c r="BH422" s="86"/>
      <c r="BI422" s="2">
        <f>SUM(BJ422:BO422)</f>
        <v>0</v>
      </c>
      <c r="BJ422" s="2">
        <f t="shared" ref="BJ422:BO422" si="1071">$E422*SUMPRODUCT($AB422:$AG422,INDEX(AllocFactors_C,BJ$4,0))</f>
        <v>0</v>
      </c>
      <c r="BK422" s="2">
        <f t="shared" si="1071"/>
        <v>0</v>
      </c>
      <c r="BL422" s="2">
        <f t="shared" si="1071"/>
        <v>0</v>
      </c>
      <c r="BM422" s="2">
        <f t="shared" si="1071"/>
        <v>0</v>
      </c>
      <c r="BN422" s="2">
        <f t="shared" si="1071"/>
        <v>0</v>
      </c>
      <c r="BO422" s="2">
        <f t="shared" si="1071"/>
        <v>0</v>
      </c>
    </row>
    <row r="423" spans="1:72">
      <c r="A423" s="50">
        <f t="shared" si="1021"/>
        <v>423</v>
      </c>
      <c r="B423" s="51"/>
      <c r="E423" s="5"/>
      <c r="F423" s="60"/>
      <c r="G423" s="60"/>
      <c r="P423" s="61"/>
      <c r="Q423" s="61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76">
        <f t="shared" si="1059"/>
        <v>0</v>
      </c>
      <c r="AQ423" s="61"/>
    </row>
    <row r="424" spans="1:72">
      <c r="A424" s="50">
        <f t="shared" si="1021"/>
        <v>424</v>
      </c>
      <c r="B424" s="51"/>
      <c r="D424" t="s">
        <v>79</v>
      </c>
      <c r="E424" s="2"/>
      <c r="F424" s="60"/>
      <c r="G424" s="60"/>
      <c r="P424" s="61"/>
      <c r="Q424" s="61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76">
        <f t="shared" si="1059"/>
        <v>0</v>
      </c>
      <c r="AQ424" s="61"/>
    </row>
    <row r="425" spans="1:72">
      <c r="A425" s="50">
        <f t="shared" si="1021"/>
        <v>425</v>
      </c>
      <c r="B425" s="81" t="s">
        <v>393</v>
      </c>
      <c r="C425" s="36" t="s">
        <v>153</v>
      </c>
      <c r="D425" s="28" t="s">
        <v>389</v>
      </c>
      <c r="E425" s="369">
        <f>PROFORMA!AY395</f>
        <v>0</v>
      </c>
      <c r="F425" s="60" t="s">
        <v>452</v>
      </c>
      <c r="G425" s="60"/>
      <c r="H425" s="2">
        <f t="shared" ref="H425:H430" si="1072">SUM(I425:N425)</f>
        <v>0</v>
      </c>
      <c r="I425" s="2">
        <f t="shared" ref="I425:N430" si="1073">$E425*SUMPRODUCT($R425:$AH425,INDEX(AllocFactors,I$4,0))</f>
        <v>0</v>
      </c>
      <c r="J425" s="2">
        <f t="shared" si="1073"/>
        <v>0</v>
      </c>
      <c r="K425" s="2">
        <f t="shared" si="1073"/>
        <v>0</v>
      </c>
      <c r="L425" s="2">
        <f t="shared" si="1073"/>
        <v>0</v>
      </c>
      <c r="M425" s="2">
        <f t="shared" si="1073"/>
        <v>0</v>
      </c>
      <c r="N425" s="2">
        <f t="shared" si="1073"/>
        <v>0</v>
      </c>
      <c r="O425" s="2"/>
      <c r="P425" s="61" t="str">
        <f>E$1&amp;$A425&amp;"* Sum["&amp;$R$1&amp;$A425&amp;":"&amp;$AH$1&amp;$A425&amp;"* "&amp;Factors!D$1&amp;Factors!$A$58&amp;":"&amp;Factors!S$1&amp;Factors!$A$64&amp;"]"</f>
        <v>E425* Sum[R425:AH425* D1042:S1048]</v>
      </c>
      <c r="Q425" s="61"/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76">
        <f t="shared" si="1059"/>
        <v>0</v>
      </c>
      <c r="AK425" s="2">
        <f t="shared" ref="AK425:AK430" si="1074">SUM(AL425:AO425)</f>
        <v>0</v>
      </c>
      <c r="AL425" s="2">
        <f t="shared" ref="AL425:AO430" si="1075">SUMIF($R$4:$AH$4,AL$5,$R425:$AH425)*$E425</f>
        <v>0</v>
      </c>
      <c r="AM425" s="2">
        <f t="shared" si="1075"/>
        <v>0</v>
      </c>
      <c r="AN425" s="2">
        <f t="shared" si="1075"/>
        <v>0</v>
      </c>
      <c r="AO425" s="2">
        <f t="shared" si="1075"/>
        <v>0</v>
      </c>
      <c r="AP425" s="2"/>
      <c r="AQ425" s="61" t="str">
        <f>E$1&amp;$A425&amp;"*["&amp;R$1&amp;$A425&amp;":"&amp;$AH$1&amp;$A425&amp;" when "&amp;R$1&amp;$A$4&amp;":"&amp;$AH$1&amp;$A$4&amp;" = E,D,C,or R]"</f>
        <v>E425*[R425:AH425 when R4:AH4 = E,D,C,or R]</v>
      </c>
      <c r="AS425" s="2">
        <f t="shared" ref="AS425:AS430" si="1076">SUM(AT425:AY425)</f>
        <v>0</v>
      </c>
      <c r="AT425" s="2">
        <f t="shared" ref="AT425:AY430" si="1077">$E425*SUMPRODUCT($R425:$V425,INDEX(AllocFactors_E,AT$4,0))</f>
        <v>0</v>
      </c>
      <c r="AU425" s="2">
        <f t="shared" si="1077"/>
        <v>0</v>
      </c>
      <c r="AV425" s="2">
        <f t="shared" si="1077"/>
        <v>0</v>
      </c>
      <c r="AW425" s="2">
        <f t="shared" si="1077"/>
        <v>0</v>
      </c>
      <c r="AX425" s="2">
        <f t="shared" si="1077"/>
        <v>0</v>
      </c>
      <c r="AY425" s="2">
        <f t="shared" si="1077"/>
        <v>0</v>
      </c>
      <c r="BA425" s="2">
        <f t="shared" ref="BA425:BA430" si="1078">SUM(BB425:BG425)</f>
        <v>0</v>
      </c>
      <c r="BB425" s="2">
        <f t="shared" ref="BB425:BG430" si="1079">$E425*SUMPRODUCT($W425:$AA425,INDEX(AllocFactors_D,BB$4,0))</f>
        <v>0</v>
      </c>
      <c r="BC425" s="2">
        <f t="shared" si="1079"/>
        <v>0</v>
      </c>
      <c r="BD425" s="2">
        <f t="shared" si="1079"/>
        <v>0</v>
      </c>
      <c r="BE425" s="2">
        <f t="shared" si="1079"/>
        <v>0</v>
      </c>
      <c r="BF425" s="2">
        <f t="shared" si="1079"/>
        <v>0</v>
      </c>
      <c r="BG425" s="2">
        <f t="shared" si="1079"/>
        <v>0</v>
      </c>
      <c r="BI425" s="2">
        <f t="shared" ref="BI425:BI430" si="1080">SUM(BJ425:BO425)</f>
        <v>0</v>
      </c>
      <c r="BJ425" s="2">
        <f t="shared" ref="BJ425:BO430" si="1081">$E425*SUMPRODUCT($AB425:$AG425,INDEX(AllocFactors_C,BJ$4,0))</f>
        <v>0</v>
      </c>
      <c r="BK425" s="2">
        <f t="shared" si="1081"/>
        <v>0</v>
      </c>
      <c r="BL425" s="2">
        <f t="shared" si="1081"/>
        <v>0</v>
      </c>
      <c r="BM425" s="2">
        <f t="shared" si="1081"/>
        <v>0</v>
      </c>
      <c r="BN425" s="2">
        <f t="shared" si="1081"/>
        <v>0</v>
      </c>
      <c r="BO425" s="2">
        <f t="shared" si="1081"/>
        <v>0</v>
      </c>
    </row>
    <row r="426" spans="1:72">
      <c r="A426" s="50">
        <f t="shared" si="1021"/>
        <v>426</v>
      </c>
      <c r="B426" s="51">
        <v>488</v>
      </c>
      <c r="C426" s="36" t="s">
        <v>154</v>
      </c>
      <c r="D426" s="28" t="s">
        <v>80</v>
      </c>
      <c r="E426" s="369">
        <f>PROFORMA!AY396</f>
        <v>-3000</v>
      </c>
      <c r="F426" s="60" t="s">
        <v>420</v>
      </c>
      <c r="G426" s="60"/>
      <c r="H426" s="2">
        <f t="shared" si="1072"/>
        <v>-3000</v>
      </c>
      <c r="I426" s="2">
        <f t="shared" si="1073"/>
        <v>-2251.8905489140825</v>
      </c>
      <c r="J426" s="2">
        <f t="shared" si="1073"/>
        <v>-575.9713248030049</v>
      </c>
      <c r="K426" s="2">
        <f t="shared" si="1073"/>
        <v>0</v>
      </c>
      <c r="L426" s="2">
        <f t="shared" si="1073"/>
        <v>-14.217227755215147</v>
      </c>
      <c r="M426" s="2">
        <f t="shared" si="1073"/>
        <v>-157.92089852769774</v>
      </c>
      <c r="N426" s="2">
        <f t="shared" si="1073"/>
        <v>0</v>
      </c>
      <c r="O426" s="2"/>
      <c r="P426" s="61" t="str">
        <f>E$1&amp;$A426&amp;"*     """</f>
        <v>E426*     "</v>
      </c>
      <c r="Q426" s="61"/>
      <c r="R426" s="14">
        <f>R$41</f>
        <v>0.1933876764871075</v>
      </c>
      <c r="S426" s="14">
        <f t="shared" ref="S426:AH426" si="1082">S$41</f>
        <v>0</v>
      </c>
      <c r="T426" s="14">
        <f t="shared" si="1082"/>
        <v>0</v>
      </c>
      <c r="U426" s="14">
        <f t="shared" si="1082"/>
        <v>0</v>
      </c>
      <c r="V426" s="14">
        <f t="shared" si="1082"/>
        <v>0</v>
      </c>
      <c r="W426" s="14">
        <f t="shared" si="1082"/>
        <v>0.31084546333511004</v>
      </c>
      <c r="X426" s="14">
        <f t="shared" si="1082"/>
        <v>0</v>
      </c>
      <c r="Y426" s="14">
        <f t="shared" si="1082"/>
        <v>0</v>
      </c>
      <c r="Z426" s="14">
        <f t="shared" si="1082"/>
        <v>0</v>
      </c>
      <c r="AA426" s="14">
        <f t="shared" si="1082"/>
        <v>0</v>
      </c>
      <c r="AB426" s="14">
        <f t="shared" si="1082"/>
        <v>0</v>
      </c>
      <c r="AC426" s="14">
        <f t="shared" si="1082"/>
        <v>0.35888972828992466</v>
      </c>
      <c r="AD426" s="14">
        <f t="shared" si="1082"/>
        <v>0.13220566312906262</v>
      </c>
      <c r="AE426" s="14">
        <f t="shared" si="1082"/>
        <v>0</v>
      </c>
      <c r="AF426" s="14">
        <f t="shared" si="1082"/>
        <v>4.6714687587951949E-3</v>
      </c>
      <c r="AG426" s="14">
        <f t="shared" si="1082"/>
        <v>0</v>
      </c>
      <c r="AH426" s="14">
        <f t="shared" si="1082"/>
        <v>0</v>
      </c>
      <c r="AI426" s="76">
        <f t="shared" si="1059"/>
        <v>0</v>
      </c>
      <c r="AK426" s="2">
        <f t="shared" si="1074"/>
        <v>-3000</v>
      </c>
      <c r="AL426" s="2">
        <f t="shared" si="1075"/>
        <v>-580.16302946132248</v>
      </c>
      <c r="AM426" s="2">
        <f t="shared" si="1075"/>
        <v>-932.53639000533008</v>
      </c>
      <c r="AN426" s="2">
        <f t="shared" si="1075"/>
        <v>-1487.3005805333476</v>
      </c>
      <c r="AO426" s="2">
        <f t="shared" si="1075"/>
        <v>0</v>
      </c>
      <c r="AP426" s="2"/>
      <c r="AQ426" s="61" t="str">
        <f>E$1&amp;$A426&amp;"*      """</f>
        <v>E426*      "</v>
      </c>
      <c r="AS426" s="2">
        <f t="shared" si="1076"/>
        <v>-580.16302946132248</v>
      </c>
      <c r="AT426" s="2">
        <f t="shared" si="1077"/>
        <v>-333.26800006257321</v>
      </c>
      <c r="AU426" s="2">
        <f t="shared" si="1077"/>
        <v>-161.47338993143953</v>
      </c>
      <c r="AV426" s="2">
        <f t="shared" si="1077"/>
        <v>0</v>
      </c>
      <c r="AW426" s="2">
        <f t="shared" si="1077"/>
        <v>-6.5936945810767762</v>
      </c>
      <c r="AX426" s="2">
        <f t="shared" si="1077"/>
        <v>-78.827944886233027</v>
      </c>
      <c r="AY426" s="2">
        <f t="shared" si="1077"/>
        <v>0</v>
      </c>
      <c r="BA426" s="2">
        <f t="shared" si="1078"/>
        <v>-932.53639000532996</v>
      </c>
      <c r="BB426" s="2">
        <f t="shared" si="1079"/>
        <v>-527.21081996303315</v>
      </c>
      <c r="BC426" s="2">
        <f t="shared" si="1079"/>
        <v>-325.36909326766568</v>
      </c>
      <c r="BD426" s="2">
        <f t="shared" si="1079"/>
        <v>0</v>
      </c>
      <c r="BE426" s="2">
        <f t="shared" si="1079"/>
        <v>-7.0106220482857848</v>
      </c>
      <c r="BF426" s="2">
        <f t="shared" si="1079"/>
        <v>-72.945854726345374</v>
      </c>
      <c r="BG426" s="2">
        <f t="shared" si="1079"/>
        <v>0</v>
      </c>
      <c r="BI426" s="2">
        <f t="shared" si="1080"/>
        <v>-1487.3005805333476</v>
      </c>
      <c r="BJ426" s="2">
        <f t="shared" si="1081"/>
        <v>-1391.4117288884759</v>
      </c>
      <c r="BK426" s="2">
        <f t="shared" si="1081"/>
        <v>-89.128841603899701</v>
      </c>
      <c r="BL426" s="2">
        <f t="shared" si="1081"/>
        <v>0</v>
      </c>
      <c r="BM426" s="2">
        <f t="shared" si="1081"/>
        <v>-0.61291112585258656</v>
      </c>
      <c r="BN426" s="2">
        <f t="shared" si="1081"/>
        <v>-6.1470989151193676</v>
      </c>
      <c r="BO426" s="2">
        <f t="shared" si="1081"/>
        <v>0</v>
      </c>
    </row>
    <row r="427" spans="1:72">
      <c r="A427" s="50">
        <f t="shared" si="1021"/>
        <v>427</v>
      </c>
      <c r="B427" s="51">
        <v>493</v>
      </c>
      <c r="C427" s="36" t="s">
        <v>154</v>
      </c>
      <c r="D427" s="28" t="s">
        <v>390</v>
      </c>
      <c r="E427" s="369">
        <f>PROFORMA!AY398</f>
        <v>0</v>
      </c>
      <c r="F427" s="60" t="str">
        <f>"as Rate Base ("&amp;A$132&amp;")"</f>
        <v>as Rate Base (132)</v>
      </c>
      <c r="G427" s="60"/>
      <c r="H427" s="2">
        <f>SUM(I427:N427)</f>
        <v>0</v>
      </c>
      <c r="I427" s="2">
        <f t="shared" si="1073"/>
        <v>0</v>
      </c>
      <c r="J427" s="2">
        <f t="shared" si="1073"/>
        <v>0</v>
      </c>
      <c r="K427" s="2">
        <f t="shared" si="1073"/>
        <v>0</v>
      </c>
      <c r="L427" s="2">
        <f t="shared" si="1073"/>
        <v>0</v>
      </c>
      <c r="M427" s="2">
        <f t="shared" si="1073"/>
        <v>0</v>
      </c>
      <c r="N427" s="2">
        <f t="shared" si="1073"/>
        <v>0</v>
      </c>
      <c r="O427" s="2"/>
      <c r="P427" s="61" t="str">
        <f>E$1&amp;$A427&amp;"*     """</f>
        <v>E427*     "</v>
      </c>
      <c r="Q427" s="61"/>
      <c r="R427" s="14">
        <f>R$132</f>
        <v>0.16957640840247246</v>
      </c>
      <c r="S427" s="14">
        <f t="shared" ref="S427:AH430" si="1083">S$132</f>
        <v>2.1608763452641592E-3</v>
      </c>
      <c r="T427" s="14">
        <f t="shared" si="1083"/>
        <v>1.0201038691079592E-2</v>
      </c>
      <c r="U427" s="14">
        <f t="shared" si="1083"/>
        <v>6.8268489701840351E-2</v>
      </c>
      <c r="V427" s="14">
        <f t="shared" si="1083"/>
        <v>0</v>
      </c>
      <c r="W427" s="14">
        <f t="shared" si="1083"/>
        <v>0.27165644424333324</v>
      </c>
      <c r="X427" s="14">
        <f t="shared" si="1083"/>
        <v>0</v>
      </c>
      <c r="Y427" s="14">
        <f t="shared" si="1083"/>
        <v>0</v>
      </c>
      <c r="Z427" s="14">
        <f t="shared" si="1083"/>
        <v>0</v>
      </c>
      <c r="AA427" s="14">
        <f t="shared" si="1083"/>
        <v>0</v>
      </c>
      <c r="AB427" s="14">
        <f t="shared" si="1083"/>
        <v>5.8661350376288536E-2</v>
      </c>
      <c r="AC427" s="14">
        <f t="shared" si="1083"/>
        <v>0.27983616699641839</v>
      </c>
      <c r="AD427" s="14">
        <f t="shared" si="1083"/>
        <v>0.13081774844647789</v>
      </c>
      <c r="AE427" s="14">
        <f t="shared" si="1083"/>
        <v>0</v>
      </c>
      <c r="AF427" s="14">
        <f t="shared" si="1083"/>
        <v>2.9793108274421285E-3</v>
      </c>
      <c r="AG427" s="14">
        <f t="shared" si="1083"/>
        <v>5.8421659693832281E-3</v>
      </c>
      <c r="AH427" s="14">
        <f t="shared" si="1083"/>
        <v>-3.0115989740833586E-19</v>
      </c>
      <c r="AI427" s="76">
        <f t="shared" si="1059"/>
        <v>0</v>
      </c>
      <c r="AK427" s="2">
        <f t="shared" si="1074"/>
        <v>0</v>
      </c>
      <c r="AL427" s="2">
        <f t="shared" si="1075"/>
        <v>0</v>
      </c>
      <c r="AM427" s="2">
        <f t="shared" si="1075"/>
        <v>0</v>
      </c>
      <c r="AN427" s="2">
        <f t="shared" si="1075"/>
        <v>0</v>
      </c>
      <c r="AO427" s="2">
        <f t="shared" si="1075"/>
        <v>0</v>
      </c>
      <c r="AP427" s="2"/>
      <c r="AQ427" s="61" t="str">
        <f>E$1&amp;$A427&amp;"*      """</f>
        <v>E427*      "</v>
      </c>
      <c r="AS427" s="2">
        <f t="shared" si="1076"/>
        <v>0</v>
      </c>
      <c r="AT427" s="2">
        <f t="shared" si="1077"/>
        <v>0</v>
      </c>
      <c r="AU427" s="2">
        <f t="shared" si="1077"/>
        <v>0</v>
      </c>
      <c r="AV427" s="2">
        <f t="shared" si="1077"/>
        <v>0</v>
      </c>
      <c r="AW427" s="2">
        <f t="shared" si="1077"/>
        <v>0</v>
      </c>
      <c r="AX427" s="2">
        <f t="shared" si="1077"/>
        <v>0</v>
      </c>
      <c r="AY427" s="2">
        <f t="shared" si="1077"/>
        <v>0</v>
      </c>
      <c r="BA427" s="2">
        <f t="shared" si="1078"/>
        <v>0</v>
      </c>
      <c r="BB427" s="2">
        <f t="shared" si="1079"/>
        <v>0</v>
      </c>
      <c r="BC427" s="2">
        <f t="shared" si="1079"/>
        <v>0</v>
      </c>
      <c r="BD427" s="2">
        <f t="shared" si="1079"/>
        <v>0</v>
      </c>
      <c r="BE427" s="2">
        <f t="shared" si="1079"/>
        <v>0</v>
      </c>
      <c r="BF427" s="2">
        <f t="shared" si="1079"/>
        <v>0</v>
      </c>
      <c r="BG427" s="2">
        <f t="shared" si="1079"/>
        <v>0</v>
      </c>
      <c r="BI427" s="2">
        <f t="shared" si="1080"/>
        <v>0</v>
      </c>
      <c r="BJ427" s="2">
        <f t="shared" si="1081"/>
        <v>0</v>
      </c>
      <c r="BK427" s="2">
        <f t="shared" si="1081"/>
        <v>0</v>
      </c>
      <c r="BL427" s="2">
        <f t="shared" si="1081"/>
        <v>0</v>
      </c>
      <c r="BM427" s="2">
        <f t="shared" si="1081"/>
        <v>0</v>
      </c>
      <c r="BN427" s="2">
        <f t="shared" si="1081"/>
        <v>0</v>
      </c>
      <c r="BO427" s="2">
        <f t="shared" si="1081"/>
        <v>0</v>
      </c>
    </row>
    <row r="428" spans="1:72">
      <c r="A428" s="50">
        <f t="shared" si="1021"/>
        <v>428</v>
      </c>
      <c r="B428" s="51">
        <v>495.9</v>
      </c>
      <c r="C428" s="36" t="s">
        <v>394</v>
      </c>
      <c r="D428" s="28" t="s">
        <v>391</v>
      </c>
      <c r="E428" s="373">
        <f>PROFORMA!AY397</f>
        <v>-1659000</v>
      </c>
      <c r="F428" s="60" t="str">
        <f>"as UG Storage Plant ("&amp;A$24&amp;")"</f>
        <v>as UG Storage Plant (24)</v>
      </c>
      <c r="G428" s="60"/>
      <c r="H428" s="2">
        <f>SUM(I428:N428)</f>
        <v>-1659000</v>
      </c>
      <c r="I428" s="2">
        <f t="shared" si="1073"/>
        <v>-1184429.8512756859</v>
      </c>
      <c r="J428" s="2">
        <f t="shared" si="1073"/>
        <v>-441709.85772786714</v>
      </c>
      <c r="K428" s="2">
        <f t="shared" si="1073"/>
        <v>0</v>
      </c>
      <c r="L428" s="2">
        <f t="shared" si="1073"/>
        <v>-12027.749813343538</v>
      </c>
      <c r="M428" s="2">
        <f t="shared" si="1073"/>
        <v>-20832.541183103451</v>
      </c>
      <c r="N428" s="2">
        <f t="shared" si="1073"/>
        <v>0</v>
      </c>
      <c r="O428" s="2"/>
      <c r="P428" s="61" t="str">
        <f>E$1&amp;$A428&amp;"*     """</f>
        <v>E428*     "</v>
      </c>
      <c r="Q428" s="61"/>
      <c r="R428" s="14">
        <f t="shared" ref="R428:AH428" si="1084">R$24</f>
        <v>0</v>
      </c>
      <c r="S428" s="14">
        <f t="shared" si="1084"/>
        <v>0</v>
      </c>
      <c r="T428" s="14">
        <f t="shared" si="1084"/>
        <v>0.13</v>
      </c>
      <c r="U428" s="14">
        <f t="shared" si="1084"/>
        <v>0.87</v>
      </c>
      <c r="V428" s="14">
        <f t="shared" si="1084"/>
        <v>0</v>
      </c>
      <c r="W428" s="14">
        <f t="shared" si="1084"/>
        <v>0</v>
      </c>
      <c r="X428" s="14">
        <f t="shared" si="1084"/>
        <v>0</v>
      </c>
      <c r="Y428" s="14">
        <f t="shared" si="1084"/>
        <v>0</v>
      </c>
      <c r="Z428" s="14">
        <f t="shared" si="1084"/>
        <v>0</v>
      </c>
      <c r="AA428" s="14">
        <f t="shared" si="1084"/>
        <v>0</v>
      </c>
      <c r="AB428" s="14">
        <f t="shared" si="1084"/>
        <v>0</v>
      </c>
      <c r="AC428" s="14">
        <f t="shared" si="1084"/>
        <v>0</v>
      </c>
      <c r="AD428" s="14">
        <f t="shared" si="1084"/>
        <v>0</v>
      </c>
      <c r="AE428" s="14">
        <f t="shared" si="1084"/>
        <v>0</v>
      </c>
      <c r="AF428" s="14">
        <f t="shared" si="1084"/>
        <v>0</v>
      </c>
      <c r="AG428" s="14">
        <f t="shared" si="1084"/>
        <v>0</v>
      </c>
      <c r="AH428" s="14">
        <f t="shared" si="1084"/>
        <v>0</v>
      </c>
      <c r="AI428" s="76">
        <f t="shared" si="1059"/>
        <v>0</v>
      </c>
      <c r="AK428" s="2">
        <f t="shared" si="1074"/>
        <v>-1659000</v>
      </c>
      <c r="AL428" s="2">
        <f t="shared" si="1075"/>
        <v>-1659000</v>
      </c>
      <c r="AM428" s="2">
        <f t="shared" si="1075"/>
        <v>0</v>
      </c>
      <c r="AN428" s="2">
        <f t="shared" si="1075"/>
        <v>0</v>
      </c>
      <c r="AO428" s="2">
        <f t="shared" si="1075"/>
        <v>0</v>
      </c>
      <c r="AP428" s="2"/>
      <c r="AQ428" s="61" t="str">
        <f>E$1&amp;$A428&amp;"*      """</f>
        <v>E428*      "</v>
      </c>
      <c r="AS428" s="2">
        <f t="shared" si="1076"/>
        <v>-1659000</v>
      </c>
      <c r="AT428" s="2">
        <f t="shared" si="1077"/>
        <v>-1184429.8512756859</v>
      </c>
      <c r="AU428" s="2">
        <f t="shared" si="1077"/>
        <v>-441709.85772786714</v>
      </c>
      <c r="AV428" s="2">
        <f t="shared" si="1077"/>
        <v>0</v>
      </c>
      <c r="AW428" s="2">
        <f t="shared" si="1077"/>
        <v>-12027.749813343538</v>
      </c>
      <c r="AX428" s="2">
        <f t="shared" si="1077"/>
        <v>-20832.541183103451</v>
      </c>
      <c r="AY428" s="2">
        <f t="shared" si="1077"/>
        <v>0</v>
      </c>
      <c r="BA428" s="2">
        <f t="shared" si="1078"/>
        <v>0</v>
      </c>
      <c r="BB428" s="2">
        <f t="shared" si="1079"/>
        <v>0</v>
      </c>
      <c r="BC428" s="2">
        <f t="shared" si="1079"/>
        <v>0</v>
      </c>
      <c r="BD428" s="2">
        <f t="shared" si="1079"/>
        <v>0</v>
      </c>
      <c r="BE428" s="2">
        <f t="shared" si="1079"/>
        <v>0</v>
      </c>
      <c r="BF428" s="2">
        <f t="shared" si="1079"/>
        <v>0</v>
      </c>
      <c r="BG428" s="2">
        <f t="shared" si="1079"/>
        <v>0</v>
      </c>
      <c r="BI428" s="2">
        <f t="shared" si="1080"/>
        <v>0</v>
      </c>
      <c r="BJ428" s="2">
        <f t="shared" si="1081"/>
        <v>0</v>
      </c>
      <c r="BK428" s="2">
        <f t="shared" si="1081"/>
        <v>0</v>
      </c>
      <c r="BL428" s="2">
        <f t="shared" si="1081"/>
        <v>0</v>
      </c>
      <c r="BM428" s="2">
        <f t="shared" si="1081"/>
        <v>0</v>
      </c>
      <c r="BN428" s="2">
        <f t="shared" si="1081"/>
        <v>0</v>
      </c>
      <c r="BO428" s="2">
        <f t="shared" si="1081"/>
        <v>0</v>
      </c>
    </row>
    <row r="429" spans="1:72" s="131" customFormat="1">
      <c r="A429" s="130">
        <f t="shared" si="1021"/>
        <v>429</v>
      </c>
      <c r="B429" s="367">
        <v>495</v>
      </c>
      <c r="C429" s="132" t="s">
        <v>467</v>
      </c>
      <c r="D429" s="368" t="s">
        <v>392</v>
      </c>
      <c r="E429" s="373">
        <f>PROFORMA!AY399</f>
        <v>-371000</v>
      </c>
      <c r="F429" s="119" t="str">
        <f>"as Rate Base ("&amp;A$132&amp;")"</f>
        <v>as Rate Base (132)</v>
      </c>
      <c r="G429" s="119"/>
      <c r="H429" s="82">
        <f t="shared" si="1072"/>
        <v>-371000.00000000006</v>
      </c>
      <c r="I429" s="82">
        <f t="shared" si="1073"/>
        <v>-280895.86441715452</v>
      </c>
      <c r="J429" s="82">
        <f t="shared" si="1073"/>
        <v>-70898.397390988466</v>
      </c>
      <c r="K429" s="82">
        <f t="shared" si="1073"/>
        <v>0</v>
      </c>
      <c r="L429" s="82">
        <f t="shared" si="1073"/>
        <v>-1762.159772343738</v>
      </c>
      <c r="M429" s="82">
        <f t="shared" si="1073"/>
        <v>-17443.578419513324</v>
      </c>
      <c r="N429" s="82">
        <f t="shared" si="1073"/>
        <v>0</v>
      </c>
      <c r="O429" s="82"/>
      <c r="P429" s="133" t="str">
        <f>E$1&amp;$A429&amp;"*     """</f>
        <v>E429*     "</v>
      </c>
      <c r="Q429" s="133"/>
      <c r="R429" s="108">
        <f>R$132</f>
        <v>0.16957640840247246</v>
      </c>
      <c r="S429" s="108">
        <f t="shared" si="1083"/>
        <v>2.1608763452641592E-3</v>
      </c>
      <c r="T429" s="108">
        <f t="shared" si="1083"/>
        <v>1.0201038691079592E-2</v>
      </c>
      <c r="U429" s="108">
        <f t="shared" si="1083"/>
        <v>6.8268489701840351E-2</v>
      </c>
      <c r="V429" s="108">
        <f t="shared" si="1083"/>
        <v>0</v>
      </c>
      <c r="W429" s="108">
        <f t="shared" si="1083"/>
        <v>0.27165644424333324</v>
      </c>
      <c r="X429" s="108">
        <f t="shared" si="1083"/>
        <v>0</v>
      </c>
      <c r="Y429" s="108">
        <f t="shared" si="1083"/>
        <v>0</v>
      </c>
      <c r="Z429" s="108">
        <f t="shared" si="1083"/>
        <v>0</v>
      </c>
      <c r="AA429" s="108">
        <f t="shared" si="1083"/>
        <v>0</v>
      </c>
      <c r="AB429" s="108">
        <f t="shared" si="1083"/>
        <v>5.8661350376288536E-2</v>
      </c>
      <c r="AC429" s="108">
        <f t="shared" si="1083"/>
        <v>0.27983616699641839</v>
      </c>
      <c r="AD429" s="108">
        <f t="shared" si="1083"/>
        <v>0.13081774844647789</v>
      </c>
      <c r="AE429" s="108">
        <f t="shared" si="1083"/>
        <v>0</v>
      </c>
      <c r="AF429" s="108">
        <f t="shared" si="1083"/>
        <v>2.9793108274421285E-3</v>
      </c>
      <c r="AG429" s="108">
        <f t="shared" si="1083"/>
        <v>5.8421659693832281E-3</v>
      </c>
      <c r="AH429" s="108">
        <f t="shared" si="1083"/>
        <v>-3.0115989740833586E-19</v>
      </c>
      <c r="AI429" s="134">
        <f t="shared" si="1059"/>
        <v>0</v>
      </c>
      <c r="AK429" s="82">
        <f t="shared" si="1074"/>
        <v>-371000</v>
      </c>
      <c r="AL429" s="82">
        <f t="shared" si="1075"/>
        <v>-92826.727675183589</v>
      </c>
      <c r="AM429" s="82">
        <f t="shared" si="1075"/>
        <v>-100784.54081427662</v>
      </c>
      <c r="AN429" s="82">
        <f t="shared" si="1075"/>
        <v>-177388.73151053977</v>
      </c>
      <c r="AO429" s="82">
        <f t="shared" si="1075"/>
        <v>1.117303219384926E-13</v>
      </c>
      <c r="AP429" s="82"/>
      <c r="AQ429" s="133" t="str">
        <f>E$1&amp;$A429&amp;"*      """</f>
        <v>E429*      "</v>
      </c>
      <c r="AS429" s="82">
        <f t="shared" si="1076"/>
        <v>-92826.727675183589</v>
      </c>
      <c r="AT429" s="82">
        <f t="shared" si="1077"/>
        <v>-57456.912908952982</v>
      </c>
      <c r="AU429" s="82">
        <f t="shared" si="1077"/>
        <v>-25519.519190832227</v>
      </c>
      <c r="AV429" s="82">
        <f t="shared" si="1077"/>
        <v>0</v>
      </c>
      <c r="AW429" s="82">
        <f t="shared" si="1077"/>
        <v>-936.62727375958718</v>
      </c>
      <c r="AX429" s="82">
        <f t="shared" si="1077"/>
        <v>-8913.6683016387979</v>
      </c>
      <c r="AY429" s="82">
        <f t="shared" si="1077"/>
        <v>0</v>
      </c>
      <c r="BA429" s="82">
        <f t="shared" si="1078"/>
        <v>-100784.54081427661</v>
      </c>
      <c r="BB429" s="82">
        <f t="shared" si="1079"/>
        <v>-56978.688415568278</v>
      </c>
      <c r="BC429" s="82">
        <f t="shared" si="1079"/>
        <v>-35164.498685088096</v>
      </c>
      <c r="BD429" s="82">
        <f t="shared" si="1079"/>
        <v>0</v>
      </c>
      <c r="BE429" s="82">
        <f t="shared" si="1079"/>
        <v>-757.67801828611516</v>
      </c>
      <c r="BF429" s="82">
        <f t="shared" si="1079"/>
        <v>-7883.6756953341292</v>
      </c>
      <c r="BG429" s="82">
        <f t="shared" si="1079"/>
        <v>0</v>
      </c>
      <c r="BI429" s="82">
        <f t="shared" si="1080"/>
        <v>-177388.7315105398</v>
      </c>
      <c r="BJ429" s="82">
        <f t="shared" si="1081"/>
        <v>-166460.26309263322</v>
      </c>
      <c r="BK429" s="82">
        <f t="shared" si="1081"/>
        <v>-10214.379515068134</v>
      </c>
      <c r="BL429" s="82">
        <f t="shared" si="1081"/>
        <v>0</v>
      </c>
      <c r="BM429" s="82">
        <f t="shared" si="1081"/>
        <v>-67.854480298035924</v>
      </c>
      <c r="BN429" s="82">
        <f t="shared" si="1081"/>
        <v>-646.23442254039753</v>
      </c>
      <c r="BO429" s="82">
        <f t="shared" si="1081"/>
        <v>0</v>
      </c>
    </row>
    <row r="430" spans="1:72">
      <c r="A430" s="50">
        <f t="shared" si="1021"/>
        <v>430</v>
      </c>
      <c r="B430" s="51">
        <v>496</v>
      </c>
      <c r="C430" s="36" t="s">
        <v>467</v>
      </c>
      <c r="D430" s="368" t="s">
        <v>1049</v>
      </c>
      <c r="E430" s="373">
        <f>PROFORMA!AY400</f>
        <v>-344000</v>
      </c>
      <c r="F430" s="119" t="str">
        <f>"as Rate Base ("&amp;A$132&amp;")"</f>
        <v>as Rate Base (132)</v>
      </c>
      <c r="G430" s="60"/>
      <c r="H430" s="82">
        <f t="shared" si="1072"/>
        <v>-344000</v>
      </c>
      <c r="I430" s="82">
        <f t="shared" si="1073"/>
        <v>-260453.30824663382</v>
      </c>
      <c r="J430" s="82">
        <f t="shared" si="1073"/>
        <v>-65738.675747978516</v>
      </c>
      <c r="K430" s="82">
        <f t="shared" si="1073"/>
        <v>0</v>
      </c>
      <c r="L430" s="82">
        <f t="shared" si="1073"/>
        <v>-1633.9163387769431</v>
      </c>
      <c r="M430" s="82">
        <f t="shared" si="1073"/>
        <v>-16174.099666610737</v>
      </c>
      <c r="N430" s="82">
        <f t="shared" si="1073"/>
        <v>0</v>
      </c>
      <c r="O430" s="82"/>
      <c r="P430" s="133" t="str">
        <f>E$1&amp;$A430&amp;"*     """</f>
        <v>E430*     "</v>
      </c>
      <c r="Q430" s="133"/>
      <c r="R430" s="108">
        <f>R$132</f>
        <v>0.16957640840247246</v>
      </c>
      <c r="S430" s="108">
        <f t="shared" si="1083"/>
        <v>2.1608763452641592E-3</v>
      </c>
      <c r="T430" s="108">
        <f t="shared" si="1083"/>
        <v>1.0201038691079592E-2</v>
      </c>
      <c r="U430" s="108">
        <f t="shared" si="1083"/>
        <v>6.8268489701840351E-2</v>
      </c>
      <c r="V430" s="108">
        <f t="shared" si="1083"/>
        <v>0</v>
      </c>
      <c r="W430" s="108">
        <f t="shared" si="1083"/>
        <v>0.27165644424333324</v>
      </c>
      <c r="X430" s="108">
        <f t="shared" si="1083"/>
        <v>0</v>
      </c>
      <c r="Y430" s="108">
        <f t="shared" si="1083"/>
        <v>0</v>
      </c>
      <c r="Z430" s="108">
        <f t="shared" si="1083"/>
        <v>0</v>
      </c>
      <c r="AA430" s="108">
        <f t="shared" si="1083"/>
        <v>0</v>
      </c>
      <c r="AB430" s="108">
        <f t="shared" si="1083"/>
        <v>5.8661350376288536E-2</v>
      </c>
      <c r="AC430" s="108">
        <f t="shared" si="1083"/>
        <v>0.27983616699641839</v>
      </c>
      <c r="AD430" s="108">
        <f t="shared" si="1083"/>
        <v>0.13081774844647789</v>
      </c>
      <c r="AE430" s="108">
        <f t="shared" si="1083"/>
        <v>0</v>
      </c>
      <c r="AF430" s="108">
        <f t="shared" si="1083"/>
        <v>2.9793108274421285E-3</v>
      </c>
      <c r="AG430" s="108">
        <f t="shared" si="1083"/>
        <v>5.8421659693832281E-3</v>
      </c>
      <c r="AH430" s="108">
        <f t="shared" si="1083"/>
        <v>-3.0115989740833586E-19</v>
      </c>
      <c r="AI430" s="134">
        <f t="shared" si="1059"/>
        <v>0</v>
      </c>
      <c r="AJ430" s="131"/>
      <c r="AK430" s="82">
        <f t="shared" si="1074"/>
        <v>-344000</v>
      </c>
      <c r="AL430" s="82">
        <f t="shared" si="1075"/>
        <v>-86071.143720385866</v>
      </c>
      <c r="AM430" s="82">
        <f t="shared" si="1075"/>
        <v>-93449.816819706641</v>
      </c>
      <c r="AN430" s="82">
        <f t="shared" si="1075"/>
        <v>-164479.03945990751</v>
      </c>
      <c r="AO430" s="82">
        <f t="shared" si="1075"/>
        <v>1.0359900470846753E-13</v>
      </c>
      <c r="AP430" s="82"/>
      <c r="AQ430" s="133" t="str">
        <f>E$1&amp;$A430&amp;"*      """</f>
        <v>E430*      "</v>
      </c>
      <c r="AR430" s="131"/>
      <c r="AS430" s="82">
        <f t="shared" si="1076"/>
        <v>-86071.143720385866</v>
      </c>
      <c r="AT430" s="82">
        <f t="shared" si="1077"/>
        <v>-53275.41250857096</v>
      </c>
      <c r="AU430" s="82">
        <f t="shared" si="1077"/>
        <v>-23662.303508480556</v>
      </c>
      <c r="AV430" s="82">
        <f t="shared" si="1077"/>
        <v>0</v>
      </c>
      <c r="AW430" s="82">
        <f t="shared" si="1077"/>
        <v>-868.46302472587058</v>
      </c>
      <c r="AX430" s="82">
        <f t="shared" si="1077"/>
        <v>-8264.9646786084813</v>
      </c>
      <c r="AY430" s="82">
        <f t="shared" si="1077"/>
        <v>0</v>
      </c>
      <c r="AZ430" s="131"/>
      <c r="BA430" s="82">
        <f t="shared" si="1078"/>
        <v>-93449.816819706612</v>
      </c>
      <c r="BB430" s="82">
        <f t="shared" si="1079"/>
        <v>-52831.991414974364</v>
      </c>
      <c r="BC430" s="82">
        <f t="shared" si="1079"/>
        <v>-32605.35727134853</v>
      </c>
      <c r="BD430" s="82">
        <f t="shared" si="1079"/>
        <v>0</v>
      </c>
      <c r="BE430" s="82">
        <f t="shared" si="1079"/>
        <v>-702.53703043240864</v>
      </c>
      <c r="BF430" s="82">
        <f t="shared" si="1079"/>
        <v>-7309.9311029513219</v>
      </c>
      <c r="BG430" s="82">
        <f t="shared" si="1079"/>
        <v>0</v>
      </c>
      <c r="BH430" s="131"/>
      <c r="BI430" s="82">
        <f t="shared" si="1080"/>
        <v>-164479.03945990748</v>
      </c>
      <c r="BJ430" s="82">
        <f t="shared" si="1081"/>
        <v>-154345.90432308847</v>
      </c>
      <c r="BK430" s="82">
        <f t="shared" si="1081"/>
        <v>-9471.0149681494295</v>
      </c>
      <c r="BL430" s="82">
        <f t="shared" si="1081"/>
        <v>0</v>
      </c>
      <c r="BM430" s="82">
        <f t="shared" si="1081"/>
        <v>-62.916283618664039</v>
      </c>
      <c r="BN430" s="82">
        <f t="shared" si="1081"/>
        <v>-599.20388505093456</v>
      </c>
      <c r="BO430" s="82">
        <f t="shared" si="1081"/>
        <v>0</v>
      </c>
      <c r="BP430" s="131"/>
      <c r="BQ430" s="131"/>
      <c r="BR430" s="131"/>
      <c r="BS430" s="131"/>
      <c r="BT430" s="131"/>
    </row>
    <row r="431" spans="1:72">
      <c r="A431" s="50">
        <f t="shared" si="1021"/>
        <v>431</v>
      </c>
      <c r="D431" s="52" t="s">
        <v>81</v>
      </c>
      <c r="E431" s="48">
        <f>SUM(E425:E430)</f>
        <v>-2377000</v>
      </c>
      <c r="F431" s="60"/>
      <c r="G431" s="60"/>
      <c r="H431" s="4">
        <f>IF(ROUND(SUM(H424:H430),3)&lt;&gt;ROUND(SUM(I431:N431),3),#VALUE!,SUM(H424:H430))</f>
        <v>-2377000</v>
      </c>
      <c r="I431" s="4">
        <f t="shared" ref="I431:N431" si="1085">SUM(I424:I430)</f>
        <v>-1728030.9144883882</v>
      </c>
      <c r="J431" s="4">
        <f t="shared" si="1085"/>
        <v>-578922.9021916372</v>
      </c>
      <c r="K431" s="4">
        <f t="shared" si="1085"/>
        <v>0</v>
      </c>
      <c r="L431" s="4">
        <f t="shared" si="1085"/>
        <v>-15438.043152219434</v>
      </c>
      <c r="M431" s="4">
        <f t="shared" si="1085"/>
        <v>-54608.140167755206</v>
      </c>
      <c r="N431" s="4">
        <f t="shared" si="1085"/>
        <v>0</v>
      </c>
      <c r="O431" s="5"/>
      <c r="P431" s="61" t="str">
        <f>$A424&amp;":"&amp;A430</f>
        <v>424:430</v>
      </c>
      <c r="Q431" s="61"/>
      <c r="R431" s="16">
        <f t="shared" ref="R431:AH431" si="1086">SUMPRODUCT($E$425:$E$430,R$425:R$430)/$E431</f>
        <v>5.1252543137244061E-2</v>
      </c>
      <c r="S431" s="16">
        <f t="shared" si="1086"/>
        <v>6.4999015013204626E-4</v>
      </c>
      <c r="T431" s="16">
        <f t="shared" si="1086"/>
        <v>9.3800480716921292E-2</v>
      </c>
      <c r="U431" s="16">
        <f t="shared" si="1086"/>
        <v>0.62774167864401176</v>
      </c>
      <c r="V431" s="16">
        <f t="shared" si="1086"/>
        <v>0</v>
      </c>
      <c r="W431" s="16">
        <f t="shared" si="1086"/>
        <v>8.2106392100962808E-2</v>
      </c>
      <c r="X431" s="16">
        <f t="shared" si="1086"/>
        <v>0</v>
      </c>
      <c r="Y431" s="16">
        <f t="shared" si="1086"/>
        <v>0</v>
      </c>
      <c r="Z431" s="16">
        <f t="shared" si="1086"/>
        <v>0</v>
      </c>
      <c r="AA431" s="16">
        <f t="shared" si="1086"/>
        <v>0</v>
      </c>
      <c r="AB431" s="16">
        <f t="shared" si="1086"/>
        <v>1.7645294707213422E-2</v>
      </c>
      <c r="AC431" s="16">
        <f t="shared" si="1086"/>
        <v>8.4627483629494724E-2</v>
      </c>
      <c r="AD431" s="16">
        <f t="shared" si="1086"/>
        <v>3.9516746793697467E-2</v>
      </c>
      <c r="AE431" s="16">
        <f t="shared" si="1086"/>
        <v>0</v>
      </c>
      <c r="AF431" s="16">
        <f t="shared" si="1086"/>
        <v>9.0207052919541746E-4</v>
      </c>
      <c r="AG431" s="16">
        <f t="shared" si="1086"/>
        <v>1.7573195911270544E-3</v>
      </c>
      <c r="AH431" s="16">
        <f t="shared" si="1086"/>
        <v>-9.0588694424467875E-20</v>
      </c>
      <c r="AI431" s="76">
        <f t="shared" si="1059"/>
        <v>0</v>
      </c>
      <c r="AK431" s="4">
        <f>IF(ROUND(SUM(AK424:AK430),3)&lt;&gt;ROUND(SUM(AL431:AO431),3),#VALUE!,SUM(AK424:AK430))</f>
        <v>-2377000</v>
      </c>
      <c r="AL431" s="4">
        <f>SUM(AL424:AL430)</f>
        <v>-1838478.0344250309</v>
      </c>
      <c r="AM431" s="4">
        <f>SUM(AM424:AM430)</f>
        <v>-195166.8940239886</v>
      </c>
      <c r="AN431" s="4">
        <f>SUM(AN424:AN430)</f>
        <v>-343355.07155098062</v>
      </c>
      <c r="AO431" s="4">
        <f>SUM(AO424:AO430)</f>
        <v>2.1532932664696014E-13</v>
      </c>
      <c r="AP431" s="5"/>
      <c r="AQ431" s="61" t="str">
        <f>$A424&amp;":"&amp;A430</f>
        <v>424:430</v>
      </c>
      <c r="AS431" s="4">
        <f>IF(ROUND(SUM(AS424:AS430),3)&lt;&gt;ROUND(SUM(AT431:AY431),3),#VALUE!,SUM(AS424:AS430))</f>
        <v>-1838478.0344250309</v>
      </c>
      <c r="AT431" s="4">
        <f t="shared" ref="AT431:AY431" si="1087">SUM(AT424:AT430)</f>
        <v>-1295495.4446932725</v>
      </c>
      <c r="AU431" s="4">
        <f t="shared" si="1087"/>
        <v>-491053.15381711134</v>
      </c>
      <c r="AV431" s="4">
        <f t="shared" si="1087"/>
        <v>0</v>
      </c>
      <c r="AW431" s="4">
        <f t="shared" si="1087"/>
        <v>-13839.433806410072</v>
      </c>
      <c r="AX431" s="4">
        <f t="shared" si="1087"/>
        <v>-38090.002108236964</v>
      </c>
      <c r="AY431" s="4">
        <f t="shared" si="1087"/>
        <v>0</v>
      </c>
      <c r="BA431" s="4">
        <f>IF(ROUND(SUM(BA424:BA430),3)&lt;&gt;ROUND(SUM(BB431:BG431),3),#VALUE!,SUM(BA424:BA430))</f>
        <v>-195166.89402398857</v>
      </c>
      <c r="BB431" s="4">
        <f t="shared" ref="BB431:BG431" si="1088">SUM(BB424:BB430)</f>
        <v>-110337.89065050567</v>
      </c>
      <c r="BC431" s="4">
        <f t="shared" si="1088"/>
        <v>-68095.225049704299</v>
      </c>
      <c r="BD431" s="4">
        <f t="shared" si="1088"/>
        <v>0</v>
      </c>
      <c r="BE431" s="4">
        <f t="shared" si="1088"/>
        <v>-1467.2256707668096</v>
      </c>
      <c r="BF431" s="4">
        <f t="shared" si="1088"/>
        <v>-15266.552653011797</v>
      </c>
      <c r="BG431" s="4">
        <f t="shared" si="1088"/>
        <v>0</v>
      </c>
      <c r="BI431" s="4">
        <f>IF(ROUND(SUM(BI424:BI430),3)&lt;&gt;ROUND(SUM(BJ431:BO431),3),#VALUE!,SUM(BI424:BI430))</f>
        <v>-343355.07155098062</v>
      </c>
      <c r="BJ431" s="4">
        <f t="shared" ref="BJ431:BO431" si="1089">SUM(BJ424:BJ430)</f>
        <v>-322197.57914461021</v>
      </c>
      <c r="BK431" s="4">
        <f t="shared" si="1089"/>
        <v>-19774.523324821464</v>
      </c>
      <c r="BL431" s="4">
        <f t="shared" si="1089"/>
        <v>0</v>
      </c>
      <c r="BM431" s="4">
        <f t="shared" si="1089"/>
        <v>-131.38367504255257</v>
      </c>
      <c r="BN431" s="4">
        <f t="shared" si="1089"/>
        <v>-1251.5854065064514</v>
      </c>
      <c r="BO431" s="4">
        <f t="shared" si="1089"/>
        <v>0</v>
      </c>
    </row>
    <row r="432" spans="1:72">
      <c r="A432" s="50">
        <f t="shared" si="1021"/>
        <v>432</v>
      </c>
      <c r="E432" s="2"/>
      <c r="F432" s="60"/>
      <c r="G432" s="60"/>
      <c r="P432" s="61"/>
      <c r="Q432" s="61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76">
        <f t="shared" si="1059"/>
        <v>0</v>
      </c>
      <c r="AQ432" s="61"/>
    </row>
    <row r="433" spans="1:67">
      <c r="A433" s="50">
        <f t="shared" si="1021"/>
        <v>433</v>
      </c>
      <c r="C433" s="34"/>
      <c r="D433" s="1" t="s">
        <v>82</v>
      </c>
      <c r="E433" s="2">
        <f>E422+E431</f>
        <v>-127694000</v>
      </c>
      <c r="F433" s="60" t="str">
        <f>"("&amp;A$422&amp;"+"&amp;A$431&amp;")"</f>
        <v>(422+431)</v>
      </c>
      <c r="G433" s="60"/>
      <c r="H433" s="2">
        <f>H422+H431</f>
        <v>-127693999.99999999</v>
      </c>
      <c r="I433" s="2">
        <f t="shared" ref="I433:N433" si="1090">I422+I431</f>
        <v>-98837970.395334259</v>
      </c>
      <c r="J433" s="2">
        <f t="shared" si="1090"/>
        <v>-24412790.562088121</v>
      </c>
      <c r="K433" s="2">
        <f t="shared" si="1090"/>
        <v>0</v>
      </c>
      <c r="L433" s="2">
        <f t="shared" si="1090"/>
        <v>-654814.46211189847</v>
      </c>
      <c r="M433" s="2">
        <f>M422+M431</f>
        <v>-3788424.5804657224</v>
      </c>
      <c r="N433" s="2">
        <f t="shared" si="1090"/>
        <v>0</v>
      </c>
      <c r="O433" s="2"/>
      <c r="P433" s="61" t="str">
        <f>$A422&amp;"+"&amp;$A431</f>
        <v>422+431</v>
      </c>
      <c r="Q433" s="61"/>
      <c r="R433" s="14">
        <f t="shared" ref="R433:AH433" si="1091">($E422*R422+$E431*R431)/$E433</f>
        <v>9.5405653387965869E-4</v>
      </c>
      <c r="S433" s="14">
        <f t="shared" si="1091"/>
        <v>1.2099445446644901E-5</v>
      </c>
      <c r="T433" s="14">
        <f t="shared" si="1091"/>
        <v>1.7460784583780123E-3</v>
      </c>
      <c r="U433" s="14">
        <f t="shared" si="1091"/>
        <v>1.1685294298375929E-2</v>
      </c>
      <c r="V433" s="14">
        <f t="shared" si="1091"/>
        <v>0</v>
      </c>
      <c r="W433" s="14">
        <f t="shared" si="1091"/>
        <v>1.528395179287896E-3</v>
      </c>
      <c r="X433" s="14">
        <f t="shared" si="1091"/>
        <v>0</v>
      </c>
      <c r="Y433" s="14">
        <f t="shared" si="1091"/>
        <v>0</v>
      </c>
      <c r="Z433" s="14">
        <f t="shared" si="1091"/>
        <v>0</v>
      </c>
      <c r="AA433" s="14">
        <f t="shared" si="1091"/>
        <v>0</v>
      </c>
      <c r="AB433" s="14">
        <f t="shared" si="1091"/>
        <v>3.2846387080870127E-4</v>
      </c>
      <c r="AC433" s="14">
        <f t="shared" si="1091"/>
        <v>1.5753248280053014E-3</v>
      </c>
      <c r="AD433" s="14">
        <f t="shared" si="1091"/>
        <v>7.355968732173703E-4</v>
      </c>
      <c r="AE433" s="14">
        <f t="shared" si="1091"/>
        <v>0</v>
      </c>
      <c r="AF433" s="14">
        <f t="shared" si="1091"/>
        <v>1.6791874699653134E-5</v>
      </c>
      <c r="AG433" s="14">
        <f t="shared" si="1091"/>
        <v>3.2712176516586593E-5</v>
      </c>
      <c r="AH433" s="14">
        <f t="shared" si="1091"/>
        <v>0.98138518646138428</v>
      </c>
      <c r="AI433" s="76">
        <f t="shared" si="1059"/>
        <v>0</v>
      </c>
      <c r="AK433" s="2">
        <f>AK422+AK431</f>
        <v>-127694000</v>
      </c>
      <c r="AL433" s="2">
        <f>AL422+AL431</f>
        <v>-1838478.0344250309</v>
      </c>
      <c r="AM433" s="2">
        <f>AM422+AM431</f>
        <v>-195166.8940239886</v>
      </c>
      <c r="AN433" s="2">
        <f>AN422+AN431</f>
        <v>-343355.07155098062</v>
      </c>
      <c r="AO433" s="2">
        <f>AO422+AO431</f>
        <v>-125317000</v>
      </c>
      <c r="AP433" s="2"/>
      <c r="AQ433" s="61" t="str">
        <f>$A422&amp;"+"&amp;$A431</f>
        <v>422+431</v>
      </c>
      <c r="AS433" s="2">
        <f t="shared" ref="AS433:AY433" si="1092">AS422+AS431</f>
        <v>-1838478.0344250309</v>
      </c>
      <c r="AT433" s="2">
        <f t="shared" si="1092"/>
        <v>-1295495.4446932725</v>
      </c>
      <c r="AU433" s="2">
        <f t="shared" si="1092"/>
        <v>-491053.15381711134</v>
      </c>
      <c r="AV433" s="2">
        <f t="shared" si="1092"/>
        <v>0</v>
      </c>
      <c r="AW433" s="2">
        <f t="shared" si="1092"/>
        <v>-13839.433806410072</v>
      </c>
      <c r="AX433" s="2">
        <f t="shared" si="1092"/>
        <v>-38090.002108236964</v>
      </c>
      <c r="AY433" s="2">
        <f t="shared" si="1092"/>
        <v>0</v>
      </c>
      <c r="BA433" s="2">
        <f t="shared" ref="BA433:BG433" si="1093">BA422+BA431</f>
        <v>-195166.89402398857</v>
      </c>
      <c r="BB433" s="2">
        <f t="shared" si="1093"/>
        <v>-110337.89065050567</v>
      </c>
      <c r="BC433" s="2">
        <f t="shared" si="1093"/>
        <v>-68095.225049704299</v>
      </c>
      <c r="BD433" s="2">
        <f t="shared" si="1093"/>
        <v>0</v>
      </c>
      <c r="BE433" s="2">
        <f t="shared" si="1093"/>
        <v>-1467.2256707668096</v>
      </c>
      <c r="BF433" s="2">
        <f t="shared" si="1093"/>
        <v>-15266.552653011797</v>
      </c>
      <c r="BG433" s="2">
        <f t="shared" si="1093"/>
        <v>0</v>
      </c>
      <c r="BI433" s="2">
        <f t="shared" ref="BI433:BO433" si="1094">BI422+BI431</f>
        <v>-343355.07155098062</v>
      </c>
      <c r="BJ433" s="2">
        <f t="shared" si="1094"/>
        <v>-322197.57914461021</v>
      </c>
      <c r="BK433" s="2">
        <f t="shared" si="1094"/>
        <v>-19774.523324821464</v>
      </c>
      <c r="BL433" s="2">
        <f t="shared" si="1094"/>
        <v>0</v>
      </c>
      <c r="BM433" s="2">
        <f t="shared" si="1094"/>
        <v>-131.38367504255257</v>
      </c>
      <c r="BN433" s="2">
        <f t="shared" si="1094"/>
        <v>-1251.5854065064514</v>
      </c>
      <c r="BO433" s="2">
        <f t="shared" si="1094"/>
        <v>0</v>
      </c>
    </row>
    <row r="434" spans="1:67">
      <c r="A434" s="50">
        <f t="shared" si="1021"/>
        <v>434</v>
      </c>
      <c r="E434" s="2"/>
      <c r="F434" s="60"/>
      <c r="G434" s="60"/>
      <c r="H434" s="2"/>
      <c r="I434" s="2"/>
      <c r="J434" s="2"/>
      <c r="K434" s="2"/>
      <c r="L434" s="2"/>
      <c r="M434" s="2"/>
      <c r="N434" s="2"/>
      <c r="O434" s="2"/>
      <c r="P434" s="61"/>
      <c r="Q434" s="61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76">
        <f t="shared" si="1059"/>
        <v>0</v>
      </c>
      <c r="AK434" s="2"/>
      <c r="AL434" s="2"/>
      <c r="AM434" s="2"/>
      <c r="AN434" s="2"/>
      <c r="AO434" s="2"/>
      <c r="AP434" s="2"/>
      <c r="AQ434" s="61"/>
      <c r="AS434" s="2"/>
      <c r="AT434" s="2"/>
      <c r="AU434" s="2"/>
      <c r="AV434" s="2"/>
      <c r="AW434" s="2"/>
      <c r="AX434" s="2"/>
      <c r="AY434" s="2"/>
      <c r="BA434" s="2"/>
      <c r="BB434" s="2"/>
      <c r="BC434" s="2"/>
      <c r="BD434" s="2"/>
      <c r="BE434" s="2"/>
      <c r="BF434" s="2"/>
      <c r="BG434" s="2"/>
      <c r="BI434" s="2"/>
      <c r="BJ434" s="2"/>
      <c r="BK434" s="2"/>
      <c r="BL434" s="2"/>
      <c r="BM434" s="2"/>
      <c r="BN434" s="2"/>
      <c r="BO434" s="2"/>
    </row>
    <row r="435" spans="1:67" ht="13.5" thickBot="1">
      <c r="A435" s="50">
        <f t="shared" si="1021"/>
        <v>435</v>
      </c>
      <c r="C435" s="34"/>
      <c r="D435" s="1" t="s">
        <v>578</v>
      </c>
      <c r="E435" s="75">
        <f>E419+E433</f>
        <v>-31586000</v>
      </c>
      <c r="F435" s="60" t="str">
        <f>"("&amp;A$419&amp;"+"&amp;A$433&amp;")"</f>
        <v>(419+433)</v>
      </c>
      <c r="G435" s="60"/>
      <c r="H435" s="6">
        <f>H419+H433</f>
        <v>-31585999.669556037</v>
      </c>
      <c r="I435" s="6">
        <f t="shared" ref="I435:N435" si="1095">I419+I433</f>
        <v>-21170051.290963724</v>
      </c>
      <c r="J435" s="6">
        <f t="shared" si="1095"/>
        <v>-9521771.3579898328</v>
      </c>
      <c r="K435" s="6">
        <f t="shared" si="1095"/>
        <v>0</v>
      </c>
      <c r="L435" s="6">
        <f t="shared" si="1095"/>
        <v>-285389.39019589918</v>
      </c>
      <c r="M435" s="6">
        <f t="shared" si="1095"/>
        <v>-608787.63040658738</v>
      </c>
      <c r="N435" s="6">
        <f t="shared" si="1095"/>
        <v>0</v>
      </c>
      <c r="O435" s="5"/>
      <c r="P435" s="61" t="str">
        <f>$A419&amp;"+"&amp;$A433</f>
        <v>419+433</v>
      </c>
      <c r="Q435" s="61"/>
      <c r="R435" s="19">
        <f t="shared" ref="R435:AH435" si="1096">($E419*R419+$E433*R433)/$E435</f>
        <v>-0.31152838495466717</v>
      </c>
      <c r="S435" s="19">
        <f t="shared" si="1096"/>
        <v>-3.9359535981937969E-2</v>
      </c>
      <c r="T435" s="19">
        <f t="shared" si="1096"/>
        <v>-1.3286409149038678E-2</v>
      </c>
      <c r="U435" s="19">
        <f t="shared" si="1096"/>
        <v>-8.8916738151258862E-2</v>
      </c>
      <c r="V435" s="19">
        <f t="shared" si="1096"/>
        <v>-2.5000838089568535E-3</v>
      </c>
      <c r="W435" s="19">
        <f t="shared" si="1096"/>
        <v>-0.48406554536346469</v>
      </c>
      <c r="X435" s="19">
        <f t="shared" si="1096"/>
        <v>0</v>
      </c>
      <c r="Y435" s="19">
        <f t="shared" si="1096"/>
        <v>0</v>
      </c>
      <c r="Z435" s="19">
        <f t="shared" si="1096"/>
        <v>0</v>
      </c>
      <c r="AA435" s="19">
        <f t="shared" si="1096"/>
        <v>0</v>
      </c>
      <c r="AB435" s="19">
        <f t="shared" si="1096"/>
        <v>-0.64646695655479125</v>
      </c>
      <c r="AC435" s="19">
        <f t="shared" si="1096"/>
        <v>-0.56282736213309403</v>
      </c>
      <c r="AD435" s="19">
        <f t="shared" si="1096"/>
        <v>-0.29726851575289187</v>
      </c>
      <c r="AE435" s="19">
        <f t="shared" si="1096"/>
        <v>0</v>
      </c>
      <c r="AF435" s="19">
        <f t="shared" si="1096"/>
        <v>-5.0219606902157576E-3</v>
      </c>
      <c r="AG435" s="19">
        <f t="shared" si="1096"/>
        <v>-5.6860826776793383E-2</v>
      </c>
      <c r="AH435" s="19">
        <f t="shared" si="1096"/>
        <v>3.5081023193171101</v>
      </c>
      <c r="AI435" s="76">
        <f t="shared" si="1059"/>
        <v>0</v>
      </c>
      <c r="AK435" s="6">
        <f>AK419+AK433</f>
        <v>-31586000</v>
      </c>
      <c r="AL435" s="6">
        <f>AL419+AL433</f>
        <v>14390302.128520515</v>
      </c>
      <c r="AM435" s="6">
        <f>AM419+AM433</f>
        <v>15289694.315850396</v>
      </c>
      <c r="AN435" s="6">
        <f>AN419+AN433</f>
        <v>49540923.413579337</v>
      </c>
      <c r="AO435" s="6">
        <f>AO419+AO433</f>
        <v>-110806919.85795024</v>
      </c>
      <c r="AP435" s="5"/>
      <c r="AQ435" s="61" t="str">
        <f>$A419&amp;"+"&amp;$A433</f>
        <v>419+433</v>
      </c>
      <c r="AS435" s="6">
        <f t="shared" ref="AS435:AY435" si="1097">AS419+AS433</f>
        <v>17262852.893767416</v>
      </c>
      <c r="AT435" s="6">
        <f t="shared" si="1097"/>
        <v>10513070.542381894</v>
      </c>
      <c r="AU435" s="6">
        <f t="shared" si="1097"/>
        <v>4966880.6377682621</v>
      </c>
      <c r="AV435" s="6">
        <f t="shared" si="1097"/>
        <v>0</v>
      </c>
      <c r="AW435" s="6">
        <f t="shared" si="1097"/>
        <v>190865.89179327586</v>
      </c>
      <c r="AX435" s="6">
        <f t="shared" si="1097"/>
        <v>1592035.8218239821</v>
      </c>
      <c r="AY435" s="6">
        <f t="shared" si="1097"/>
        <v>0</v>
      </c>
      <c r="BA435" s="6">
        <f t="shared" ref="BA435:BG435" si="1098">BA419+BA433</f>
        <v>18428244.140240997</v>
      </c>
      <c r="BB435" s="6">
        <f t="shared" si="1098"/>
        <v>10287784.715497799</v>
      </c>
      <c r="BC435" s="6">
        <f t="shared" si="1098"/>
        <v>6612414.7703729682</v>
      </c>
      <c r="BD435" s="6">
        <f t="shared" si="1098"/>
        <v>0</v>
      </c>
      <c r="BE435" s="6">
        <f t="shared" si="1098"/>
        <v>145137.35109652215</v>
      </c>
      <c r="BF435" s="6">
        <f t="shared" si="1098"/>
        <v>1382907.3032737058</v>
      </c>
      <c r="BG435" s="6">
        <f t="shared" si="1098"/>
        <v>0</v>
      </c>
      <c r="BI435" s="6">
        <f t="shared" ref="BI435:BO435" si="1099">BI419+BI433</f>
        <v>57607158.965991586</v>
      </c>
      <c r="BJ435" s="6">
        <f t="shared" si="1099"/>
        <v>54803693.073396325</v>
      </c>
      <c r="BK435" s="6">
        <f t="shared" si="1099"/>
        <v>2650497.908323586</v>
      </c>
      <c r="BL435" s="6">
        <f t="shared" si="1099"/>
        <v>0</v>
      </c>
      <c r="BM435" s="6">
        <f t="shared" si="1099"/>
        <v>15775.894613847227</v>
      </c>
      <c r="BN435" s="6">
        <f t="shared" si="1099"/>
        <v>137192.08965783499</v>
      </c>
      <c r="BO435" s="6">
        <f t="shared" si="1099"/>
        <v>0</v>
      </c>
    </row>
    <row r="436" spans="1:67" ht="13.5" thickTop="1">
      <c r="A436" s="50">
        <f t="shared" si="1021"/>
        <v>436</v>
      </c>
      <c r="E436" s="2">
        <f>(E435/1000)+PROFORMA!AY405</f>
        <v>0</v>
      </c>
      <c r="H436" s="33">
        <f>H435-$E435</f>
        <v>0.33044396340847015</v>
      </c>
      <c r="P436" s="61"/>
      <c r="Q436" s="61"/>
      <c r="AK436" s="33">
        <f>AK435-$E435</f>
        <v>0</v>
      </c>
      <c r="AQ436" s="61"/>
    </row>
    <row r="437" spans="1:67">
      <c r="A437" s="50">
        <f t="shared" si="1021"/>
        <v>437</v>
      </c>
      <c r="P437" s="61"/>
      <c r="Q437" s="61"/>
      <c r="AQ437" s="61"/>
    </row>
    <row r="438" spans="1:67">
      <c r="A438" s="50">
        <f t="shared" si="1021"/>
        <v>438</v>
      </c>
      <c r="D438" t="s">
        <v>215</v>
      </c>
      <c r="E438" s="2">
        <f>E419+E431-E435</f>
        <v>125317000</v>
      </c>
      <c r="F438" s="60" t="str">
        <f>"("&amp;A$419&amp;"+"&amp;A$431&amp;"-"&amp;A$435&amp;")"</f>
        <v>(419+431-435)</v>
      </c>
      <c r="H438" s="2">
        <f>H419+H431-H435</f>
        <v>125316999.99999999</v>
      </c>
      <c r="I438" s="2">
        <f t="shared" ref="I438:N438" si="1100">I419+I431-I435</f>
        <v>97109939.480845869</v>
      </c>
      <c r="J438" s="2">
        <f t="shared" si="1100"/>
        <v>23833867.659896486</v>
      </c>
      <c r="K438" s="2">
        <f t="shared" si="1100"/>
        <v>0</v>
      </c>
      <c r="L438" s="2">
        <f t="shared" si="1100"/>
        <v>639376.41895967908</v>
      </c>
      <c r="M438" s="2">
        <f t="shared" si="1100"/>
        <v>3733816.4402979673</v>
      </c>
      <c r="N438" s="2">
        <f t="shared" si="1100"/>
        <v>0</v>
      </c>
      <c r="P438" s="61" t="str">
        <f>$A419&amp;"+"&amp;$A431&amp;"-"&amp;$A435</f>
        <v>419+431-435</v>
      </c>
      <c r="Q438" s="61"/>
      <c r="R438" s="84"/>
      <c r="AK438" s="2"/>
      <c r="AL438" s="2"/>
      <c r="AM438" s="2"/>
      <c r="AN438" s="2"/>
      <c r="AO438" s="2"/>
      <c r="AQ438" s="61"/>
    </row>
    <row r="439" spans="1:67">
      <c r="A439" s="50">
        <f t="shared" si="1021"/>
        <v>439</v>
      </c>
      <c r="P439" s="61"/>
      <c r="Q439" s="61"/>
      <c r="AQ439" s="61"/>
    </row>
    <row r="440" spans="1:67">
      <c r="A440" s="50">
        <f t="shared" si="1021"/>
        <v>440</v>
      </c>
    </row>
    <row r="441" spans="1:67">
      <c r="A441" s="50">
        <f t="shared" si="1021"/>
        <v>441</v>
      </c>
      <c r="D441" s="30" t="s">
        <v>475</v>
      </c>
    </row>
    <row r="442" spans="1:67">
      <c r="A442" s="50">
        <f t="shared" si="1021"/>
        <v>442</v>
      </c>
      <c r="D442" s="28" t="s">
        <v>356</v>
      </c>
      <c r="E442" s="2">
        <f>E$445*IF(E$154,E150/E$154,0)</f>
        <v>-47855.104885006549</v>
      </c>
      <c r="H442" s="2">
        <f t="shared" ref="H442:N442" si="1101">H$445*IF(H$154,H150/H$154,0)</f>
        <v>-47855.104885006549</v>
      </c>
      <c r="I442" s="2">
        <f t="shared" si="1101"/>
        <v>-34158.532696499438</v>
      </c>
      <c r="J442" s="2">
        <f t="shared" si="1101"/>
        <v>-12751.328283661929</v>
      </c>
      <c r="K442" s="2">
        <f t="shared" si="1101"/>
        <v>0</v>
      </c>
      <c r="L442" s="2">
        <f>L$445*IF(L$154,L150/L$154,0)</f>
        <v>-347.24234482570358</v>
      </c>
      <c r="M442" s="2">
        <f t="shared" si="1101"/>
        <v>-601.0384045370356</v>
      </c>
      <c r="N442" s="2">
        <f t="shared" si="1101"/>
        <v>0</v>
      </c>
      <c r="AK442" s="2">
        <f>AK$445*IF(AK$154,AK150/AK$154,0)</f>
        <v>-47855.104885006549</v>
      </c>
      <c r="AL442" s="2">
        <f>AL$445*IF(AL$154,AL150/AL$154,0)</f>
        <v>-47955.923436523146</v>
      </c>
      <c r="AM442" s="2">
        <f>AM$445*IF(AM$154,AM150/AM$154,0)</f>
        <v>0</v>
      </c>
      <c r="AN442" s="2">
        <f>AN$445*IF(AN$154,AN150/AN$154,0)</f>
        <v>0</v>
      </c>
      <c r="AO442" s="2">
        <f>AO$445*IF(AO$154,AO150/AO$154,0)</f>
        <v>0</v>
      </c>
    </row>
    <row r="443" spans="1:67">
      <c r="A443" s="50">
        <f t="shared" si="1021"/>
        <v>443</v>
      </c>
      <c r="D443" s="28" t="s">
        <v>118</v>
      </c>
      <c r="E443" s="2">
        <f>E$445*IF(E$154,(E151+E152)/E$154,0)</f>
        <v>-539857.58583433146</v>
      </c>
      <c r="H443" s="2">
        <f t="shared" ref="H443:N443" si="1102">H$445*IF(H$154,(H151+H152)/H$154,0)</f>
        <v>-539857.58583433146</v>
      </c>
      <c r="I443" s="2">
        <f t="shared" si="1102"/>
        <v>-401392.73873961164</v>
      </c>
      <c r="J443" s="2">
        <f t="shared" si="1102"/>
        <v>-106697.33597961502</v>
      </c>
      <c r="K443" s="2">
        <f t="shared" si="1102"/>
        <v>0</v>
      </c>
      <c r="L443" s="2">
        <f t="shared" si="1102"/>
        <v>-2631.0082759966385</v>
      </c>
      <c r="M443" s="2">
        <f t="shared" si="1102"/>
        <v>-29141.526368725754</v>
      </c>
      <c r="N443" s="2">
        <f t="shared" si="1102"/>
        <v>0</v>
      </c>
      <c r="AK443" s="2">
        <f>AK$445*IF(AK$154,(AK151+AK152)/AK$154,0)</f>
        <v>-539857.58583433146</v>
      </c>
      <c r="AL443" s="2">
        <f>AL$445*IF(AL$154,(AL151+AL152)/AL$154,0)</f>
        <v>-107434.63376165084</v>
      </c>
      <c r="AM443" s="2">
        <f>AM$445*IF(AM$154,(AM151+AM152)/AM$154,0)</f>
        <v>-172337.64645482739</v>
      </c>
      <c r="AN443" s="2">
        <f>AN$445*IF(AN$154,(AN151+AN152)/AN$154,0)</f>
        <v>-260027.03441295499</v>
      </c>
      <c r="AO443" s="2">
        <f>AO$445*IF(AO$154,(AO151+AO152)/AO$154,0)</f>
        <v>0</v>
      </c>
    </row>
    <row r="444" spans="1:67">
      <c r="A444" s="50">
        <f t="shared" si="1021"/>
        <v>444</v>
      </c>
      <c r="D444" s="28" t="s">
        <v>147</v>
      </c>
      <c r="E444" s="2">
        <f>E$445*IF(E$154,E153/E$154,0)</f>
        <v>-127287.30928066206</v>
      </c>
      <c r="H444" s="2">
        <f t="shared" ref="H444:N444" si="1103">H$445*IF(H$154,H153/H$154,0)</f>
        <v>-127287.30928066208</v>
      </c>
      <c r="I444" s="2">
        <f t="shared" si="1103"/>
        <v>-105797.90122767726</v>
      </c>
      <c r="J444" s="2">
        <f t="shared" si="1103"/>
        <v>-17188.408875690035</v>
      </c>
      <c r="K444" s="2">
        <f t="shared" si="1103"/>
        <v>0</v>
      </c>
      <c r="L444" s="2">
        <f t="shared" si="1103"/>
        <v>-417.82549029833876</v>
      </c>
      <c r="M444" s="2">
        <f t="shared" si="1103"/>
        <v>-3875.1133128612742</v>
      </c>
      <c r="N444" s="2">
        <f t="shared" si="1103"/>
        <v>0</v>
      </c>
      <c r="AK444" s="2">
        <f>AK$445*IF(AK$154,AK153/AK$154,0)</f>
        <v>-127287.30928066206</v>
      </c>
      <c r="AL444" s="2">
        <f>AL$445*IF(AL$154,AL153/AL$154,0)</f>
        <v>-23507.314197395481</v>
      </c>
      <c r="AM444" s="2">
        <f>AM$445*IF(AM$154,AM153/AM$154,0)</f>
        <v>-21896.711179155824</v>
      </c>
      <c r="AN444" s="2">
        <f>AN$445*IF(AN$154,AN153/AN$154,0)</f>
        <v>-81840.736557492317</v>
      </c>
      <c r="AO444" s="2">
        <f>AO$445*IF(AO$154,AO153/AO$154,0)</f>
        <v>2.1532932664696014E-13</v>
      </c>
    </row>
    <row r="445" spans="1:67">
      <c r="A445" s="50">
        <f t="shared" si="1021"/>
        <v>445</v>
      </c>
      <c r="C445" s="36" t="s">
        <v>467</v>
      </c>
      <c r="D445" s="52" t="s">
        <v>476</v>
      </c>
      <c r="E445" s="4">
        <f>SUMIF($C$174:$C$435,$C445,E$174:E$435)</f>
        <v>-715000</v>
      </c>
      <c r="H445" s="4">
        <f t="shared" ref="H445:N445" si="1104">SUMIF($C$174:$C$435,$C445,H$174:H$435)</f>
        <v>-715000</v>
      </c>
      <c r="I445" s="4">
        <f t="shared" si="1104"/>
        <v>-541349.17266378831</v>
      </c>
      <c r="J445" s="4">
        <f t="shared" si="1104"/>
        <v>-136637.07313896698</v>
      </c>
      <c r="K445" s="4">
        <f t="shared" si="1104"/>
        <v>0</v>
      </c>
      <c r="L445" s="4">
        <f t="shared" si="1104"/>
        <v>-3396.0761111206812</v>
      </c>
      <c r="M445" s="4">
        <f t="shared" si="1104"/>
        <v>-33617.678086124062</v>
      </c>
      <c r="N445" s="4">
        <f t="shared" si="1104"/>
        <v>0</v>
      </c>
      <c r="AK445" s="4">
        <f>SUMIF($C$174:$C$435,$C445,AK$174:AK$435)</f>
        <v>-715000</v>
      </c>
      <c r="AL445" s="4">
        <f>SUMIF($C$174:$C$435,$C445,AL$174:AL$435)</f>
        <v>-178897.87139556947</v>
      </c>
      <c r="AM445" s="4">
        <f>SUMIF($C$174:$C$435,$C445,AM$174:AM$435)</f>
        <v>-194234.35763398325</v>
      </c>
      <c r="AN445" s="4">
        <f>SUMIF($C$174:$C$435,$C445,AN$174:AN$435)</f>
        <v>-341867.77097044728</v>
      </c>
      <c r="AO445" s="4">
        <f>SUMIF($C$174:$C$435,$C445,AO$174:AO$435)</f>
        <v>2.1532932664696014E-13</v>
      </c>
    </row>
    <row r="446" spans="1:67">
      <c r="A446" s="50">
        <f t="shared" si="1021"/>
        <v>446</v>
      </c>
      <c r="H446" s="33">
        <f>H445-$E445</f>
        <v>0</v>
      </c>
      <c r="AK446" s="33">
        <f>AK445-$E445</f>
        <v>0</v>
      </c>
    </row>
    <row r="447" spans="1:67">
      <c r="A447" s="50">
        <f t="shared" si="1021"/>
        <v>447</v>
      </c>
      <c r="G447" s="60"/>
    </row>
    <row r="448" spans="1:67">
      <c r="A448" s="50">
        <f t="shared" si="1021"/>
        <v>448</v>
      </c>
    </row>
    <row r="449" spans="1:1">
      <c r="A449" s="50">
        <f t="shared" si="1021"/>
        <v>449</v>
      </c>
    </row>
    <row r="450" spans="1:1">
      <c r="A450" s="50">
        <f t="shared" si="1021"/>
        <v>450</v>
      </c>
    </row>
  </sheetData>
  <phoneticPr fontId="8" type="noConversion"/>
  <conditionalFormatting sqref="AK436 AK446 H436 H409 H411 H420 H446 BR345:CM345 AK160 AK142 AK155 H353 H345:I345 H159:H160 H142 H148 H155">
    <cfRule type="expression" dxfId="11" priority="8" stopIfTrue="1">
      <formula>ABS(H142)&gt;1</formula>
    </cfRule>
  </conditionalFormatting>
  <conditionalFormatting sqref="CL177:CL344 AI117:AI170 AI172:AI435 AI7:AI115">
    <cfRule type="cellIs" dxfId="10" priority="9" stopIfTrue="1" operator="equal">
      <formula>1</formula>
    </cfRule>
  </conditionalFormatting>
  <conditionalFormatting sqref="E436">
    <cfRule type="cellIs" dxfId="9" priority="7" operator="notEqual">
      <formula>0</formula>
    </cfRule>
  </conditionalFormatting>
  <conditionalFormatting sqref="E59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E134">
    <cfRule type="expression" dxfId="6" priority="1">
      <formula>"&lt;&gt;0"</formula>
    </cfRule>
  </conditionalFormatting>
  <pageMargins left="0.5" right="0.5" top="0.5" bottom="0.5" header="0.25" footer="0.25"/>
  <pageSetup scale="69" firstPageNumber="31" fitToHeight="3" orientation="landscape" useFirstPageNumber="1" r:id="rId1"/>
  <headerFooter alignWithMargins="0">
    <oddHeader>&amp;LAVISTA UTILITIES --  Base Case
Pro-Forma Labor Expense&amp;RWA Gas</oddHeader>
    <oddFooter>&amp;LAvista - WA Cost of Service (NG) - Base Case.xlsm  Detail&amp;C4/24/2019&amp;RPage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r:id="rId4" name="Button 481">
              <controlPr defaultSize="0" print="0" autoFill="0" autoPict="0" macro="[0]!Print_RB1_and_RB2">
                <anchor moveWithCells="1" sizeWithCells="1">
                  <from>
                    <xdr:col>1</xdr:col>
                    <xdr:colOff>9525</xdr:colOff>
                    <xdr:row>6</xdr:row>
                    <xdr:rowOff>47625</xdr:rowOff>
                  </from>
                  <to>
                    <xdr:col>1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" name="Button 483">
              <controlPr defaultSize="0" print="0" autoFill="0" autoPict="0" macro="[0]!Print_RB3_and_RB4">
                <anchor moveWithCells="1" sizeWithCells="1">
                  <from>
                    <xdr:col>36</xdr:col>
                    <xdr:colOff>9525</xdr:colOff>
                    <xdr:row>6</xdr:row>
                    <xdr:rowOff>47625</xdr:rowOff>
                  </from>
                  <to>
                    <xdr:col>36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6" name="Button 485">
              <controlPr defaultSize="0" print="0" autoFill="0" autoPict="0" macro="[0]!Print_RR1_and_RR2">
                <anchor moveWithCells="1" sizeWithCells="1">
                  <from>
                    <xdr:col>1</xdr:col>
                    <xdr:colOff>9525</xdr:colOff>
                    <xdr:row>168</xdr:row>
                    <xdr:rowOff>47625</xdr:rowOff>
                  </from>
                  <to>
                    <xdr:col>1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" name="Button 496">
              <controlPr defaultSize="0" print="0" autoFill="0" autoPict="0" macro="[0]!Print_RR3_and_RR4">
                <anchor moveWithCells="1" sizeWithCells="1">
                  <from>
                    <xdr:col>36</xdr:col>
                    <xdr:colOff>9525</xdr:colOff>
                    <xdr:row>168</xdr:row>
                    <xdr:rowOff>47625</xdr:rowOff>
                  </from>
                  <to>
                    <xdr:col>36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8" name="Button 497">
              <controlPr defaultSize="0" print="0" autoFill="0" autoPict="0" macro="[0]!Print_RR5_and_RR6">
                <anchor moveWithCells="1" sizeWithCells="1">
                  <from>
                    <xdr:col>68</xdr:col>
                    <xdr:colOff>9525</xdr:colOff>
                    <xdr:row>168</xdr:row>
                    <xdr:rowOff>47625</xdr:rowOff>
                  </from>
                  <to>
                    <xdr:col>68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  <pageSetUpPr fitToPage="1"/>
  </sheetPr>
  <dimension ref="A1:R534"/>
  <sheetViews>
    <sheetView topLeftCell="A49" zoomScaleNormal="100" workbookViewId="0">
      <selection activeCell="D56" sqref="D56"/>
    </sheetView>
  </sheetViews>
  <sheetFormatPr defaultRowHeight="12.75"/>
  <cols>
    <col min="1" max="1" width="4.7109375" style="50" customWidth="1"/>
    <col min="2" max="2" width="37.140625" customWidth="1"/>
    <col min="3" max="5" width="12.7109375" customWidth="1"/>
    <col min="6" max="6" width="12.7109375" hidden="1" customWidth="1"/>
    <col min="7" max="8" width="12.7109375" customWidth="1"/>
    <col min="9" max="9" width="12.7109375" hidden="1" customWidth="1"/>
    <col min="10" max="10" width="1.7109375" customWidth="1"/>
    <col min="11" max="11" width="23.28515625" bestFit="1" customWidth="1"/>
    <col min="12" max="12" width="15.85546875" bestFit="1" customWidth="1"/>
    <col min="13" max="13" width="11.42578125" customWidth="1"/>
    <col min="14" max="14" width="9.42578125" customWidth="1"/>
    <col min="15" max="15" width="12.85546875" customWidth="1"/>
    <col min="16" max="16" width="11.42578125" customWidth="1"/>
    <col min="17" max="17" width="10.42578125" customWidth="1"/>
  </cols>
  <sheetData>
    <row r="1" spans="1:12">
      <c r="A1" s="50" t="str">
        <f>ColHdr</f>
        <v>A</v>
      </c>
      <c r="B1" s="50" t="str">
        <f t="shared" ref="B1:L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</row>
    <row r="2" spans="1:12">
      <c r="A2" s="50">
        <f>Pg1Row+ROW(A2)</f>
        <v>452</v>
      </c>
      <c r="B2" s="55"/>
    </row>
    <row r="3" spans="1:12">
      <c r="A3" s="50">
        <f t="shared" ref="A3:A69" si="1">Pg1Row+ROW(A3)</f>
        <v>453</v>
      </c>
    </row>
    <row r="4" spans="1:12">
      <c r="A4" s="50">
        <f t="shared" si="1"/>
        <v>454</v>
      </c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982</v>
      </c>
      <c r="H4" s="34" t="s">
        <v>401</v>
      </c>
      <c r="I4" s="34" t="s">
        <v>281</v>
      </c>
      <c r="J4" s="34"/>
      <c r="K4" s="64" t="s">
        <v>229</v>
      </c>
    </row>
    <row r="5" spans="1:12">
      <c r="A5" s="50">
        <f t="shared" si="1"/>
        <v>455</v>
      </c>
      <c r="B5" t="s">
        <v>84</v>
      </c>
      <c r="K5" s="65"/>
    </row>
    <row r="6" spans="1:12">
      <c r="A6" s="50">
        <f t="shared" si="1"/>
        <v>456</v>
      </c>
      <c r="B6" s="28" t="s">
        <v>236</v>
      </c>
      <c r="C6" s="2">
        <f>Detail!H24</f>
        <v>38438000</v>
      </c>
      <c r="D6" s="2">
        <f>Detail!I24</f>
        <v>27442504.293752149</v>
      </c>
      <c r="E6" s="2">
        <f>Detail!J24</f>
        <v>10234143.16536694</v>
      </c>
      <c r="F6" s="2">
        <f>Detail!K24</f>
        <v>0</v>
      </c>
      <c r="G6" s="2">
        <f>Detail!L24</f>
        <v>278675.4956752857</v>
      </c>
      <c r="H6" s="2">
        <f>Detail!M24</f>
        <v>482677.04520562413</v>
      </c>
      <c r="I6" s="2">
        <f>Detail!N24</f>
        <v>0</v>
      </c>
      <c r="J6" s="2"/>
      <c r="K6" s="68">
        <f>Detail!A$24</f>
        <v>24</v>
      </c>
    </row>
    <row r="7" spans="1:12">
      <c r="A7" s="50">
        <f t="shared" si="1"/>
        <v>457</v>
      </c>
      <c r="B7" s="28" t="s">
        <v>90</v>
      </c>
      <c r="C7" s="2">
        <f>Detail!H41</f>
        <v>744315000</v>
      </c>
      <c r="D7" s="2">
        <f>Detail!I41</f>
        <v>558705304.63832831</v>
      </c>
      <c r="E7" s="2">
        <f>Detail!J41</f>
        <v>142901365.54024953</v>
      </c>
      <c r="F7" s="2">
        <f>Detail!K41</f>
        <v>0</v>
      </c>
      <c r="G7" s="2">
        <f>Detail!L41</f>
        <v>3527365.2922076546</v>
      </c>
      <c r="H7" s="2">
        <f>Detail!M41</f>
        <v>39180964.529214457</v>
      </c>
      <c r="I7" s="2">
        <f>Detail!N41</f>
        <v>0</v>
      </c>
      <c r="J7" s="2"/>
      <c r="K7" s="68">
        <f>Detail!A$41</f>
        <v>41</v>
      </c>
    </row>
    <row r="8" spans="1:12">
      <c r="A8" s="50">
        <f t="shared" si="1"/>
        <v>458</v>
      </c>
      <c r="B8" s="28" t="s">
        <v>85</v>
      </c>
      <c r="C8" s="2">
        <f>Detail!H13</f>
        <v>49302000.000000007</v>
      </c>
      <c r="D8" s="2">
        <f>Detail!I13</f>
        <v>41318267.937148087</v>
      </c>
      <c r="E8" s="2">
        <f>Detail!J13</f>
        <v>6424759.0358155649</v>
      </c>
      <c r="F8" s="2">
        <f>Detail!K13</f>
        <v>0</v>
      </c>
      <c r="G8" s="2">
        <f>Detail!L13</f>
        <v>155254.44683176337</v>
      </c>
      <c r="H8" s="2">
        <f>Detail!M13</f>
        <v>1403718.5802045818</v>
      </c>
      <c r="I8" s="2">
        <f>Detail!N13</f>
        <v>0</v>
      </c>
      <c r="J8" s="2"/>
      <c r="K8" s="68">
        <f>Detail!A$13</f>
        <v>13</v>
      </c>
    </row>
    <row r="9" spans="1:12">
      <c r="A9" s="50">
        <f t="shared" si="1"/>
        <v>459</v>
      </c>
      <c r="B9" s="28" t="s">
        <v>93</v>
      </c>
      <c r="C9" s="2">
        <f>Detail!H56</f>
        <v>120121000</v>
      </c>
      <c r="D9" s="2">
        <f>Detail!I56</f>
        <v>101108388.34970611</v>
      </c>
      <c r="E9" s="2">
        <f>Detail!J56</f>
        <v>15343672.553106109</v>
      </c>
      <c r="F9" s="2">
        <f>Detail!K56</f>
        <v>0</v>
      </c>
      <c r="G9" s="2">
        <f>Detail!L56</f>
        <v>370279.75496893842</v>
      </c>
      <c r="H9" s="2">
        <f>Detail!M56</f>
        <v>3298659.3422188326</v>
      </c>
      <c r="I9" s="2">
        <f>Detail!N56</f>
        <v>0</v>
      </c>
      <c r="J9" s="2"/>
      <c r="K9" s="68">
        <f>Detail!A$56</f>
        <v>56</v>
      </c>
    </row>
    <row r="10" spans="1:12">
      <c r="A10" s="50">
        <f t="shared" si="1"/>
        <v>460</v>
      </c>
      <c r="B10" s="52" t="s">
        <v>103</v>
      </c>
      <c r="C10" s="4">
        <f>Detail!H58</f>
        <v>952176000</v>
      </c>
      <c r="D10" s="4">
        <f>Detail!I58</f>
        <v>728574465.21893477</v>
      </c>
      <c r="E10" s="4">
        <f>Detail!J58</f>
        <v>174903940.29453814</v>
      </c>
      <c r="F10" s="4">
        <f>Detail!K58</f>
        <v>0</v>
      </c>
      <c r="G10" s="4">
        <f>Detail!L58</f>
        <v>4331574.9896836421</v>
      </c>
      <c r="H10" s="4">
        <f>Detail!M58</f>
        <v>44366019.496843494</v>
      </c>
      <c r="I10" s="4">
        <f>Detail!N58</f>
        <v>0</v>
      </c>
      <c r="J10" s="5"/>
      <c r="K10" s="68">
        <f>Detail!A58</f>
        <v>58</v>
      </c>
      <c r="L10" s="402"/>
    </row>
    <row r="11" spans="1:12">
      <c r="A11" s="50">
        <f t="shared" si="1"/>
        <v>461</v>
      </c>
      <c r="C11" s="33">
        <f t="shared" ref="C11:I11" si="2">ABS(ROUND(SUM(C6:C9)-C10,0))</f>
        <v>0</v>
      </c>
      <c r="D11" s="33">
        <f t="shared" si="2"/>
        <v>0</v>
      </c>
      <c r="E11" s="33">
        <f t="shared" si="2"/>
        <v>0</v>
      </c>
      <c r="F11" s="33">
        <f t="shared" si="2"/>
        <v>0</v>
      </c>
      <c r="G11" s="33">
        <f t="shared" si="2"/>
        <v>0</v>
      </c>
      <c r="H11" s="33">
        <f t="shared" si="2"/>
        <v>0</v>
      </c>
      <c r="I11" s="33">
        <f t="shared" si="2"/>
        <v>0</v>
      </c>
      <c r="J11" s="33"/>
      <c r="K11" s="70"/>
    </row>
    <row r="12" spans="1:12">
      <c r="A12" s="50">
        <f t="shared" si="1"/>
        <v>462</v>
      </c>
      <c r="B12" t="s">
        <v>136</v>
      </c>
      <c r="K12" s="71"/>
    </row>
    <row r="13" spans="1:12">
      <c r="A13" s="50">
        <f t="shared" si="1"/>
        <v>463</v>
      </c>
      <c r="B13" s="28" t="s">
        <v>236</v>
      </c>
      <c r="C13" s="2">
        <f>Detail!H71</f>
        <v>-14494000</v>
      </c>
      <c r="D13" s="2">
        <f>Detail!I71</f>
        <v>-10347875.988179501</v>
      </c>
      <c r="E13" s="2">
        <f>Detail!J71</f>
        <v>-3859037.1777623305</v>
      </c>
      <c r="F13" s="2">
        <f>Detail!K71</f>
        <v>0</v>
      </c>
      <c r="G13" s="2">
        <f>Detail!L71</f>
        <v>-105081.49836925935</v>
      </c>
      <c r="H13" s="2">
        <f>Detail!M71</f>
        <v>-182005.33568890986</v>
      </c>
      <c r="I13" s="2">
        <f>Detail!N71</f>
        <v>0</v>
      </c>
      <c r="J13" s="2"/>
      <c r="K13" s="68">
        <f>Detail!A$71</f>
        <v>71</v>
      </c>
    </row>
    <row r="14" spans="1:12">
      <c r="A14" s="50">
        <f t="shared" si="1"/>
        <v>464</v>
      </c>
      <c r="B14" s="28" t="s">
        <v>90</v>
      </c>
      <c r="C14" s="2">
        <f>Detail!H87</f>
        <v>-226474000</v>
      </c>
      <c r="D14" s="2">
        <f>Detail!I87</f>
        <v>-173139142.77683884</v>
      </c>
      <c r="E14" s="2">
        <f>Detail!J87</f>
        <v>-40999266.576714762</v>
      </c>
      <c r="F14" s="2">
        <f>Detail!K87</f>
        <v>0</v>
      </c>
      <c r="G14" s="2">
        <f>Detail!L87</f>
        <v>-1014430.4809833812</v>
      </c>
      <c r="H14" s="2">
        <f>Detail!M87</f>
        <v>-11321160.165463034</v>
      </c>
      <c r="I14" s="2">
        <f>Detail!N87</f>
        <v>0</v>
      </c>
      <c r="J14" s="2"/>
      <c r="K14" s="68">
        <f>Detail!A$87</f>
        <v>87</v>
      </c>
    </row>
    <row r="15" spans="1:12">
      <c r="A15" s="50">
        <f t="shared" si="1"/>
        <v>465</v>
      </c>
      <c r="B15" s="28" t="s">
        <v>85</v>
      </c>
      <c r="C15" s="2">
        <f>Detail!H110</f>
        <v>-26517000</v>
      </c>
      <c r="D15" s="2">
        <f>Detail!I110</f>
        <v>-22220813.204982858</v>
      </c>
      <c r="E15" s="2">
        <f>Detail!J110</f>
        <v>-3457062.4334297739</v>
      </c>
      <c r="F15" s="2">
        <f>Detail!K110</f>
        <v>0</v>
      </c>
      <c r="G15" s="2">
        <f>Detail!L110</f>
        <v>-83542.440796185547</v>
      </c>
      <c r="H15" s="2">
        <f>Detail!M110</f>
        <v>-755581.92079118476</v>
      </c>
      <c r="I15" s="2">
        <f>Detail!N110</f>
        <v>0</v>
      </c>
      <c r="J15" s="2"/>
      <c r="K15" s="68">
        <f>Detail!A$110</f>
        <v>110</v>
      </c>
    </row>
    <row r="16" spans="1:12">
      <c r="A16" s="50">
        <f t="shared" si="1"/>
        <v>466</v>
      </c>
      <c r="B16" s="28" t="s">
        <v>93</v>
      </c>
      <c r="C16" s="2">
        <f>Detail!H102</f>
        <v>-45399000</v>
      </c>
      <c r="D16" s="2">
        <f>Detail!I102</f>
        <v>-38213299.278962947</v>
      </c>
      <c r="E16" s="2">
        <f>Detail!J102</f>
        <v>-5799047.5457119429</v>
      </c>
      <c r="F16" s="2">
        <f>Detail!K102</f>
        <v>0</v>
      </c>
      <c r="G16" s="2">
        <f>Detail!L102</f>
        <v>-139944.97711336764</v>
      </c>
      <c r="H16" s="2">
        <f>Detail!M102</f>
        <v>-1246708.198211743</v>
      </c>
      <c r="I16" s="2">
        <f>Detail!N102</f>
        <v>0</v>
      </c>
      <c r="J16" s="2"/>
      <c r="K16" s="68">
        <f>Detail!A$102</f>
        <v>102</v>
      </c>
    </row>
    <row r="17" spans="1:13">
      <c r="A17" s="50">
        <f t="shared" si="1"/>
        <v>467</v>
      </c>
      <c r="B17" s="52" t="s">
        <v>173</v>
      </c>
      <c r="C17" s="4">
        <f>Detail!H112</f>
        <v>-312884000</v>
      </c>
      <c r="D17" s="4">
        <f>Detail!I112</f>
        <v>-243921131.24896413</v>
      </c>
      <c r="E17" s="4">
        <f>Detail!J112</f>
        <v>-54114413.733618811</v>
      </c>
      <c r="F17" s="4">
        <f>Detail!K112</f>
        <v>0</v>
      </c>
      <c r="G17" s="4">
        <f>Detail!L112</f>
        <v>-1342999.3972621935</v>
      </c>
      <c r="H17" s="4">
        <f>Detail!M112</f>
        <v>-13505455.620154871</v>
      </c>
      <c r="I17" s="4">
        <f>Detail!N112</f>
        <v>0</v>
      </c>
      <c r="J17" s="5"/>
      <c r="K17" s="68">
        <f>Detail!A112</f>
        <v>112</v>
      </c>
    </row>
    <row r="18" spans="1:13">
      <c r="A18" s="50">
        <f t="shared" si="1"/>
        <v>468</v>
      </c>
      <c r="C18" s="33">
        <f t="shared" ref="C18:I18" si="3">ABS(ROUND(SUM(C13:C16)-C17,0))</f>
        <v>0</v>
      </c>
      <c r="D18" s="33">
        <f t="shared" si="3"/>
        <v>0</v>
      </c>
      <c r="E18" s="33">
        <f t="shared" si="3"/>
        <v>0</v>
      </c>
      <c r="F18" s="33">
        <f t="shared" si="3"/>
        <v>0</v>
      </c>
      <c r="G18" s="33">
        <f t="shared" si="3"/>
        <v>0</v>
      </c>
      <c r="H18" s="33">
        <f t="shared" si="3"/>
        <v>0</v>
      </c>
      <c r="I18" s="33">
        <f t="shared" si="3"/>
        <v>0</v>
      </c>
      <c r="J18" s="33"/>
      <c r="K18" s="70"/>
    </row>
    <row r="19" spans="1:13">
      <c r="A19" s="50">
        <f t="shared" si="1"/>
        <v>469</v>
      </c>
      <c r="B19" t="s">
        <v>137</v>
      </c>
      <c r="C19" s="2">
        <f t="shared" ref="C19:I19" si="4">C10+C17</f>
        <v>639292000</v>
      </c>
      <c r="D19" s="2">
        <f t="shared" si="4"/>
        <v>484653333.96997064</v>
      </c>
      <c r="E19" s="2">
        <f t="shared" si="4"/>
        <v>120789526.56091933</v>
      </c>
      <c r="F19" s="2">
        <f t="shared" si="4"/>
        <v>0</v>
      </c>
      <c r="G19" s="2">
        <f t="shared" si="4"/>
        <v>2988575.5924214488</v>
      </c>
      <c r="H19" s="2">
        <f>H10+H17</f>
        <v>30860563.876688622</v>
      </c>
      <c r="I19" s="2">
        <f t="shared" si="4"/>
        <v>0</v>
      </c>
      <c r="J19" s="2"/>
      <c r="K19" s="68" t="str">
        <f>A10&amp;"+"&amp;A17</f>
        <v>460+467</v>
      </c>
    </row>
    <row r="20" spans="1:13">
      <c r="A20" s="50">
        <f t="shared" si="1"/>
        <v>470</v>
      </c>
      <c r="B20" t="s">
        <v>138</v>
      </c>
      <c r="C20" s="2">
        <f>Detail!H119</f>
        <v>-85961000</v>
      </c>
      <c r="D20" s="2">
        <f>Detail!I119</f>
        <v>-65774593.777500004</v>
      </c>
      <c r="E20" s="2">
        <f>Detail!J119</f>
        <v>-15790061.513479434</v>
      </c>
      <c r="F20" s="2">
        <f>Detail!K119</f>
        <v>0</v>
      </c>
      <c r="G20" s="2">
        <f>Detail!L119</f>
        <v>-391047.99710158154</v>
      </c>
      <c r="H20" s="2">
        <f>Detail!M119</f>
        <v>-4005296.7119189776</v>
      </c>
      <c r="I20" s="2">
        <f>Detail!N119</f>
        <v>0</v>
      </c>
      <c r="J20" s="2"/>
      <c r="K20" s="68">
        <f>Detail!A$119</f>
        <v>119</v>
      </c>
    </row>
    <row r="21" spans="1:13">
      <c r="A21" s="50">
        <f t="shared" si="1"/>
        <v>471</v>
      </c>
      <c r="B21" t="s">
        <v>139</v>
      </c>
      <c r="C21" s="2">
        <f>Detail!H130-C20</f>
        <v>32753000</v>
      </c>
      <c r="D21" s="2">
        <f>Detail!I130-D20</f>
        <v>24864040.942471638</v>
      </c>
      <c r="E21" s="2">
        <f>Detail!J130-E20</f>
        <v>7001657.1533689424</v>
      </c>
      <c r="F21" s="2">
        <f>Detail!K130-F20</f>
        <v>0</v>
      </c>
      <c r="G21" s="2">
        <f>Detail!L130-G20</f>
        <v>186228.86833055847</v>
      </c>
      <c r="H21" s="2">
        <f>Detail!M130-H20</f>
        <v>701073.03582886606</v>
      </c>
      <c r="I21" s="2">
        <f>Detail!N130-I20</f>
        <v>0</v>
      </c>
      <c r="J21" s="2"/>
      <c r="K21" s="68" t="str">
        <f>Detail!A$130&amp;"-"&amp;A20</f>
        <v>130-470</v>
      </c>
    </row>
    <row r="22" spans="1:13">
      <c r="A22" s="50">
        <f t="shared" si="1"/>
        <v>472</v>
      </c>
      <c r="B22" s="368" t="s">
        <v>110</v>
      </c>
      <c r="C22" s="97">
        <f>IF(ROUND(Detail!H132,3)&lt;&gt;ROUND(SUM(D22:I22),3),#VALUE!,SUM(D22:I22))</f>
        <v>586084000.00000012</v>
      </c>
      <c r="D22" s="97">
        <f>Detail!I132</f>
        <v>443742781.13494229</v>
      </c>
      <c r="E22" s="97">
        <f>Detail!J132</f>
        <v>112001122.20080884</v>
      </c>
      <c r="F22" s="97">
        <f>Detail!K132</f>
        <v>0</v>
      </c>
      <c r="G22" s="97">
        <f>Detail!L132</f>
        <v>2783756.4636504259</v>
      </c>
      <c r="H22" s="97">
        <f>Detail!M132</f>
        <v>27556340.200598512</v>
      </c>
      <c r="I22" s="4">
        <f>Detail!N132</f>
        <v>0</v>
      </c>
      <c r="J22" s="5"/>
      <c r="K22" s="69">
        <f>Detail!A132</f>
        <v>132</v>
      </c>
    </row>
    <row r="23" spans="1:13">
      <c r="A23" s="50">
        <f t="shared" si="1"/>
        <v>473</v>
      </c>
      <c r="B23" s="131"/>
      <c r="C23" s="435">
        <f t="shared" ref="C23:I23" si="5">ABS(ROUND(SUM(C19:C21)-C22,0))</f>
        <v>0</v>
      </c>
      <c r="D23" s="435">
        <f t="shared" si="5"/>
        <v>0</v>
      </c>
      <c r="E23" s="435">
        <f t="shared" si="5"/>
        <v>0</v>
      </c>
      <c r="F23" s="435">
        <f t="shared" si="5"/>
        <v>0</v>
      </c>
      <c r="G23" s="435">
        <f t="shared" si="5"/>
        <v>0</v>
      </c>
      <c r="H23" s="435">
        <f t="shared" si="5"/>
        <v>0</v>
      </c>
      <c r="I23" s="33">
        <f t="shared" si="5"/>
        <v>0</v>
      </c>
      <c r="J23" s="33"/>
      <c r="K23" s="70"/>
    </row>
    <row r="24" spans="1:13">
      <c r="A24" s="50">
        <f t="shared" si="1"/>
        <v>474</v>
      </c>
      <c r="B24" s="131" t="s">
        <v>140</v>
      </c>
      <c r="C24" s="82">
        <f>-Detail!H422</f>
        <v>125316999.99999999</v>
      </c>
      <c r="D24" s="82">
        <f>-Detail!I422</f>
        <v>97109939.480845869</v>
      </c>
      <c r="E24" s="82">
        <f>-Detail!J422</f>
        <v>23833867.659896482</v>
      </c>
      <c r="F24" s="82">
        <f>-Detail!K422</f>
        <v>0</v>
      </c>
      <c r="G24" s="82">
        <f>-Detail!L422</f>
        <v>639376.41895967908</v>
      </c>
      <c r="H24" s="82">
        <f>-Detail!M422</f>
        <v>3733816.4402979673</v>
      </c>
      <c r="I24" s="2">
        <f>-Detail!N422</f>
        <v>0</v>
      </c>
      <c r="J24" s="2"/>
      <c r="K24" s="68">
        <f>Detail!A$422</f>
        <v>422</v>
      </c>
    </row>
    <row r="25" spans="1:13">
      <c r="A25" s="50">
        <f t="shared" si="1"/>
        <v>475</v>
      </c>
      <c r="B25" s="131" t="s">
        <v>79</v>
      </c>
      <c r="C25" s="82">
        <f>C26-C24</f>
        <v>2377000</v>
      </c>
      <c r="D25" s="82">
        <f t="shared" ref="D25:I25" si="6">D26-D24</f>
        <v>1728030.9144883901</v>
      </c>
      <c r="E25" s="82">
        <f t="shared" si="6"/>
        <v>578922.90219163895</v>
      </c>
      <c r="F25" s="82">
        <f t="shared" si="6"/>
        <v>0</v>
      </c>
      <c r="G25" s="82">
        <f t="shared" si="6"/>
        <v>15438.043152219383</v>
      </c>
      <c r="H25" s="82">
        <f>H26-H24</f>
        <v>54608.140167755075</v>
      </c>
      <c r="I25" s="2">
        <f t="shared" si="6"/>
        <v>0</v>
      </c>
      <c r="J25" s="2"/>
      <c r="K25" s="68" t="str">
        <f>A26&amp;"-"&amp;A24</f>
        <v>476-474</v>
      </c>
    </row>
    <row r="26" spans="1:13">
      <c r="A26" s="50">
        <f t="shared" si="1"/>
        <v>476</v>
      </c>
      <c r="B26" s="28" t="s">
        <v>174</v>
      </c>
      <c r="C26" s="4">
        <f>-Detail!H433</f>
        <v>127693999.99999999</v>
      </c>
      <c r="D26" s="4">
        <f>-Detail!I433</f>
        <v>98837970.395334259</v>
      </c>
      <c r="E26" s="4">
        <f>-Detail!J433</f>
        <v>24412790.562088121</v>
      </c>
      <c r="F26" s="4">
        <f>-Detail!K433</f>
        <v>0</v>
      </c>
      <c r="G26" s="4">
        <f>-Detail!L433</f>
        <v>654814.46211189847</v>
      </c>
      <c r="H26" s="4">
        <f>-Detail!M433</f>
        <v>3788424.5804657224</v>
      </c>
      <c r="I26" s="4">
        <f>-Detail!N433</f>
        <v>0</v>
      </c>
      <c r="J26" s="5"/>
      <c r="K26" s="68">
        <f>Detail!A$433</f>
        <v>433</v>
      </c>
    </row>
    <row r="27" spans="1:13">
      <c r="A27" s="50">
        <f t="shared" si="1"/>
        <v>477</v>
      </c>
      <c r="C27" s="33">
        <f>ABS(ROUND(C24+C25-C26,0))</f>
        <v>0</v>
      </c>
      <c r="D27" s="33">
        <f t="shared" ref="D27:I27" si="7">ABS(ROUND(D24+D25-D26,0))</f>
        <v>0</v>
      </c>
      <c r="E27" s="33">
        <f t="shared" si="7"/>
        <v>0</v>
      </c>
      <c r="F27" s="33">
        <f t="shared" si="7"/>
        <v>0</v>
      </c>
      <c r="G27" s="33">
        <f t="shared" si="7"/>
        <v>0</v>
      </c>
      <c r="H27" s="33">
        <f t="shared" si="7"/>
        <v>0</v>
      </c>
      <c r="I27" s="33">
        <f t="shared" si="7"/>
        <v>0</v>
      </c>
      <c r="J27" s="33"/>
      <c r="K27" s="70"/>
    </row>
    <row r="28" spans="1:13">
      <c r="A28" s="50">
        <f t="shared" si="1"/>
        <v>478</v>
      </c>
      <c r="B28" t="s">
        <v>141</v>
      </c>
      <c r="K28" s="71"/>
    </row>
    <row r="29" spans="1:13">
      <c r="A29" s="50">
        <f t="shared" si="1"/>
        <v>479</v>
      </c>
      <c r="B29" s="28" t="s">
        <v>454</v>
      </c>
      <c r="C29" s="2">
        <f>Detail!H180</f>
        <v>954000</v>
      </c>
      <c r="D29" s="2">
        <f>Detail!I180</f>
        <v>622132.43609979271</v>
      </c>
      <c r="E29" s="2">
        <f>Detail!J180</f>
        <v>295549.25864193542</v>
      </c>
      <c r="F29" s="2">
        <f>Detail!K180</f>
        <v>0</v>
      </c>
      <c r="G29" s="2">
        <f>Detail!L180</f>
        <v>11801.686954390076</v>
      </c>
      <c r="H29" s="2">
        <f>Detail!M180</f>
        <v>24516.618303881845</v>
      </c>
      <c r="I29" s="2">
        <f>Detail!N180</f>
        <v>0</v>
      </c>
      <c r="J29" s="2"/>
      <c r="K29" s="68">
        <f>Detail!A$180</f>
        <v>180</v>
      </c>
    </row>
    <row r="30" spans="1:13">
      <c r="A30" s="50">
        <f t="shared" si="1"/>
        <v>480</v>
      </c>
      <c r="B30" s="28" t="s">
        <v>287</v>
      </c>
      <c r="C30" s="2">
        <f>Detail!H204</f>
        <v>2299000.0000000005</v>
      </c>
      <c r="D30" s="2">
        <f>Detail!I204</f>
        <v>1641352.7595435819</v>
      </c>
      <c r="E30" s="2">
        <f>Detail!J204</f>
        <v>612110.28506110096</v>
      </c>
      <c r="F30" s="2">
        <f>Detail!K204</f>
        <v>0</v>
      </c>
      <c r="G30" s="2">
        <f>Detail!L204</f>
        <v>16667.749741336222</v>
      </c>
      <c r="H30" s="2">
        <f>Detail!M204</f>
        <v>28869.205653981218</v>
      </c>
      <c r="I30" s="2">
        <f>Detail!N204</f>
        <v>0</v>
      </c>
      <c r="J30" s="2"/>
      <c r="K30" s="68">
        <f>Detail!A$204</f>
        <v>204</v>
      </c>
    </row>
    <row r="31" spans="1:13">
      <c r="A31" s="50">
        <f t="shared" si="1"/>
        <v>481</v>
      </c>
      <c r="B31" s="28" t="s">
        <v>6</v>
      </c>
      <c r="C31" s="2">
        <f>Detail!H228</f>
        <v>13443000</v>
      </c>
      <c r="D31" s="2">
        <f>Detail!I228</f>
        <v>10618969.08146774</v>
      </c>
      <c r="E31" s="2">
        <f>Detail!J228</f>
        <v>2192734.9645105125</v>
      </c>
      <c r="F31" s="2">
        <f>Detail!K228</f>
        <v>0</v>
      </c>
      <c r="G31" s="2">
        <f>Detail!L228</f>
        <v>52265.278075835231</v>
      </c>
      <c r="H31" s="2">
        <f>Detail!M228</f>
        <v>579030.67594591272</v>
      </c>
      <c r="I31" s="2">
        <f>Detail!N228</f>
        <v>0</v>
      </c>
      <c r="J31" s="2"/>
      <c r="K31" s="68">
        <f>Detail!A$228</f>
        <v>228</v>
      </c>
    </row>
    <row r="32" spans="1:13">
      <c r="A32" s="50">
        <f t="shared" si="1"/>
        <v>482</v>
      </c>
      <c r="B32" s="28" t="s">
        <v>11</v>
      </c>
      <c r="C32" s="2">
        <f>Detail!H236</f>
        <v>4809000</v>
      </c>
      <c r="D32" s="2">
        <f>Detail!I236</f>
        <v>4637779.8324181437</v>
      </c>
      <c r="E32" s="2">
        <f>Detail!J236</f>
        <v>157285.21243832135</v>
      </c>
      <c r="F32" s="2">
        <f>Detail!K236</f>
        <v>0</v>
      </c>
      <c r="G32" s="2">
        <f>Detail!L236</f>
        <v>1964.3675050548752</v>
      </c>
      <c r="H32" s="2">
        <f>Detail!M236</f>
        <v>11970.587638479807</v>
      </c>
      <c r="I32" s="2">
        <f>Detail!N236</f>
        <v>0</v>
      </c>
      <c r="J32" s="2"/>
      <c r="K32" s="68">
        <f>Detail!A$236</f>
        <v>236</v>
      </c>
      <c r="M32" t="s">
        <v>707</v>
      </c>
    </row>
    <row r="33" spans="1:17">
      <c r="A33" s="50">
        <f t="shared" si="1"/>
        <v>483</v>
      </c>
      <c r="B33" s="28" t="s">
        <v>22</v>
      </c>
      <c r="C33" s="2">
        <f>Detail!H244</f>
        <v>899000</v>
      </c>
      <c r="D33" s="2">
        <f>Detail!I244</f>
        <v>881148.86547544354</v>
      </c>
      <c r="E33" s="2">
        <f>Detail!J244</f>
        <v>17636.924303691158</v>
      </c>
      <c r="F33" s="2">
        <f>Detail!K244</f>
        <v>0</v>
      </c>
      <c r="G33" s="2">
        <f>Detail!L244</f>
        <v>16.542967551984301</v>
      </c>
      <c r="H33" s="2">
        <f>Detail!M244</f>
        <v>197.66725331345339</v>
      </c>
      <c r="I33" s="2">
        <f>Detail!N244</f>
        <v>0</v>
      </c>
      <c r="J33" s="2"/>
      <c r="K33" s="68">
        <f>Detail!A$244</f>
        <v>244</v>
      </c>
    </row>
    <row r="34" spans="1:17">
      <c r="A34" s="50">
        <f t="shared" si="1"/>
        <v>484</v>
      </c>
      <c r="B34" s="28" t="s">
        <v>30</v>
      </c>
      <c r="C34" s="2">
        <f>Detail!H251</f>
        <v>1000.0000000000001</v>
      </c>
      <c r="D34" s="2">
        <f>Detail!I251</f>
        <v>980.14334313175027</v>
      </c>
      <c r="E34" s="2">
        <f>Detail!J251</f>
        <v>19.618380760501843</v>
      </c>
      <c r="F34" s="2">
        <f>Detail!K251</f>
        <v>0</v>
      </c>
      <c r="G34" s="2">
        <f>Detail!L251</f>
        <v>1.8401521192418575E-2</v>
      </c>
      <c r="H34" s="2">
        <f>Detail!M251</f>
        <v>0.21987458655556552</v>
      </c>
      <c r="I34" s="2">
        <f>Detail!N251</f>
        <v>0</v>
      </c>
      <c r="J34" s="2"/>
      <c r="K34" s="68">
        <f>Detail!A$251</f>
        <v>251</v>
      </c>
    </row>
    <row r="35" spans="1:17">
      <c r="A35" s="50">
        <f t="shared" si="1"/>
        <v>485</v>
      </c>
      <c r="B35" s="28" t="s">
        <v>211</v>
      </c>
      <c r="C35" s="2">
        <f>Detail!H342</f>
        <v>26723000.330443956</v>
      </c>
      <c r="D35" s="2">
        <f>Detail!I342</f>
        <v>22329848.722626299</v>
      </c>
      <c r="E35" s="2">
        <f>Detail!J342</f>
        <v>3540203.2072439883</v>
      </c>
      <c r="F35" s="2">
        <f>Detail!K342</f>
        <v>0</v>
      </c>
      <c r="G35" s="2">
        <f>Detail!L342</f>
        <v>86075.330620301858</v>
      </c>
      <c r="H35" s="2">
        <f>Detail!M342</f>
        <v>766873.06995336816</v>
      </c>
      <c r="I35" s="2">
        <f>Detail!N342</f>
        <v>0</v>
      </c>
      <c r="J35" s="2"/>
      <c r="K35" s="68">
        <f>Detail!A$342</f>
        <v>342</v>
      </c>
    </row>
    <row r="36" spans="1:17">
      <c r="A36" s="50">
        <f t="shared" si="1"/>
        <v>486</v>
      </c>
      <c r="B36" s="52" t="s">
        <v>175</v>
      </c>
      <c r="C36" s="4">
        <f>Detail!H344</f>
        <v>49128000.330443956</v>
      </c>
      <c r="D36" s="4">
        <f>Detail!I344</f>
        <v>40732211.84097413</v>
      </c>
      <c r="E36" s="4">
        <f>Detail!J344</f>
        <v>6815539.4705803096</v>
      </c>
      <c r="F36" s="4">
        <f>Detail!K344</f>
        <v>0</v>
      </c>
      <c r="G36" s="4">
        <f>Detail!L344</f>
        <v>168790.97426599142</v>
      </c>
      <c r="H36" s="4">
        <f>Detail!M344</f>
        <v>1411458.0446235237</v>
      </c>
      <c r="I36" s="4">
        <f>Detail!N344</f>
        <v>0</v>
      </c>
      <c r="J36" s="5"/>
      <c r="K36" s="68">
        <f>Detail!A$344</f>
        <v>344</v>
      </c>
    </row>
    <row r="37" spans="1:17">
      <c r="A37" s="50">
        <f t="shared" si="1"/>
        <v>487</v>
      </c>
      <c r="C37" s="33">
        <f t="shared" ref="C37:I37" si="8">ABS(ROUND(SUM(C29:C35)-C36,0))</f>
        <v>0</v>
      </c>
      <c r="D37" s="33">
        <f t="shared" si="8"/>
        <v>0</v>
      </c>
      <c r="E37" s="33">
        <f t="shared" si="8"/>
        <v>0</v>
      </c>
      <c r="F37" s="33">
        <f t="shared" si="8"/>
        <v>0</v>
      </c>
      <c r="G37" s="33">
        <f t="shared" si="8"/>
        <v>0</v>
      </c>
      <c r="H37" s="33">
        <f t="shared" si="8"/>
        <v>0</v>
      </c>
      <c r="I37" s="33">
        <f t="shared" si="8"/>
        <v>0</v>
      </c>
      <c r="J37" s="33"/>
      <c r="K37" s="70"/>
    </row>
    <row r="38" spans="1:17">
      <c r="A38" s="50">
        <f t="shared" si="1"/>
        <v>488</v>
      </c>
      <c r="B38" t="s">
        <v>66</v>
      </c>
      <c r="C38" s="2">
        <f>Detail!H352</f>
        <v>10388000.000000002</v>
      </c>
      <c r="D38" s="2">
        <f>Detail!I352</f>
        <v>7876054.3204567973</v>
      </c>
      <c r="E38" s="2">
        <f>Detail!J352</f>
        <v>1942130.2543609454</v>
      </c>
      <c r="F38" s="2">
        <f>Detail!K352</f>
        <v>0</v>
      </c>
      <c r="G38" s="2">
        <f>Detail!L352</f>
        <v>47791.259167469325</v>
      </c>
      <c r="H38" s="2">
        <f>Detail!M352</f>
        <v>522024.16601478856</v>
      </c>
      <c r="I38" s="2">
        <f>Detail!N352</f>
        <v>0</v>
      </c>
      <c r="J38" s="2"/>
      <c r="K38" s="68">
        <f>Detail!A$352</f>
        <v>352</v>
      </c>
    </row>
    <row r="39" spans="1:17">
      <c r="A39" s="50">
        <f t="shared" si="1"/>
        <v>489</v>
      </c>
      <c r="B39" t="s">
        <v>69</v>
      </c>
      <c r="K39" s="71"/>
    </row>
    <row r="40" spans="1:17">
      <c r="A40" s="50">
        <f t="shared" si="1"/>
        <v>490</v>
      </c>
      <c r="B40" s="28" t="s">
        <v>455</v>
      </c>
      <c r="C40" s="2">
        <f>Detail!H364</f>
        <v>565000</v>
      </c>
      <c r="D40" s="2">
        <f>Detail!I364</f>
        <v>403377.2549552517</v>
      </c>
      <c r="E40" s="2">
        <f>Detail!J364</f>
        <v>150431.62725512049</v>
      </c>
      <c r="F40" s="2">
        <f>Detail!K364</f>
        <v>0</v>
      </c>
      <c r="G40" s="2">
        <f>Detail!L364</f>
        <v>4096.2499364310424</v>
      </c>
      <c r="H40" s="2">
        <f>Detail!M364</f>
        <v>7094.8678531967753</v>
      </c>
      <c r="I40" s="2">
        <f>Detail!N364</f>
        <v>0</v>
      </c>
      <c r="J40" s="2"/>
      <c r="K40" s="68">
        <f>Detail!A$364</f>
        <v>364</v>
      </c>
    </row>
    <row r="41" spans="1:17">
      <c r="A41" s="50">
        <f t="shared" si="1"/>
        <v>491</v>
      </c>
      <c r="B41" s="28" t="s">
        <v>212</v>
      </c>
      <c r="C41" s="2">
        <f>Detail!H380</f>
        <v>18494000</v>
      </c>
      <c r="D41" s="2">
        <f>Detail!I380</f>
        <v>14146944.139465069</v>
      </c>
      <c r="E41" s="2">
        <f>Detail!J380</f>
        <v>3394542.6566049</v>
      </c>
      <c r="F41" s="2">
        <f>Detail!K380</f>
        <v>0</v>
      </c>
      <c r="G41" s="2">
        <f>Detail!L380</f>
        <v>79413.395076005923</v>
      </c>
      <c r="H41" s="2">
        <f>Detail!M380</f>
        <v>873099.80885402462</v>
      </c>
      <c r="I41" s="2">
        <f>Detail!N380</f>
        <v>0</v>
      </c>
      <c r="J41" s="2"/>
      <c r="K41" s="68">
        <f>Detail!A$380</f>
        <v>380</v>
      </c>
    </row>
    <row r="42" spans="1:17">
      <c r="A42" s="50">
        <f t="shared" si="1"/>
        <v>492</v>
      </c>
      <c r="B42" s="28" t="s">
        <v>213</v>
      </c>
      <c r="C42" s="2">
        <f>Detail!H393</f>
        <v>7516000</v>
      </c>
      <c r="D42" s="2">
        <f>Detail!I393</f>
        <v>6326376.2942066016</v>
      </c>
      <c r="E42" s="2">
        <f>Detail!J393</f>
        <v>960057.29979891528</v>
      </c>
      <c r="F42" s="2">
        <f>Detail!K393</f>
        <v>0</v>
      </c>
      <c r="G42" s="2">
        <f>Detail!L393</f>
        <v>23168.493755018204</v>
      </c>
      <c r="H42" s="2">
        <f>Detail!M393</f>
        <v>206397.91223946473</v>
      </c>
      <c r="I42" s="2">
        <f>Detail!N393</f>
        <v>0</v>
      </c>
      <c r="J42" s="2"/>
      <c r="K42" s="68">
        <f>Detail!A$393</f>
        <v>393</v>
      </c>
    </row>
    <row r="43" spans="1:17">
      <c r="A43" s="50">
        <f t="shared" si="1"/>
        <v>493</v>
      </c>
      <c r="B43" s="28" t="s">
        <v>214</v>
      </c>
      <c r="C43" s="2">
        <f>Detail!H404</f>
        <v>7484000</v>
      </c>
      <c r="D43" s="2">
        <f>Detail!I404</f>
        <v>6613839.1922181882</v>
      </c>
      <c r="E43" s="2">
        <f>Detail!J404</f>
        <v>701427.76525024243</v>
      </c>
      <c r="F43" s="2">
        <f>Detail!K404</f>
        <v>0</v>
      </c>
      <c r="G43" s="2">
        <f>Detail!L404</f>
        <v>16936.458323334617</v>
      </c>
      <c r="H43" s="2">
        <f>Detail!M404</f>
        <v>151796.584208235</v>
      </c>
      <c r="I43" s="2">
        <f>Detail!N404</f>
        <v>0</v>
      </c>
      <c r="J43" s="2"/>
      <c r="K43" s="68">
        <f>Detail!A$404</f>
        <v>404</v>
      </c>
    </row>
    <row r="44" spans="1:17">
      <c r="A44" s="50">
        <f t="shared" si="1"/>
        <v>494</v>
      </c>
      <c r="B44" s="52" t="s">
        <v>72</v>
      </c>
      <c r="C44" s="4">
        <f>Detail!H406</f>
        <v>34059000</v>
      </c>
      <c r="D44" s="4">
        <f>Detail!I406</f>
        <v>27490536.880845111</v>
      </c>
      <c r="E44" s="4">
        <f>Detail!J406</f>
        <v>5206459.3489091778</v>
      </c>
      <c r="F44" s="4">
        <f>Detail!K406</f>
        <v>0</v>
      </c>
      <c r="G44" s="4">
        <f>Detail!L406</f>
        <v>123614.59709078979</v>
      </c>
      <c r="H44" s="4">
        <f>Detail!M406</f>
        <v>1238389.173154921</v>
      </c>
      <c r="I44" s="4">
        <f>Detail!N406</f>
        <v>0</v>
      </c>
      <c r="J44" s="5"/>
      <c r="K44" s="68">
        <f>Detail!A$406</f>
        <v>406</v>
      </c>
    </row>
    <row r="45" spans="1:17" ht="25.5" customHeight="1">
      <c r="A45" s="50">
        <f t="shared" si="1"/>
        <v>495</v>
      </c>
      <c r="B45" s="131" t="s">
        <v>142</v>
      </c>
      <c r="C45" s="82">
        <f>SUM(Detail!H413:H416)</f>
        <v>2532999.9999999991</v>
      </c>
      <c r="D45" s="82">
        <f>SUM(Detail!I413:I416)</f>
        <v>1569116.0620944963</v>
      </c>
      <c r="E45" s="82">
        <f>SUM(Detail!J413:J416)</f>
        <v>926890.1302478537</v>
      </c>
      <c r="F45" s="82">
        <f>SUM(Detail!K413:K416)</f>
        <v>0</v>
      </c>
      <c r="G45" s="82">
        <f>SUM(Detail!L413:L416)</f>
        <v>29228.241391748757</v>
      </c>
      <c r="H45" s="82">
        <f>SUM(Detail!M413:M416)</f>
        <v>7765.5662659018635</v>
      </c>
      <c r="I45" s="2">
        <f>SUM(Detail!N413:N416)</f>
        <v>0</v>
      </c>
      <c r="J45" s="2"/>
      <c r="K45" s="68" t="str">
        <f>Detail!A$413&amp;":"&amp;Detail!A$416</f>
        <v>413:416</v>
      </c>
      <c r="L45" s="648"/>
      <c r="M45" s="648"/>
      <c r="N45" s="648"/>
      <c r="O45" s="649"/>
      <c r="P45" s="649"/>
      <c r="Q45" s="650"/>
    </row>
    <row r="46" spans="1:17">
      <c r="A46" s="50">
        <f t="shared" si="1"/>
        <v>496</v>
      </c>
      <c r="B46" s="368" t="s">
        <v>77</v>
      </c>
      <c r="C46" s="97">
        <f>Detail!H419</f>
        <v>96108000.330443949</v>
      </c>
      <c r="D46" s="97">
        <f>Detail!I419</f>
        <v>77667919.104370534</v>
      </c>
      <c r="E46" s="97">
        <f>Detail!J419</f>
        <v>14891019.204098288</v>
      </c>
      <c r="F46" s="97">
        <f>Detail!K419</f>
        <v>0</v>
      </c>
      <c r="G46" s="97">
        <f>Detail!L419</f>
        <v>369425.07191599929</v>
      </c>
      <c r="H46" s="97">
        <f>Detail!M419</f>
        <v>3179636.950059135</v>
      </c>
      <c r="I46" s="4">
        <f>Detail!N419</f>
        <v>0</v>
      </c>
      <c r="J46" s="5"/>
      <c r="K46" s="68">
        <f>Detail!A$419</f>
        <v>419</v>
      </c>
      <c r="L46" s="648"/>
      <c r="M46" s="651"/>
      <c r="N46" s="651"/>
      <c r="O46" s="652"/>
      <c r="P46" s="653"/>
      <c r="Q46" s="654"/>
    </row>
    <row r="47" spans="1:17">
      <c r="A47" s="50">
        <f t="shared" si="1"/>
        <v>497</v>
      </c>
      <c r="B47" s="49"/>
      <c r="C47" s="49"/>
      <c r="D47" s="430"/>
      <c r="E47" s="430"/>
      <c r="F47" s="430"/>
      <c r="G47" s="430"/>
      <c r="H47" s="430"/>
      <c r="I47" s="109">
        <v>0</v>
      </c>
      <c r="K47" s="71"/>
      <c r="L47" s="24"/>
      <c r="O47" s="638"/>
      <c r="P47" s="640"/>
      <c r="Q47" s="639"/>
    </row>
    <row r="48" spans="1:17">
      <c r="A48" s="50">
        <f t="shared" si="1"/>
        <v>498</v>
      </c>
      <c r="B48" s="55" t="s">
        <v>578</v>
      </c>
      <c r="C48" s="431">
        <f>IF(ROUND(-Detail!H435,3)&lt;&gt;ROUND(SUM(D48:I48),3),#VALUE!,SUM(D48:I48))</f>
        <v>31585999.669556044</v>
      </c>
      <c r="D48" s="431">
        <f>-Detail!I435</f>
        <v>21170051.290963724</v>
      </c>
      <c r="E48" s="431">
        <f>-Detail!J435</f>
        <v>9521771.3579898328</v>
      </c>
      <c r="F48" s="431">
        <f>-Detail!K435</f>
        <v>0</v>
      </c>
      <c r="G48" s="431">
        <f>-Detail!L435</f>
        <v>285389.39019589918</v>
      </c>
      <c r="H48" s="431">
        <f>-Detail!M435</f>
        <v>608787.63040658738</v>
      </c>
      <c r="I48" s="98">
        <f>-Detail!N435</f>
        <v>0</v>
      </c>
      <c r="J48" s="2"/>
      <c r="K48" s="68">
        <f>Detail!A$435</f>
        <v>435</v>
      </c>
      <c r="L48" s="24"/>
      <c r="O48" s="638"/>
      <c r="P48" s="640"/>
      <c r="Q48" s="639"/>
    </row>
    <row r="49" spans="1:17">
      <c r="A49" s="50">
        <f t="shared" si="1"/>
        <v>499</v>
      </c>
      <c r="B49" s="55" t="s">
        <v>135</v>
      </c>
      <c r="C49" s="432">
        <f>Detail!H133</f>
        <v>5.3893298007719095E-2</v>
      </c>
      <c r="D49" s="432">
        <f>Detail!I133</f>
        <v>4.7707933945016462E-2</v>
      </c>
      <c r="E49" s="432">
        <f>Detail!J133</f>
        <v>8.5014963876148278E-2</v>
      </c>
      <c r="F49" s="432">
        <v>0</v>
      </c>
      <c r="G49" s="432">
        <f>Detail!L133</f>
        <v>0.10251952493777391</v>
      </c>
      <c r="H49" s="432">
        <f>Detail!M133</f>
        <v>2.2092470406986947E-2</v>
      </c>
      <c r="I49" s="101">
        <f>Detail!N133</f>
        <v>0</v>
      </c>
      <c r="J49" s="27"/>
      <c r="K49" s="68">
        <f>Detail!A$133</f>
        <v>133</v>
      </c>
      <c r="L49" s="24"/>
      <c r="O49" s="638"/>
      <c r="P49" s="640"/>
      <c r="Q49" s="639"/>
    </row>
    <row r="50" spans="1:17">
      <c r="A50" s="50">
        <f t="shared" si="1"/>
        <v>500</v>
      </c>
      <c r="B50" s="55" t="s">
        <v>143</v>
      </c>
      <c r="C50" s="438">
        <f>C49/$C49</f>
        <v>1</v>
      </c>
      <c r="D50" s="438">
        <f t="shared" ref="D50:I50" si="9">D49/$C49</f>
        <v>0.88522943869909931</v>
      </c>
      <c r="E50" s="438">
        <f t="shared" si="9"/>
        <v>1.5774682014073744</v>
      </c>
      <c r="F50" s="438">
        <f t="shared" si="9"/>
        <v>0</v>
      </c>
      <c r="G50" s="438">
        <f t="shared" si="9"/>
        <v>1.9022685329647133</v>
      </c>
      <c r="H50" s="438">
        <f>H49/$C49</f>
        <v>0.40992982845144604</v>
      </c>
      <c r="I50" s="88">
        <f t="shared" si="9"/>
        <v>0</v>
      </c>
      <c r="J50" s="35"/>
      <c r="K50" s="72" t="str">
        <f>"% of "&amp;C$1&amp;$A49</f>
        <v>% of C499</v>
      </c>
      <c r="L50" s="376"/>
      <c r="M50" s="413"/>
      <c r="N50" s="413"/>
      <c r="O50" s="638"/>
      <c r="P50" s="641"/>
      <c r="Q50" s="641"/>
    </row>
    <row r="51" spans="1:17">
      <c r="A51" s="50">
        <f t="shared" si="1"/>
        <v>501</v>
      </c>
      <c r="B51" s="49"/>
      <c r="C51" s="433"/>
      <c r="D51" s="434"/>
      <c r="E51" s="434"/>
      <c r="F51" s="434"/>
      <c r="G51" s="434"/>
      <c r="H51" s="434"/>
      <c r="I51" s="35"/>
      <c r="J51" s="35"/>
      <c r="K51" s="72"/>
      <c r="L51" s="413"/>
      <c r="M51" s="413"/>
      <c r="N51" s="413"/>
      <c r="O51" s="413"/>
      <c r="P51" s="413"/>
      <c r="Q51" s="413"/>
    </row>
    <row r="52" spans="1:17">
      <c r="A52" s="50">
        <f t="shared" si="1"/>
        <v>502</v>
      </c>
      <c r="B52" s="131" t="s">
        <v>144</v>
      </c>
      <c r="C52" s="82">
        <f>Detail!H158</f>
        <v>11648000</v>
      </c>
      <c r="D52" s="82">
        <f>Detail!I158</f>
        <v>8819070.1583046243</v>
      </c>
      <c r="E52" s="82">
        <f>Detail!J158</f>
        <v>2225942.1369548077</v>
      </c>
      <c r="F52" s="82">
        <f>Detail!K158</f>
        <v>0</v>
      </c>
      <c r="G52" s="82">
        <f>Detail!L158</f>
        <v>55325.167192075096</v>
      </c>
      <c r="H52" s="82">
        <f>Detail!M158</f>
        <v>547662.53754849383</v>
      </c>
      <c r="I52" s="2">
        <f>Detail!N158</f>
        <v>0</v>
      </c>
      <c r="J52" s="2"/>
      <c r="K52" s="68">
        <f>Detail!A$158</f>
        <v>158</v>
      </c>
      <c r="L52" s="413"/>
      <c r="M52" s="413"/>
      <c r="N52" s="413"/>
      <c r="O52" s="413"/>
      <c r="P52" s="413"/>
      <c r="Q52" s="413"/>
    </row>
    <row r="53" spans="1:17">
      <c r="A53" s="50">
        <f t="shared" si="1"/>
        <v>503</v>
      </c>
      <c r="B53" t="s">
        <v>579</v>
      </c>
      <c r="C53" s="27">
        <f>C45/C48</f>
        <v>8.0193757566628943E-2</v>
      </c>
      <c r="K53" s="71"/>
    </row>
    <row r="54" spans="1:17">
      <c r="A54" s="50">
        <f t="shared" si="1"/>
        <v>504</v>
      </c>
      <c r="K54" s="71"/>
    </row>
    <row r="55" spans="1:17">
      <c r="A55" s="50">
        <f t="shared" si="1"/>
        <v>505</v>
      </c>
      <c r="C55" s="27"/>
      <c r="D55" s="27"/>
      <c r="E55" s="27"/>
      <c r="F55" s="27"/>
      <c r="G55" s="27"/>
      <c r="H55" s="27"/>
      <c r="I55" s="2"/>
      <c r="J55" s="2"/>
      <c r="K55" s="71"/>
    </row>
    <row r="56" spans="1:17">
      <c r="A56" s="50">
        <f t="shared" si="1"/>
        <v>506</v>
      </c>
      <c r="B56" s="1" t="s">
        <v>184</v>
      </c>
      <c r="C56" s="82">
        <f>SUM(D56:I56)</f>
        <v>17293000</v>
      </c>
      <c r="D56" s="790">
        <v>13400000</v>
      </c>
      <c r="E56" s="790">
        <v>3289000</v>
      </c>
      <c r="F56" s="790">
        <v>0</v>
      </c>
      <c r="G56" s="790">
        <v>89000</v>
      </c>
      <c r="H56" s="790">
        <v>515000</v>
      </c>
      <c r="I56" s="23">
        <v>0</v>
      </c>
      <c r="J56" s="49"/>
      <c r="K56" s="439" t="s">
        <v>1040</v>
      </c>
      <c r="M56" s="2"/>
    </row>
    <row r="57" spans="1:17">
      <c r="A57" s="50">
        <f t="shared" si="1"/>
        <v>507</v>
      </c>
      <c r="B57" s="17" t="s">
        <v>185</v>
      </c>
      <c r="C57" s="82">
        <f>ROUND(SUM(D57:I57),-3)</f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39"/>
      <c r="K57" s="71" t="s">
        <v>230</v>
      </c>
    </row>
    <row r="58" spans="1:17">
      <c r="A58" s="50">
        <f t="shared" si="1"/>
        <v>508</v>
      </c>
      <c r="B58" t="s">
        <v>557</v>
      </c>
      <c r="C58" s="97">
        <f>C56+C57</f>
        <v>17293000</v>
      </c>
      <c r="D58" s="97">
        <f t="shared" ref="D58:I58" si="10">D56+D57</f>
        <v>13400000</v>
      </c>
      <c r="E58" s="97">
        <f t="shared" si="10"/>
        <v>3289000</v>
      </c>
      <c r="F58" s="97">
        <f t="shared" si="10"/>
        <v>0</v>
      </c>
      <c r="G58" s="97">
        <f t="shared" si="10"/>
        <v>89000</v>
      </c>
      <c r="H58" s="97">
        <f t="shared" si="10"/>
        <v>515000</v>
      </c>
      <c r="I58" s="97">
        <f t="shared" si="10"/>
        <v>0</v>
      </c>
      <c r="J58" s="39"/>
      <c r="K58" s="71" t="str">
        <f>A56&amp;"+"&amp;A57</f>
        <v>506+507</v>
      </c>
    </row>
    <row r="59" spans="1:17">
      <c r="A59" s="50">
        <f t="shared" si="1"/>
        <v>509</v>
      </c>
    </row>
    <row r="60" spans="1:17">
      <c r="A60" s="50">
        <f t="shared" si="1"/>
        <v>510</v>
      </c>
      <c r="B60" t="s">
        <v>563</v>
      </c>
      <c r="C60" s="2">
        <f>C57</f>
        <v>0</v>
      </c>
      <c r="D60" s="2">
        <f t="shared" ref="D60:I60" si="11">$C60*D61</f>
        <v>0</v>
      </c>
      <c r="E60" s="2">
        <f t="shared" si="11"/>
        <v>0</v>
      </c>
      <c r="F60" s="2">
        <f t="shared" si="11"/>
        <v>0</v>
      </c>
      <c r="G60" s="2">
        <f t="shared" si="11"/>
        <v>0</v>
      </c>
      <c r="H60" s="2">
        <f t="shared" si="11"/>
        <v>0</v>
      </c>
      <c r="I60" s="2">
        <f t="shared" si="11"/>
        <v>0</v>
      </c>
      <c r="K60" s="71" t="str">
        <f>C$1&amp;A60&amp;" * "&amp;A61</f>
        <v>C510 * 511</v>
      </c>
    </row>
    <row r="61" spans="1:17">
      <c r="A61" s="50">
        <f t="shared" si="1"/>
        <v>511</v>
      </c>
      <c r="B61" s="28" t="s">
        <v>564</v>
      </c>
      <c r="C61" s="102">
        <f>SUM(D61:H61)</f>
        <v>1.0000000000000002</v>
      </c>
      <c r="D61" s="102">
        <f>Detail!I426/Detail!$H426</f>
        <v>0.75063018297136086</v>
      </c>
      <c r="E61" s="102">
        <f>Detail!J426/Detail!$H426</f>
        <v>0.19199044160100162</v>
      </c>
      <c r="F61" s="102">
        <f>Detail!K426/Detail!$H426</f>
        <v>0</v>
      </c>
      <c r="G61" s="102">
        <f>Detail!L426/Detail!$H426</f>
        <v>4.7390759184050488E-3</v>
      </c>
      <c r="H61" s="102">
        <f>Detail!M426/Detail!$H426</f>
        <v>5.2640299509232581E-2</v>
      </c>
      <c r="I61" s="102">
        <f>Detail!N426/Detail!$H426</f>
        <v>0</v>
      </c>
      <c r="K61" s="71" t="str">
        <f>"% of "&amp;Detail!H$1&amp;Detail!A426</f>
        <v>% of H426</v>
      </c>
    </row>
    <row r="62" spans="1:17">
      <c r="A62" s="50">
        <f t="shared" si="1"/>
        <v>512</v>
      </c>
    </row>
    <row r="63" spans="1:17">
      <c r="A63" s="50">
        <f t="shared" si="1"/>
        <v>513</v>
      </c>
      <c r="B63" s="1" t="s">
        <v>558</v>
      </c>
      <c r="C63" s="98">
        <f t="shared" ref="C63:I63" si="12">C24+C56</f>
        <v>142610000</v>
      </c>
      <c r="D63" s="98">
        <f>D24+D56</f>
        <v>110509939.48084587</v>
      </c>
      <c r="E63" s="98">
        <f t="shared" si="12"/>
        <v>27122867.659896482</v>
      </c>
      <c r="F63" s="98">
        <f t="shared" si="12"/>
        <v>0</v>
      </c>
      <c r="G63" s="98">
        <f>G24+G56</f>
        <v>728376.41895967908</v>
      </c>
      <c r="H63" s="98">
        <f>H24+H56</f>
        <v>4248816.4402979668</v>
      </c>
      <c r="I63" s="98">
        <f t="shared" si="12"/>
        <v>0</v>
      </c>
      <c r="K63" s="71" t="str">
        <f>A24&amp;"+"&amp;A56</f>
        <v>474+506</v>
      </c>
    </row>
    <row r="64" spans="1:17">
      <c r="A64" s="50">
        <f t="shared" si="1"/>
        <v>514</v>
      </c>
      <c r="C64" s="21"/>
      <c r="D64" s="2"/>
      <c r="E64" s="2"/>
      <c r="F64" s="2"/>
      <c r="G64" s="2"/>
      <c r="H64" s="2"/>
      <c r="I64" s="2"/>
      <c r="J64" s="2"/>
      <c r="K64" s="71"/>
    </row>
    <row r="65" spans="1:14">
      <c r="A65" s="50">
        <f t="shared" si="1"/>
        <v>515</v>
      </c>
      <c r="B65" s="24" t="s">
        <v>556</v>
      </c>
      <c r="C65" s="39">
        <f>SUM(D65:I65)</f>
        <v>34551743.669556037</v>
      </c>
      <c r="D65" s="39">
        <f>-(Detail!I433+Detail!I408)+D91</f>
        <v>23074506.881220393</v>
      </c>
      <c r="E65" s="39">
        <f>-(Detail!J433+Detail!J408)+E91</f>
        <v>10530964.47367952</v>
      </c>
      <c r="F65" s="39">
        <f>-(Detail!K433+Detail!K408)+F91</f>
        <v>0</v>
      </c>
      <c r="G65" s="39">
        <f>-(Detail!L433+Detail!L408)+G91</f>
        <v>316825.52284778253</v>
      </c>
      <c r="H65" s="39">
        <f>-(Detail!M433+Detail!M408)+H91</f>
        <v>629446.79180834733</v>
      </c>
      <c r="I65" s="39">
        <f>-(Detail!N433+Detail!N408)+I91</f>
        <v>0</v>
      </c>
      <c r="J65" s="2"/>
      <c r="K65" s="71" t="str">
        <f>"-"&amp;Detail!A433&amp;"-"&amp;Detail!A408&amp;"+"&amp;A91</f>
        <v>-433-408+541</v>
      </c>
    </row>
    <row r="66" spans="1:14">
      <c r="A66" s="50">
        <f t="shared" si="1"/>
        <v>516</v>
      </c>
      <c r="K66" s="71"/>
    </row>
    <row r="67" spans="1:14">
      <c r="A67" s="50">
        <f t="shared" si="1"/>
        <v>517</v>
      </c>
      <c r="K67" s="71"/>
    </row>
    <row r="68" spans="1:14">
      <c r="A68" s="50">
        <f t="shared" si="1"/>
        <v>518</v>
      </c>
      <c r="B68" s="30" t="s">
        <v>551</v>
      </c>
      <c r="C68" s="39"/>
      <c r="D68" s="39"/>
      <c r="E68" s="39"/>
      <c r="F68" s="39"/>
      <c r="G68" s="39"/>
      <c r="H68" s="39"/>
      <c r="I68" s="39"/>
      <c r="J68" s="2"/>
      <c r="K68" s="71"/>
    </row>
    <row r="69" spans="1:14">
      <c r="A69" s="50">
        <f t="shared" si="1"/>
        <v>519</v>
      </c>
      <c r="B69" s="103" t="s">
        <v>180</v>
      </c>
      <c r="C69" s="39">
        <f>Detail!$E234</f>
        <v>369000</v>
      </c>
      <c r="D69" s="39">
        <f>$C69*D$63/$C$63</f>
        <v>285941.85308486171</v>
      </c>
      <c r="E69" s="39">
        <f t="shared" ref="E69:I71" si="13">$C69*E$63/$C$63</f>
        <v>70179.778181767077</v>
      </c>
      <c r="F69" s="39">
        <f t="shared" si="13"/>
        <v>0</v>
      </c>
      <c r="G69" s="39">
        <f t="shared" si="13"/>
        <v>1884.6567463440263</v>
      </c>
      <c r="H69" s="39">
        <f t="shared" si="13"/>
        <v>10993.711987027205</v>
      </c>
      <c r="I69" s="39">
        <f t="shared" si="13"/>
        <v>0</v>
      </c>
      <c r="J69" s="2"/>
      <c r="K69" s="71" t="str">
        <f>Detail!A234&amp;" * % of "&amp;A$63</f>
        <v>234 * % of 513</v>
      </c>
    </row>
    <row r="70" spans="1:14">
      <c r="A70" s="50">
        <f t="shared" ref="A70:A133" si="14">Pg1Row+ROW(A70)</f>
        <v>520</v>
      </c>
      <c r="B70" s="103" t="s">
        <v>181</v>
      </c>
      <c r="C70" s="39">
        <f>Detail!$E319</f>
        <v>649744</v>
      </c>
      <c r="D70" s="39">
        <f>$C70*D$63/$C$63</f>
        <v>503493.23412132892</v>
      </c>
      <c r="E70" s="39">
        <f t="shared" si="13"/>
        <v>123574.22708654219</v>
      </c>
      <c r="F70" s="39">
        <f t="shared" si="13"/>
        <v>0</v>
      </c>
      <c r="G70" s="39">
        <f t="shared" si="13"/>
        <v>3318.5485447061055</v>
      </c>
      <c r="H70" s="39">
        <f t="shared" si="13"/>
        <v>19357.990247422775</v>
      </c>
      <c r="I70" s="39">
        <f t="shared" si="13"/>
        <v>0</v>
      </c>
      <c r="J70" s="2"/>
      <c r="K70" s="71" t="str">
        <f>Detail!A319&amp;" * % of "&amp;A$63</f>
        <v>319 * % of 513</v>
      </c>
    </row>
    <row r="71" spans="1:14">
      <c r="A71" s="50">
        <f t="shared" si="14"/>
        <v>521</v>
      </c>
      <c r="B71" s="103" t="s">
        <v>182</v>
      </c>
      <c r="C71" s="39">
        <f>Detail!$E351</f>
        <v>-586000</v>
      </c>
      <c r="D71" s="39">
        <f>$C71*D$63/$C$63</f>
        <v>-454097.36018354731</v>
      </c>
      <c r="E71" s="39">
        <f t="shared" si="13"/>
        <v>-111450.81304746748</v>
      </c>
      <c r="F71" s="39">
        <f t="shared" si="13"/>
        <v>0</v>
      </c>
      <c r="G71" s="39">
        <f t="shared" si="13"/>
        <v>-2992.977922378318</v>
      </c>
      <c r="H71" s="39">
        <f t="shared" si="13"/>
        <v>-17458.848846606888</v>
      </c>
      <c r="I71" s="39">
        <f t="shared" si="13"/>
        <v>0</v>
      </c>
      <c r="J71" s="2"/>
      <c r="K71" s="71" t="str">
        <f>Detail!A351&amp;" * % of "&amp;A$63</f>
        <v>351 * % of 513</v>
      </c>
    </row>
    <row r="72" spans="1:14">
      <c r="A72" s="50">
        <f t="shared" si="14"/>
        <v>522</v>
      </c>
      <c r="B72" s="30" t="s">
        <v>552</v>
      </c>
      <c r="C72" s="41"/>
      <c r="D72" s="41"/>
      <c r="E72" s="41"/>
      <c r="F72" s="41"/>
      <c r="G72" s="41"/>
      <c r="H72" s="41"/>
      <c r="I72" s="41"/>
      <c r="J72" s="5"/>
      <c r="K72" s="71"/>
      <c r="L72" s="49"/>
    </row>
    <row r="73" spans="1:14">
      <c r="A73" s="50">
        <f t="shared" si="14"/>
        <v>523</v>
      </c>
      <c r="B73" s="103" t="s">
        <v>180</v>
      </c>
      <c r="C73" s="39">
        <f>ROUND($C$58*$L73,-3)</f>
        <v>86000</v>
      </c>
      <c r="D73" s="39">
        <f t="shared" ref="D73:I75" si="15">$C73*D$63/$C$63</f>
        <v>66642.27470270489</v>
      </c>
      <c r="E73" s="39">
        <f t="shared" si="15"/>
        <v>16356.262665669292</v>
      </c>
      <c r="F73" s="39">
        <f t="shared" si="15"/>
        <v>0</v>
      </c>
      <c r="G73" s="39">
        <f t="shared" si="15"/>
        <v>439.24249372787602</v>
      </c>
      <c r="H73" s="39">
        <f t="shared" si="15"/>
        <v>2562.2201378979394</v>
      </c>
      <c r="I73" s="39">
        <f t="shared" si="15"/>
        <v>0</v>
      </c>
      <c r="J73" s="5"/>
      <c r="K73" s="71" t="str">
        <f>C$1&amp;$A$56&amp;"*"&amp;L$1&amp;$A73&amp;" * % of "&amp;A$63</f>
        <v>C506*L523 * % of 513</v>
      </c>
      <c r="L73" s="106">
        <v>4.9509999999999997E-3</v>
      </c>
      <c r="M73" s="131" t="s">
        <v>1282</v>
      </c>
      <c r="N73" s="49"/>
    </row>
    <row r="74" spans="1:14">
      <c r="A74" s="50">
        <f t="shared" si="14"/>
        <v>524</v>
      </c>
      <c r="B74" s="103" t="s">
        <v>181</v>
      </c>
      <c r="C74" s="39">
        <f>ROUND($C$58*$L74,-3)</f>
        <v>69000</v>
      </c>
      <c r="D74" s="39">
        <f t="shared" si="15"/>
        <v>53468.801796356252</v>
      </c>
      <c r="E74" s="39">
        <f t="shared" si="15"/>
        <v>13123.04795268815</v>
      </c>
      <c r="F74" s="39">
        <f t="shared" si="15"/>
        <v>0</v>
      </c>
      <c r="G74" s="39">
        <f t="shared" si="15"/>
        <v>352.41548915376103</v>
      </c>
      <c r="H74" s="39">
        <f t="shared" si="15"/>
        <v>2055.7347618018352</v>
      </c>
      <c r="I74" s="39">
        <f t="shared" si="15"/>
        <v>0</v>
      </c>
      <c r="J74" s="5"/>
      <c r="K74" s="71" t="str">
        <f>C$1&amp;$A$56&amp;"*"&amp;L$1&amp;$A74&amp;" * % of "&amp;A$63</f>
        <v>C506*L524 * % of 513</v>
      </c>
      <c r="L74" s="106">
        <v>4.0000000000000001E-3</v>
      </c>
    </row>
    <row r="75" spans="1:14">
      <c r="A75" s="50">
        <f t="shared" si="14"/>
        <v>525</v>
      </c>
      <c r="B75" s="103" t="s">
        <v>182</v>
      </c>
      <c r="C75" s="39">
        <f>ROUND($C$58*$L75,-3)</f>
        <v>663000</v>
      </c>
      <c r="D75" s="39">
        <f t="shared" si="15"/>
        <v>513765.44334759703</v>
      </c>
      <c r="E75" s="39">
        <f t="shared" si="15"/>
        <v>126095.37380626441</v>
      </c>
      <c r="F75" s="39">
        <f t="shared" si="15"/>
        <v>0</v>
      </c>
      <c r="G75" s="39">
        <f t="shared" si="15"/>
        <v>3386.253178390486</v>
      </c>
      <c r="H75" s="39">
        <f t="shared" si="15"/>
        <v>19752.929667748071</v>
      </c>
      <c r="I75" s="39">
        <f t="shared" si="15"/>
        <v>0</v>
      </c>
      <c r="J75" s="5"/>
      <c r="K75" s="71" t="str">
        <f>C$1&amp;$A$56&amp;"*"&amp;L$1&amp;$A75&amp;" * % of "&amp;A$63</f>
        <v>C506*L525 * % of 513</v>
      </c>
      <c r="L75" s="106">
        <v>3.8329000000000002E-2</v>
      </c>
    </row>
    <row r="76" spans="1:14">
      <c r="A76" s="50">
        <f t="shared" si="14"/>
        <v>526</v>
      </c>
      <c r="B76" s="114" t="s">
        <v>581</v>
      </c>
      <c r="C76" s="39">
        <f>Detail!H158</f>
        <v>11648000</v>
      </c>
      <c r="D76" s="39">
        <f>Detail!I158</f>
        <v>8819070.1583046243</v>
      </c>
      <c r="E76" s="39">
        <f>Detail!J158</f>
        <v>2225942.1369548077</v>
      </c>
      <c r="F76" s="39">
        <f>Detail!K158</f>
        <v>0</v>
      </c>
      <c r="G76" s="39">
        <f>Detail!L158</f>
        <v>55325.167192075096</v>
      </c>
      <c r="H76" s="39">
        <f>Detail!M158</f>
        <v>547662.53754849383</v>
      </c>
      <c r="I76" s="39">
        <f>Detail!N158</f>
        <v>0</v>
      </c>
      <c r="J76" s="5"/>
      <c r="K76" s="71">
        <f>Detail!A158</f>
        <v>158</v>
      </c>
      <c r="L76" s="106"/>
    </row>
    <row r="77" spans="1:14">
      <c r="A77" s="50">
        <f t="shared" si="14"/>
        <v>527</v>
      </c>
      <c r="B77" s="104" t="s">
        <v>562</v>
      </c>
      <c r="C77" s="40">
        <f t="shared" ref="C77:I77" si="16">C56+C60+C65-SUM(C69:C76)</f>
        <v>38945999.669556037</v>
      </c>
      <c r="D77" s="40">
        <f>D56+D60+D65-SUM(D69:D76)</f>
        <v>26686222.476046465</v>
      </c>
      <c r="E77" s="40">
        <f t="shared" si="16"/>
        <v>11356144.460079249</v>
      </c>
      <c r="F77" s="40">
        <f t="shared" si="16"/>
        <v>0</v>
      </c>
      <c r="G77" s="40">
        <f t="shared" si="16"/>
        <v>344112.21712576348</v>
      </c>
      <c r="H77" s="40">
        <f t="shared" si="16"/>
        <v>559520.51630456245</v>
      </c>
      <c r="I77" s="40">
        <f t="shared" si="16"/>
        <v>0</v>
      </c>
      <c r="J77" s="2"/>
      <c r="K77" s="71" t="str">
        <f>A56&amp;"+"&amp;A60&amp;"+"&amp;A65&amp;"+"&amp;A69&amp;":"&amp;A75</f>
        <v>506+510+515+519:525</v>
      </c>
      <c r="L77" s="106">
        <v>0.200071</v>
      </c>
    </row>
    <row r="78" spans="1:14">
      <c r="A78" s="50">
        <f t="shared" si="14"/>
        <v>528</v>
      </c>
      <c r="B78" s="103" t="s">
        <v>553</v>
      </c>
      <c r="C78" s="39">
        <f>Detail!$E414</f>
        <v>-3100000</v>
      </c>
      <c r="D78" s="39">
        <f>$C78*D$77/$C$77</f>
        <v>-2124153.7096918249</v>
      </c>
      <c r="E78" s="39">
        <f t="shared" ref="E78:I80" si="17">$C78*E$77/$C$77</f>
        <v>-903919.48145998071</v>
      </c>
      <c r="F78" s="39">
        <f t="shared" si="17"/>
        <v>0</v>
      </c>
      <c r="G78" s="39">
        <f t="shared" si="17"/>
        <v>-27390.4350161986</v>
      </c>
      <c r="H78" s="39">
        <f>$C78*H$77/$C$77</f>
        <v>-44536.373831996083</v>
      </c>
      <c r="I78" s="39">
        <f t="shared" si="17"/>
        <v>0</v>
      </c>
      <c r="J78" s="2"/>
      <c r="K78" s="71" t="str">
        <f>Detail!E$1&amp;Detail!A414&amp;" * % of "&amp;A77</f>
        <v>E414 * % of 527</v>
      </c>
      <c r="L78" s="49"/>
    </row>
    <row r="79" spans="1:14">
      <c r="A79" s="50">
        <f t="shared" si="14"/>
        <v>529</v>
      </c>
      <c r="B79" s="103" t="s">
        <v>554</v>
      </c>
      <c r="C79" s="39">
        <f>ROUND($C$58*$L77,-3)</f>
        <v>3460000</v>
      </c>
      <c r="D79" s="39">
        <f>$C79*D$77/$C$77</f>
        <v>2370829.6243657144</v>
      </c>
      <c r="E79" s="39">
        <f t="shared" si="17"/>
        <v>1008890.7760811398</v>
      </c>
      <c r="F79" s="39">
        <f t="shared" si="17"/>
        <v>0</v>
      </c>
      <c r="G79" s="39">
        <f t="shared" si="17"/>
        <v>30571.259727757148</v>
      </c>
      <c r="H79" s="39">
        <f t="shared" si="17"/>
        <v>49708.339825389179</v>
      </c>
      <c r="I79" s="39">
        <f t="shared" si="17"/>
        <v>0</v>
      </c>
      <c r="J79" s="2"/>
      <c r="K79" s="71" t="str">
        <f>C$1&amp;A$58&amp;"*"&amp;L$1&amp;A$77&amp;"* % of "&amp;A$77</f>
        <v>C508*L527* % of 527</v>
      </c>
    </row>
    <row r="80" spans="1:14">
      <c r="A80" s="50">
        <f t="shared" si="14"/>
        <v>530</v>
      </c>
      <c r="B80" s="103" t="s">
        <v>555</v>
      </c>
      <c r="C80" s="39">
        <f>Detail!E417-C78</f>
        <v>5633000</v>
      </c>
      <c r="D80" s="39">
        <f>$C80*D$77/$C$77</f>
        <v>3859792.8537722742</v>
      </c>
      <c r="E80" s="39">
        <f t="shared" si="17"/>
        <v>1642509.1738916358</v>
      </c>
      <c r="F80" s="39">
        <f t="shared" si="17"/>
        <v>0</v>
      </c>
      <c r="G80" s="39">
        <f t="shared" si="17"/>
        <v>49771.071111692494</v>
      </c>
      <c r="H80" s="39">
        <f t="shared" si="17"/>
        <v>80926.90122439804</v>
      </c>
      <c r="I80" s="39">
        <f t="shared" si="17"/>
        <v>0</v>
      </c>
      <c r="J80" s="2"/>
      <c r="K80" s="71" t="str">
        <f>Detail!E$1&amp;Detail!A417&amp;" - "&amp;C$1&amp;A78&amp;"* % of "&amp;A77</f>
        <v>E417 - C528* % of 527</v>
      </c>
      <c r="M80" s="451">
        <f>1-L73-L74-L75-L77</f>
        <v>0.75264900000000001</v>
      </c>
    </row>
    <row r="81" spans="1:12">
      <c r="A81" s="50">
        <f t="shared" si="14"/>
        <v>531</v>
      </c>
      <c r="B81" s="114" t="s">
        <v>580</v>
      </c>
      <c r="C81" s="39">
        <f>Detail!H158</f>
        <v>11648000</v>
      </c>
      <c r="D81" s="39">
        <f>Detail!I158</f>
        <v>8819070.1583046243</v>
      </c>
      <c r="E81" s="39">
        <f>Detail!J158</f>
        <v>2225942.1369548077</v>
      </c>
      <c r="F81" s="39">
        <f>Detail!K158</f>
        <v>0</v>
      </c>
      <c r="G81" s="39">
        <f>Detail!L158</f>
        <v>55325.167192075096</v>
      </c>
      <c r="H81" s="39">
        <f>Detail!M158</f>
        <v>547662.53754849383</v>
      </c>
      <c r="I81" s="39">
        <f>Detail!N158</f>
        <v>0</v>
      </c>
      <c r="J81" s="5"/>
      <c r="K81" s="71">
        <f>Detail!A158</f>
        <v>158</v>
      </c>
      <c r="L81" s="106"/>
    </row>
    <row r="82" spans="1:12">
      <c r="A82" s="50">
        <f t="shared" si="14"/>
        <v>532</v>
      </c>
      <c r="B82" s="105" t="s">
        <v>183</v>
      </c>
      <c r="C82" s="99">
        <f>IF(ROUND(C77-C78-C79-C80+C81,0)&lt;&gt;ROUND(SUM(D82:I82),0),#VALUE!,ROUND(SUM(D82:I82),0))</f>
        <v>44601000</v>
      </c>
      <c r="D82" s="99">
        <f t="shared" ref="D82:I82" si="18">D77-D78-D79-D80+D81</f>
        <v>31398823.865904927</v>
      </c>
      <c r="E82" s="99">
        <f t="shared" si="18"/>
        <v>11834606.128521264</v>
      </c>
      <c r="F82" s="99">
        <f t="shared" si="18"/>
        <v>0</v>
      </c>
      <c r="G82" s="99">
        <f t="shared" si="18"/>
        <v>346485.48849458754</v>
      </c>
      <c r="H82" s="99">
        <f t="shared" si="18"/>
        <v>1021084.1866352651</v>
      </c>
      <c r="I82" s="99">
        <f t="shared" si="18"/>
        <v>0</v>
      </c>
      <c r="J82" s="2"/>
      <c r="K82" s="71" t="str">
        <f>A77&amp;" - "&amp;A78&amp;":"&amp;A80&amp;" + "&amp;A81</f>
        <v>527 - 528:530 + 531</v>
      </c>
    </row>
    <row r="83" spans="1:12">
      <c r="A83" s="50">
        <f t="shared" si="14"/>
        <v>533</v>
      </c>
      <c r="B83" s="105" t="s">
        <v>576</v>
      </c>
      <c r="C83" s="100">
        <f>IF(C22,C82/C22,0)</f>
        <v>7.6100012967424455E-2</v>
      </c>
      <c r="D83" s="100">
        <f t="shared" ref="D83:I83" si="19">IF(D22,D82/D22,0)</f>
        <v>7.0759064036146055E-2</v>
      </c>
      <c r="E83" s="100">
        <f t="shared" si="19"/>
        <v>0.10566506742051017</v>
      </c>
      <c r="F83" s="100">
        <v>0</v>
      </c>
      <c r="G83" s="100">
        <f t="shared" si="19"/>
        <v>0.12446688243706147</v>
      </c>
      <c r="H83" s="100">
        <f>IF(H22,H82/H22,0)</f>
        <v>3.7054419389592509E-2</v>
      </c>
      <c r="I83" s="100">
        <f t="shared" si="19"/>
        <v>0</v>
      </c>
      <c r="J83" s="2"/>
      <c r="K83" s="71" t="str">
        <f>A82&amp;" / "&amp;A22</f>
        <v>532 / 472</v>
      </c>
    </row>
    <row r="84" spans="1:12">
      <c r="A84" s="50">
        <f t="shared" si="14"/>
        <v>534</v>
      </c>
      <c r="B84" s="1" t="s">
        <v>577</v>
      </c>
      <c r="C84" s="88">
        <f t="shared" ref="C84:I84" si="20">C83/$C83</f>
        <v>1</v>
      </c>
      <c r="D84" s="88">
        <f t="shared" si="20"/>
        <v>0.92981671457053949</v>
      </c>
      <c r="E84" s="88">
        <f t="shared" si="20"/>
        <v>1.3885026204363644</v>
      </c>
      <c r="F84" s="88">
        <f t="shared" si="20"/>
        <v>0</v>
      </c>
      <c r="G84" s="88">
        <f t="shared" si="20"/>
        <v>1.6355697927455157</v>
      </c>
      <c r="H84" s="88">
        <f>H83/$C83</f>
        <v>0.4869173860121957</v>
      </c>
      <c r="I84" s="88">
        <f t="shared" si="20"/>
        <v>0</v>
      </c>
      <c r="J84" s="35"/>
      <c r="K84" s="72" t="str">
        <f>"% of "&amp;C$1&amp;$A83</f>
        <v>% of C533</v>
      </c>
    </row>
    <row r="85" spans="1:12">
      <c r="A85" s="50">
        <f t="shared" si="14"/>
        <v>535</v>
      </c>
      <c r="K85" s="71"/>
    </row>
    <row r="86" spans="1:12">
      <c r="A86" s="50">
        <f t="shared" si="14"/>
        <v>536</v>
      </c>
      <c r="B86" s="17" t="s">
        <v>574</v>
      </c>
      <c r="C86" s="39">
        <f t="shared" ref="C86:I86" si="21">C129</f>
        <v>126014498.13360345</v>
      </c>
      <c r="D86" s="39">
        <f t="shared" si="21"/>
        <v>100747771.00046089</v>
      </c>
      <c r="E86" s="39">
        <f t="shared" si="21"/>
        <v>20019884.000436239</v>
      </c>
      <c r="F86" s="39">
        <f t="shared" si="21"/>
        <v>0</v>
      </c>
      <c r="G86" s="39">
        <f t="shared" si="21"/>
        <v>489460.10233975912</v>
      </c>
      <c r="H86" s="39">
        <f t="shared" si="21"/>
        <v>4757383.0303665549</v>
      </c>
      <c r="I86" s="39">
        <f t="shared" si="21"/>
        <v>0</v>
      </c>
      <c r="J86" s="2"/>
      <c r="K86" s="71">
        <f>A129</f>
        <v>579</v>
      </c>
    </row>
    <row r="87" spans="1:12">
      <c r="A87" s="50">
        <f t="shared" si="14"/>
        <v>537</v>
      </c>
      <c r="B87" s="24" t="s">
        <v>575</v>
      </c>
      <c r="C87" s="39">
        <f>SUM(D87:J87)</f>
        <v>697498.1336034491</v>
      </c>
      <c r="D87" s="39">
        <f>D86-D24</f>
        <v>3637831.5196150243</v>
      </c>
      <c r="E87" s="39">
        <f t="shared" ref="E87:I87" si="22">E86-E24</f>
        <v>-3813983.6594602428</v>
      </c>
      <c r="F87" s="39">
        <f t="shared" si="22"/>
        <v>0</v>
      </c>
      <c r="G87" s="39">
        <f t="shared" si="22"/>
        <v>-149916.31661991996</v>
      </c>
      <c r="H87" s="39">
        <f t="shared" si="22"/>
        <v>1023566.5900685876</v>
      </c>
      <c r="I87" s="39">
        <f t="shared" si="22"/>
        <v>0</v>
      </c>
      <c r="J87" s="2"/>
      <c r="K87" s="71" t="str">
        <f>A86&amp;"-"&amp;A24</f>
        <v>536-474</v>
      </c>
    </row>
    <row r="88" spans="1:12">
      <c r="A88" s="50">
        <f t="shared" si="14"/>
        <v>538</v>
      </c>
      <c r="B88" s="17" t="s">
        <v>573</v>
      </c>
      <c r="C88" s="113">
        <f>IF(C86,C87/C86,0)</f>
        <v>5.5350625835445186E-3</v>
      </c>
      <c r="D88" s="113">
        <f t="shared" ref="D88:I88" si="23">IF(D86,D87/D86,0)</f>
        <v>3.610830774209766E-2</v>
      </c>
      <c r="E88" s="113">
        <f t="shared" si="23"/>
        <v>-0.19050977814742259</v>
      </c>
      <c r="F88" s="113">
        <f t="shared" si="23"/>
        <v>0</v>
      </c>
      <c r="G88" s="113">
        <f t="shared" si="23"/>
        <v>-0.30628914574094424</v>
      </c>
      <c r="H88" s="113">
        <f t="shared" si="23"/>
        <v>0.21515328564782854</v>
      </c>
      <c r="I88" s="113">
        <f t="shared" si="23"/>
        <v>0</v>
      </c>
      <c r="J88" s="2"/>
      <c r="K88" s="71" t="str">
        <f>A87&amp;"/"&amp;A86</f>
        <v>537/536</v>
      </c>
    </row>
    <row r="89" spans="1:12">
      <c r="A89" s="50">
        <f t="shared" si="14"/>
        <v>539</v>
      </c>
      <c r="C89" s="96"/>
      <c r="D89" s="96"/>
      <c r="E89" s="96"/>
      <c r="F89" s="96"/>
      <c r="G89" s="96"/>
      <c r="H89" s="96"/>
      <c r="I89" s="96"/>
      <c r="J89" s="2"/>
      <c r="K89" s="71"/>
    </row>
    <row r="90" spans="1:12">
      <c r="A90" s="50">
        <f t="shared" si="14"/>
        <v>540</v>
      </c>
      <c r="C90" s="96"/>
      <c r="D90" s="96"/>
      <c r="E90" s="39"/>
      <c r="F90" s="96"/>
      <c r="G90" s="96"/>
      <c r="H90" s="96"/>
      <c r="I90" s="96"/>
      <c r="J90" s="2"/>
      <c r="K90" s="71"/>
    </row>
    <row r="91" spans="1:12">
      <c r="A91" s="50">
        <f t="shared" si="14"/>
        <v>541</v>
      </c>
      <c r="B91" s="131" t="s">
        <v>559</v>
      </c>
      <c r="C91" s="82">
        <f>SUMIF(Detail!$C$174:$C$410,$L91,Detail!H$174:H$410)</f>
        <v>432743.99999999988</v>
      </c>
      <c r="D91" s="82">
        <f>SUMIF(Detail!$C$174:$C$410,$L91,Detail!I$174:I$410)</f>
        <v>335339.5281621741</v>
      </c>
      <c r="E91" s="82">
        <f>SUMIF(Detail!$C$174:$C$410,$L91,Detail!J$174:J$410)</f>
        <v>82302.985441833443</v>
      </c>
      <c r="F91" s="82">
        <f>SUMIF(Detail!$C$174:$C$410,$L91,Detail!K$174:K$410)</f>
        <v>0</v>
      </c>
      <c r="G91" s="82">
        <f>SUMIF(Detail!$C$174:$C$410,$L91,Detail!L$174:L$410)</f>
        <v>2207.8912601345978</v>
      </c>
      <c r="H91" s="82">
        <f>SUMIF(Detail!$C$174:$C$410,$L91,Detail!M$174:M$410)</f>
        <v>12893.595135857893</v>
      </c>
      <c r="I91" s="2">
        <f>SUMIF(Detail!$C$174:$C$410,$L91,Detail!N$174:N$410)</f>
        <v>0</v>
      </c>
      <c r="J91" s="2"/>
      <c r="K91" s="71" t="str">
        <f>Detail!A$174&amp;":"&amp;Detail!A$410&amp;", col "&amp;Detail!C$1&amp;"= "</f>
        <v xml:space="preserve">174:410, col C= </v>
      </c>
      <c r="L91" s="11" t="s">
        <v>155</v>
      </c>
    </row>
    <row r="92" spans="1:12">
      <c r="A92" s="50">
        <f t="shared" si="14"/>
        <v>542</v>
      </c>
      <c r="B92" t="s">
        <v>560</v>
      </c>
      <c r="C92" s="2">
        <f>C24-C91</f>
        <v>124884255.99999999</v>
      </c>
      <c r="D92" s="2">
        <f t="shared" ref="D92:I92" si="24">D24-D91</f>
        <v>96774599.952683687</v>
      </c>
      <c r="E92" s="2">
        <f t="shared" si="24"/>
        <v>23751564.674454648</v>
      </c>
      <c r="F92" s="2">
        <f t="shared" si="24"/>
        <v>0</v>
      </c>
      <c r="G92" s="2">
        <f t="shared" si="24"/>
        <v>637168.52769954444</v>
      </c>
      <c r="H92" s="2">
        <f t="shared" si="24"/>
        <v>3720922.8451621095</v>
      </c>
      <c r="I92" s="2">
        <f t="shared" si="24"/>
        <v>0</v>
      </c>
      <c r="J92" s="2"/>
      <c r="K92" s="71" t="str">
        <f>A24&amp;" - "&amp;A91</f>
        <v>474 - 541</v>
      </c>
    </row>
    <row r="93" spans="1:12">
      <c r="A93" s="50">
        <f t="shared" si="14"/>
        <v>543</v>
      </c>
      <c r="B93" t="s">
        <v>561</v>
      </c>
      <c r="C93" s="43">
        <f t="shared" ref="C93:I93" si="25">IF(C92,C91/C92,0)</f>
        <v>3.4651605723622996E-3</v>
      </c>
      <c r="D93" s="43">
        <f t="shared" si="25"/>
        <v>3.4651605723623009E-3</v>
      </c>
      <c r="E93" s="43">
        <f t="shared" si="25"/>
        <v>3.4651605723622996E-3</v>
      </c>
      <c r="F93" s="43">
        <f t="shared" si="25"/>
        <v>0</v>
      </c>
      <c r="G93" s="43">
        <f t="shared" si="25"/>
        <v>3.4651605723623005E-3</v>
      </c>
      <c r="H93" s="43">
        <f t="shared" si="25"/>
        <v>3.4651605723623E-3</v>
      </c>
      <c r="I93" s="43">
        <f t="shared" si="25"/>
        <v>0</v>
      </c>
      <c r="J93" s="43"/>
      <c r="K93" s="71" t="str">
        <f>A91&amp;"/"&amp;A92</f>
        <v>541/542</v>
      </c>
    </row>
    <row r="94" spans="1:12">
      <c r="A94" s="50">
        <f t="shared" si="14"/>
        <v>544</v>
      </c>
      <c r="C94" s="43"/>
      <c r="D94" s="43"/>
      <c r="E94" s="43"/>
      <c r="F94" s="43"/>
      <c r="G94" s="43"/>
      <c r="H94" s="43"/>
      <c r="I94" s="43"/>
      <c r="J94" s="43"/>
      <c r="K94" s="71"/>
    </row>
    <row r="95" spans="1:12">
      <c r="A95" s="50">
        <f t="shared" si="14"/>
        <v>545</v>
      </c>
      <c r="B95" t="s">
        <v>198</v>
      </c>
      <c r="C95" s="21">
        <f>SUM(C69:C71,C73:C75)</f>
        <v>1250744</v>
      </c>
      <c r="D95" s="21">
        <f t="shared" ref="D95:I95" si="26">SUM(D69:D71,D73:D75)</f>
        <v>969214.24686930166</v>
      </c>
      <c r="E95" s="21">
        <f t="shared" si="26"/>
        <v>237877.87664546364</v>
      </c>
      <c r="F95" s="21">
        <f t="shared" si="26"/>
        <v>0</v>
      </c>
      <c r="G95" s="21">
        <f t="shared" si="26"/>
        <v>6388.1385299439371</v>
      </c>
      <c r="H95" s="21">
        <f t="shared" si="26"/>
        <v>37263.737955290933</v>
      </c>
      <c r="I95" s="21">
        <f t="shared" si="26"/>
        <v>0</v>
      </c>
      <c r="J95" s="2"/>
      <c r="K95" s="71" t="str">
        <f>A69&amp;":"&amp;A71&amp;" + "&amp;A73&amp;":"&amp;A75</f>
        <v>519:521 + 523:525</v>
      </c>
    </row>
    <row r="96" spans="1:12">
      <c r="A96" s="50">
        <f t="shared" si="14"/>
        <v>546</v>
      </c>
      <c r="B96" t="s">
        <v>203</v>
      </c>
      <c r="C96" s="21">
        <f>C63-C95</f>
        <v>141359256</v>
      </c>
      <c r="D96" s="21">
        <f t="shared" ref="D96:I96" si="27">D63-D95</f>
        <v>109540725.23397657</v>
      </c>
      <c r="E96" s="21">
        <f t="shared" si="27"/>
        <v>26884989.783251017</v>
      </c>
      <c r="F96" s="21">
        <f t="shared" si="27"/>
        <v>0</v>
      </c>
      <c r="G96" s="21">
        <f t="shared" si="27"/>
        <v>721988.2804297352</v>
      </c>
      <c r="H96" s="21">
        <f t="shared" si="27"/>
        <v>4211552.702342676</v>
      </c>
      <c r="I96" s="21">
        <f t="shared" si="27"/>
        <v>0</v>
      </c>
      <c r="J96" s="2"/>
      <c r="K96" s="71" t="str">
        <f>A63&amp;" - "&amp;A95</f>
        <v>513 - 545</v>
      </c>
    </row>
    <row r="97" spans="1:12">
      <c r="A97" s="50">
        <f t="shared" si="14"/>
        <v>547</v>
      </c>
      <c r="B97" t="s">
        <v>199</v>
      </c>
      <c r="C97" s="43">
        <f>IF(C96,C95/C96,0)</f>
        <v>8.8479809203296875E-3</v>
      </c>
      <c r="D97" s="43">
        <f t="shared" ref="D97:I97" si="28">IF(D96,D95/D96,0)</f>
        <v>8.8479809203296893E-3</v>
      </c>
      <c r="E97" s="43">
        <f t="shared" si="28"/>
        <v>8.8479809203296893E-3</v>
      </c>
      <c r="F97" s="43">
        <f t="shared" si="28"/>
        <v>0</v>
      </c>
      <c r="G97" s="43">
        <f t="shared" si="28"/>
        <v>8.8479809203296875E-3</v>
      </c>
      <c r="H97" s="43">
        <f t="shared" si="28"/>
        <v>8.8479809203296875E-3</v>
      </c>
      <c r="I97" s="43">
        <f t="shared" si="28"/>
        <v>0</v>
      </c>
      <c r="J97" s="43"/>
      <c r="K97" s="71" t="str">
        <f>A95&amp;"/"&amp;A96</f>
        <v>545/546</v>
      </c>
      <c r="L97" s="49"/>
    </row>
    <row r="98" spans="1:12">
      <c r="A98" s="50">
        <f t="shared" si="14"/>
        <v>548</v>
      </c>
      <c r="B98" t="s">
        <v>200</v>
      </c>
      <c r="C98" s="21">
        <f>SUM(C78:C80)</f>
        <v>5993000</v>
      </c>
      <c r="D98" s="21">
        <f t="shared" ref="D98:I98" si="29">SUM(D78:D80)</f>
        <v>4106468.7684461637</v>
      </c>
      <c r="E98" s="21">
        <f>SUM(E78:E80)</f>
        <v>1747480.4685127949</v>
      </c>
      <c r="F98" s="21">
        <f t="shared" si="29"/>
        <v>0</v>
      </c>
      <c r="G98" s="21">
        <f t="shared" si="29"/>
        <v>52951.895823251041</v>
      </c>
      <c r="H98" s="21">
        <f t="shared" si="29"/>
        <v>86098.867217791136</v>
      </c>
      <c r="I98" s="21">
        <f t="shared" si="29"/>
        <v>0</v>
      </c>
      <c r="J98" s="2"/>
      <c r="K98" s="71" t="str">
        <f>A78&amp;":"&amp;A80</f>
        <v>528:530</v>
      </c>
    </row>
    <row r="99" spans="1:12">
      <c r="A99" s="50">
        <f t="shared" si="14"/>
        <v>549</v>
      </c>
      <c r="B99" t="s">
        <v>201</v>
      </c>
      <c r="C99" s="21">
        <f t="shared" ref="C99:I99" si="30">C83*C22</f>
        <v>44601000</v>
      </c>
      <c r="D99" s="21">
        <f t="shared" si="30"/>
        <v>31398823.865904924</v>
      </c>
      <c r="E99" s="21">
        <f t="shared" si="30"/>
        <v>11834606.128521264</v>
      </c>
      <c r="F99" s="21">
        <f t="shared" si="30"/>
        <v>0</v>
      </c>
      <c r="G99" s="21">
        <f t="shared" si="30"/>
        <v>346485.48849458754</v>
      </c>
      <c r="H99" s="21">
        <f t="shared" si="30"/>
        <v>1021084.186635265</v>
      </c>
      <c r="I99" s="21">
        <f t="shared" si="30"/>
        <v>0</v>
      </c>
      <c r="J99" s="2"/>
      <c r="K99" s="71" t="str">
        <f>A83&amp;" * "&amp;A22</f>
        <v>533 * 472</v>
      </c>
    </row>
    <row r="100" spans="1:12">
      <c r="A100" s="50">
        <f t="shared" si="14"/>
        <v>550</v>
      </c>
      <c r="B100" t="s">
        <v>202</v>
      </c>
      <c r="C100" s="43">
        <f>IF(C99,C98/C99,0)</f>
        <v>0.13436918454743166</v>
      </c>
      <c r="D100" s="43">
        <f t="shared" ref="D100:I100" si="31">IF(D99,D98/D99,0)</f>
        <v>0.13078415885842334</v>
      </c>
      <c r="E100" s="43">
        <f t="shared" si="31"/>
        <v>0.14765852361587153</v>
      </c>
      <c r="F100" s="43">
        <f t="shared" si="31"/>
        <v>0</v>
      </c>
      <c r="G100" s="43">
        <f t="shared" si="31"/>
        <v>0.15282572454424223</v>
      </c>
      <c r="H100" s="43">
        <f t="shared" si="31"/>
        <v>8.4321026948335223E-2</v>
      </c>
      <c r="I100" s="43">
        <f t="shared" si="31"/>
        <v>0</v>
      </c>
      <c r="J100" s="43"/>
      <c r="K100" s="71" t="str">
        <f>A98&amp;"/"&amp;A99</f>
        <v>548/549</v>
      </c>
    </row>
    <row r="101" spans="1:12">
      <c r="A101" s="50">
        <f t="shared" si="14"/>
        <v>551</v>
      </c>
      <c r="B101" t="s">
        <v>492</v>
      </c>
      <c r="C101" s="21">
        <f>C98</f>
        <v>5993000</v>
      </c>
      <c r="D101" s="21">
        <f t="shared" ref="D101:I101" si="32">$C101*D$82/$C$82</f>
        <v>4219034.3586100806</v>
      </c>
      <c r="E101" s="21">
        <f t="shared" si="32"/>
        <v>1590206.3749294397</v>
      </c>
      <c r="F101" s="21">
        <f t="shared" si="32"/>
        <v>0</v>
      </c>
      <c r="G101" s="21">
        <f t="shared" si="32"/>
        <v>46556.97254653625</v>
      </c>
      <c r="H101" s="21">
        <f t="shared" si="32"/>
        <v>137202.2495124581</v>
      </c>
      <c r="I101" s="21">
        <f t="shared" si="32"/>
        <v>0</v>
      </c>
      <c r="J101" s="2"/>
      <c r="K101" s="71" t="str">
        <f>C$1&amp;A98&amp;" * % of "&amp;A82</f>
        <v>C548 * % of 532</v>
      </c>
    </row>
    <row r="102" spans="1:12">
      <c r="A102" s="50">
        <f t="shared" si="14"/>
        <v>552</v>
      </c>
      <c r="K102" s="71"/>
    </row>
    <row r="103" spans="1:12">
      <c r="A103" s="50">
        <f t="shared" si="14"/>
        <v>553</v>
      </c>
      <c r="K103" s="71"/>
    </row>
    <row r="104" spans="1:12">
      <c r="A104" s="50">
        <f t="shared" si="14"/>
        <v>554</v>
      </c>
      <c r="K104" s="71"/>
    </row>
    <row r="105" spans="1:12">
      <c r="A105" s="50">
        <f t="shared" si="14"/>
        <v>555</v>
      </c>
      <c r="B105" s="55" t="s">
        <v>456</v>
      </c>
      <c r="C105" s="49"/>
      <c r="K105" s="71"/>
    </row>
    <row r="106" spans="1:12">
      <c r="A106" s="50">
        <f t="shared" si="14"/>
        <v>556</v>
      </c>
      <c r="K106" s="71"/>
    </row>
    <row r="107" spans="1:12">
      <c r="A107" s="50">
        <f t="shared" si="14"/>
        <v>557</v>
      </c>
      <c r="C107" s="34" t="s">
        <v>120</v>
      </c>
      <c r="D107" s="34" t="s">
        <v>397</v>
      </c>
      <c r="E107" s="34" t="s">
        <v>398</v>
      </c>
      <c r="F107" s="34" t="s">
        <v>399</v>
      </c>
      <c r="G107" s="34" t="s">
        <v>400</v>
      </c>
      <c r="H107" s="34" t="s">
        <v>401</v>
      </c>
      <c r="I107" s="34" t="s">
        <v>281</v>
      </c>
      <c r="J107" s="34"/>
      <c r="K107" s="71"/>
    </row>
    <row r="108" spans="1:12">
      <c r="A108" s="50">
        <f t="shared" si="14"/>
        <v>558</v>
      </c>
      <c r="B108" s="1" t="s">
        <v>493</v>
      </c>
      <c r="K108" s="71"/>
    </row>
    <row r="109" spans="1:12">
      <c r="A109" s="50">
        <f t="shared" si="14"/>
        <v>559</v>
      </c>
      <c r="B109" s="28" t="s">
        <v>116</v>
      </c>
      <c r="C109" s="2">
        <f>SUM(D109:I109)</f>
        <v>957305.7631860337</v>
      </c>
      <c r="D109" s="2">
        <f t="shared" ref="D109:I109" si="33">D281</f>
        <v>624288.22488815337</v>
      </c>
      <c r="E109" s="2">
        <f t="shared" si="33"/>
        <v>296573.38428017235</v>
      </c>
      <c r="F109" s="2">
        <f t="shared" si="33"/>
        <v>0</v>
      </c>
      <c r="G109" s="2">
        <f t="shared" si="33"/>
        <v>11842.581694711791</v>
      </c>
      <c r="H109" s="2">
        <f t="shared" si="33"/>
        <v>24601.572322996111</v>
      </c>
      <c r="I109" s="2">
        <f t="shared" si="33"/>
        <v>0</v>
      </c>
      <c r="J109" s="2"/>
      <c r="K109" s="71">
        <f>A281</f>
        <v>731</v>
      </c>
    </row>
    <row r="110" spans="1:12">
      <c r="A110" s="50">
        <f t="shared" si="14"/>
        <v>560</v>
      </c>
      <c r="B110" s="28" t="s">
        <v>356</v>
      </c>
      <c r="C110" s="2">
        <f>SUM(D110:I110)</f>
        <v>3919473.8476265362</v>
      </c>
      <c r="D110" s="2">
        <f t="shared" ref="D110:I110" si="34">D290</f>
        <v>2475494.3350330666</v>
      </c>
      <c r="E110" s="2">
        <f t="shared" si="34"/>
        <v>1371877.9044747239</v>
      </c>
      <c r="F110" s="2">
        <f t="shared" si="34"/>
        <v>0</v>
      </c>
      <c r="G110" s="2">
        <f t="shared" si="34"/>
        <v>43088.727971887551</v>
      </c>
      <c r="H110" s="2">
        <f t="shared" si="34"/>
        <v>29012.88014685797</v>
      </c>
      <c r="I110" s="2">
        <f t="shared" si="34"/>
        <v>0</v>
      </c>
      <c r="J110" s="2"/>
      <c r="K110" s="71">
        <f>A290</f>
        <v>740</v>
      </c>
    </row>
    <row r="111" spans="1:12">
      <c r="A111" s="50">
        <f t="shared" si="14"/>
        <v>561</v>
      </c>
      <c r="B111" s="28" t="s">
        <v>146</v>
      </c>
      <c r="C111" s="2">
        <f>SUM(D111:I111)</f>
        <v>72947504.203104556</v>
      </c>
      <c r="D111" s="2">
        <f t="shared" ref="D111:I111" si="35">D301</f>
        <v>54233141.476771034</v>
      </c>
      <c r="E111" s="2">
        <f t="shared" si="35"/>
        <v>15802569.625444122</v>
      </c>
      <c r="F111" s="2">
        <f t="shared" si="35"/>
        <v>0</v>
      </c>
      <c r="G111" s="2">
        <f t="shared" si="35"/>
        <v>424526.57031225209</v>
      </c>
      <c r="H111" s="2">
        <f t="shared" si="35"/>
        <v>2487266.5305771455</v>
      </c>
      <c r="I111" s="2">
        <f t="shared" si="35"/>
        <v>0</v>
      </c>
      <c r="J111" s="2"/>
      <c r="K111" s="71">
        <f>A301</f>
        <v>751</v>
      </c>
    </row>
    <row r="112" spans="1:12">
      <c r="A112" s="50">
        <f t="shared" si="14"/>
        <v>562</v>
      </c>
      <c r="B112" s="28" t="s">
        <v>147</v>
      </c>
      <c r="C112" s="2">
        <f>SUM(D112:I112)</f>
        <v>48143832.309156612</v>
      </c>
      <c r="D112" s="2">
        <f t="shared" ref="D112:I112" si="36">D310</f>
        <v>40220726.023384973</v>
      </c>
      <c r="E112" s="2">
        <f t="shared" si="36"/>
        <v>6552242.4965286925</v>
      </c>
      <c r="F112" s="2">
        <f t="shared" si="36"/>
        <v>0</v>
      </c>
      <c r="G112" s="2">
        <f t="shared" si="36"/>
        <v>165576.75973903993</v>
      </c>
      <c r="H112" s="2">
        <f t="shared" si="36"/>
        <v>1205287.0295039008</v>
      </c>
      <c r="I112" s="2">
        <f t="shared" si="36"/>
        <v>0</v>
      </c>
      <c r="J112" s="2"/>
      <c r="K112" s="71">
        <f>A310</f>
        <v>760</v>
      </c>
    </row>
    <row r="113" spans="1:18">
      <c r="A113" s="50">
        <f t="shared" si="14"/>
        <v>563</v>
      </c>
      <c r="B113" s="52" t="s">
        <v>171</v>
      </c>
      <c r="C113" s="4">
        <f>IF(ROUND(SUM(C109:C112),3)&lt;&gt;ROUND(SUM(D113:I113),3),#VALUE!,SUM(D113:I113))</f>
        <v>125968116.12307373</v>
      </c>
      <c r="D113" s="4">
        <f t="shared" ref="D113:I113" si="37">SUM(D109:D112)</f>
        <v>97553650.06007722</v>
      </c>
      <c r="E113" s="4">
        <f t="shared" si="37"/>
        <v>24023263.41072771</v>
      </c>
      <c r="F113" s="4">
        <f t="shared" si="37"/>
        <v>0</v>
      </c>
      <c r="G113" s="4">
        <f t="shared" si="37"/>
        <v>645034.63971789135</v>
      </c>
      <c r="H113" s="4">
        <f>SUM(H109:H112)</f>
        <v>3746168.0125509007</v>
      </c>
      <c r="I113" s="4">
        <f t="shared" si="37"/>
        <v>0</v>
      </c>
      <c r="J113" s="5"/>
      <c r="K113" s="71" t="str">
        <f>A109&amp;":"&amp;A112</f>
        <v>559:562</v>
      </c>
    </row>
    <row r="114" spans="1:18">
      <c r="A114" s="50">
        <f t="shared" si="14"/>
        <v>564</v>
      </c>
      <c r="B114" s="28" t="s">
        <v>457</v>
      </c>
      <c r="C114" s="2">
        <f>SUM(D114:I114)</f>
        <v>0</v>
      </c>
      <c r="D114" s="5">
        <f t="shared" ref="D114:I114" si="38">SUM(D$276:D$277)*(1+D$93)</f>
        <v>0</v>
      </c>
      <c r="E114" s="5">
        <f t="shared" si="38"/>
        <v>0</v>
      </c>
      <c r="F114" s="5">
        <f t="shared" si="38"/>
        <v>0</v>
      </c>
      <c r="G114" s="5">
        <f t="shared" si="38"/>
        <v>0</v>
      </c>
      <c r="H114" s="5">
        <f t="shared" si="38"/>
        <v>0</v>
      </c>
      <c r="I114" s="5">
        <f t="shared" si="38"/>
        <v>0</v>
      </c>
      <c r="J114" s="5"/>
      <c r="K114" s="71" t="str">
        <f>A276&amp;":"&amp;A277&amp;"*(1+"&amp;A93&amp;")"</f>
        <v>726:727*(1+543)</v>
      </c>
      <c r="L114" s="49"/>
      <c r="M114" s="49"/>
      <c r="N114" s="49"/>
      <c r="O114" s="49"/>
      <c r="P114" s="49"/>
      <c r="Q114" s="49"/>
    </row>
    <row r="115" spans="1:18">
      <c r="A115" s="50">
        <f t="shared" si="14"/>
        <v>565</v>
      </c>
      <c r="B115" s="52" t="s">
        <v>458</v>
      </c>
      <c r="C115" s="4">
        <f>C113-C114</f>
        <v>125968116.12307373</v>
      </c>
      <c r="D115" s="4">
        <f t="shared" ref="D115:I115" si="39">D113-D114</f>
        <v>97553650.06007722</v>
      </c>
      <c r="E115" s="4">
        <f t="shared" si="39"/>
        <v>24023263.41072771</v>
      </c>
      <c r="F115" s="4">
        <f t="shared" si="39"/>
        <v>0</v>
      </c>
      <c r="G115" s="4">
        <f t="shared" si="39"/>
        <v>645034.63971789135</v>
      </c>
      <c r="H115" s="4">
        <f t="shared" si="39"/>
        <v>3746168.0125509007</v>
      </c>
      <c r="I115" s="4">
        <f t="shared" si="39"/>
        <v>0</v>
      </c>
      <c r="J115" s="5"/>
      <c r="K115" s="71" t="str">
        <f>A113&amp;"-"&amp;A114</f>
        <v>563-564</v>
      </c>
      <c r="L115" s="49"/>
      <c r="M115" s="470"/>
      <c r="N115" s="470"/>
      <c r="O115" s="470"/>
      <c r="P115" s="470"/>
      <c r="Q115" s="470"/>
      <c r="R115" s="128"/>
    </row>
    <row r="116" spans="1:18">
      <c r="A116" s="50">
        <f t="shared" si="14"/>
        <v>566</v>
      </c>
      <c r="C116" s="33">
        <f>ABS(ROUND(C113-Detail!$E$438,0))</f>
        <v>651116</v>
      </c>
      <c r="K116" s="71"/>
      <c r="L116" s="49"/>
      <c r="M116" s="49"/>
      <c r="N116" s="49"/>
      <c r="O116" s="49"/>
      <c r="P116" s="49"/>
      <c r="Q116" s="49"/>
    </row>
    <row r="117" spans="1:18">
      <c r="A117" s="50">
        <f t="shared" si="14"/>
        <v>567</v>
      </c>
      <c r="B117" t="s">
        <v>478</v>
      </c>
      <c r="K117" s="71"/>
      <c r="L117" s="49"/>
      <c r="M117" s="49"/>
      <c r="N117" s="49"/>
      <c r="O117" s="49"/>
      <c r="P117" s="49"/>
      <c r="Q117" s="49"/>
    </row>
    <row r="118" spans="1:18">
      <c r="A118" s="50">
        <f t="shared" si="14"/>
        <v>568</v>
      </c>
      <c r="B118" s="28" t="s">
        <v>116</v>
      </c>
      <c r="C118" s="44">
        <f t="shared" ref="C118:I118" si="40">IF(C$177,(C109-C114)/C$177,0)</f>
        <v>4.0403094508685289E-3</v>
      </c>
      <c r="D118" s="44">
        <f t="shared" si="40"/>
        <v>4.5867549075690487E-3</v>
      </c>
      <c r="E118" s="44">
        <f t="shared" si="40"/>
        <v>4.4972312141583898E-3</v>
      </c>
      <c r="F118" s="44">
        <f t="shared" si="40"/>
        <v>0</v>
      </c>
      <c r="G118" s="44">
        <f t="shared" si="40"/>
        <v>4.3977604437021034E-3</v>
      </c>
      <c r="H118" s="44">
        <f t="shared" si="40"/>
        <v>7.641817578671557E-4</v>
      </c>
      <c r="I118" s="44">
        <f t="shared" si="40"/>
        <v>0</v>
      </c>
      <c r="J118" s="44"/>
      <c r="K118" s="71" t="str">
        <f>"("&amp;A109&amp;"-"&amp;A114&amp;")/"&amp;A$177</f>
        <v>(559-564)/627</v>
      </c>
      <c r="L118" s="49"/>
      <c r="M118" s="49"/>
      <c r="N118" s="49"/>
      <c r="O118" s="49"/>
      <c r="P118" s="49"/>
      <c r="Q118" s="49"/>
    </row>
    <row r="119" spans="1:18">
      <c r="A119" s="50">
        <f t="shared" si="14"/>
        <v>569</v>
      </c>
      <c r="B119" s="28" t="s">
        <v>356</v>
      </c>
      <c r="C119" s="44">
        <f t="shared" ref="C119:I121" si="41">IF(C$177,C110/C$177,0)</f>
        <v>1.6542141328277093E-2</v>
      </c>
      <c r="D119" s="44">
        <f t="shared" si="41"/>
        <v>1.8187890364112749E-2</v>
      </c>
      <c r="E119" s="44">
        <f t="shared" si="41"/>
        <v>2.080312145674364E-2</v>
      </c>
      <c r="F119" s="44">
        <f t="shared" si="41"/>
        <v>0</v>
      </c>
      <c r="G119" s="44">
        <f t="shared" si="41"/>
        <v>1.6001063647196487E-2</v>
      </c>
      <c r="H119" s="44">
        <f t="shared" si="41"/>
        <v>9.0120718547288803E-4</v>
      </c>
      <c r="I119" s="44">
        <f t="shared" si="41"/>
        <v>0</v>
      </c>
      <c r="J119" s="44"/>
      <c r="K119" s="71" t="str">
        <f>A110&amp;"/"&amp;A$177</f>
        <v>560/627</v>
      </c>
      <c r="L119" s="49"/>
      <c r="M119" s="471"/>
      <c r="N119" s="471"/>
      <c r="O119" s="471"/>
      <c r="P119" s="471"/>
      <c r="Q119" s="471"/>
    </row>
    <row r="120" spans="1:18">
      <c r="A120" s="50">
        <f t="shared" si="14"/>
        <v>570</v>
      </c>
      <c r="B120" s="28" t="s">
        <v>146</v>
      </c>
      <c r="C120" s="44">
        <f t="shared" si="41"/>
        <v>0.30787497786305495</v>
      </c>
      <c r="D120" s="44">
        <f t="shared" si="41"/>
        <v>0.39846038721302574</v>
      </c>
      <c r="E120" s="44">
        <f t="shared" si="41"/>
        <v>0.23962976163876165</v>
      </c>
      <c r="F120" s="44">
        <f t="shared" si="41"/>
        <v>0</v>
      </c>
      <c r="G120" s="44">
        <f t="shared" si="41"/>
        <v>0.15764857751020797</v>
      </c>
      <c r="H120" s="44">
        <f t="shared" si="41"/>
        <v>7.7260253314943586E-2</v>
      </c>
      <c r="I120" s="44">
        <f t="shared" si="41"/>
        <v>0</v>
      </c>
      <c r="J120" s="44"/>
      <c r="K120" s="71" t="str">
        <f>A111&amp;"/"&amp;A$177</f>
        <v>561/627</v>
      </c>
      <c r="L120" s="49"/>
      <c r="M120" s="471"/>
      <c r="N120" s="471"/>
      <c r="O120" s="471"/>
      <c r="P120" s="471"/>
      <c r="Q120" s="471"/>
    </row>
    <row r="121" spans="1:18">
      <c r="A121" s="50">
        <f t="shared" si="14"/>
        <v>571</v>
      </c>
      <c r="B121" s="28" t="s">
        <v>147</v>
      </c>
      <c r="C121" s="44">
        <f t="shared" si="41"/>
        <v>0.20319106826677977</v>
      </c>
      <c r="D121" s="44">
        <f t="shared" si="41"/>
        <v>0.29550871715833316</v>
      </c>
      <c r="E121" s="44">
        <f t="shared" si="41"/>
        <v>9.9358037639299943E-2</v>
      </c>
      <c r="F121" s="44">
        <f t="shared" si="41"/>
        <v>0</v>
      </c>
      <c r="G121" s="44">
        <f t="shared" si="41"/>
        <v>6.1487177639810903E-2</v>
      </c>
      <c r="H121" s="44">
        <f t="shared" si="41"/>
        <v>3.7439003850978328E-2</v>
      </c>
      <c r="I121" s="44">
        <f t="shared" si="41"/>
        <v>0</v>
      </c>
      <c r="J121" s="44"/>
      <c r="K121" s="71" t="str">
        <f>A112&amp;"/"&amp;A$177</f>
        <v>562/627</v>
      </c>
      <c r="L121" s="472"/>
      <c r="M121" s="49"/>
      <c r="N121" s="49"/>
      <c r="O121" s="49"/>
      <c r="P121" s="49"/>
      <c r="Q121" s="49"/>
    </row>
    <row r="122" spans="1:18">
      <c r="A122" s="50">
        <f t="shared" si="14"/>
        <v>572</v>
      </c>
      <c r="B122" s="52" t="s">
        <v>479</v>
      </c>
      <c r="C122" s="45">
        <f t="shared" ref="C122:I122" si="42">IF(C$177,C115/C$177,0)</f>
        <v>0.53164849690898031</v>
      </c>
      <c r="D122" s="45">
        <f t="shared" si="42"/>
        <v>0.71674374964304066</v>
      </c>
      <c r="E122" s="45">
        <f t="shared" si="42"/>
        <v>0.36428815194896358</v>
      </c>
      <c r="F122" s="45">
        <f t="shared" si="42"/>
        <v>0</v>
      </c>
      <c r="G122" s="45">
        <f t="shared" si="42"/>
        <v>0.23953457924091745</v>
      </c>
      <c r="H122" s="45">
        <f t="shared" si="42"/>
        <v>0.11636464610926196</v>
      </c>
      <c r="I122" s="45">
        <f t="shared" si="42"/>
        <v>0</v>
      </c>
      <c r="J122" s="67"/>
      <c r="K122" s="71" t="str">
        <f>A115&amp;"/"&amp;A$177</f>
        <v>565/627</v>
      </c>
      <c r="L122" s="49"/>
      <c r="M122" s="49"/>
      <c r="N122" s="49"/>
      <c r="O122" s="49"/>
      <c r="P122" s="49"/>
      <c r="Q122" s="49"/>
    </row>
    <row r="123" spans="1:18">
      <c r="A123" s="50">
        <f t="shared" si="14"/>
        <v>573</v>
      </c>
      <c r="K123" s="71"/>
      <c r="L123" s="49"/>
      <c r="M123" s="473"/>
      <c r="N123" s="473"/>
      <c r="O123" s="473"/>
      <c r="P123" s="473"/>
      <c r="Q123" s="473"/>
    </row>
    <row r="124" spans="1:18">
      <c r="A124" s="50">
        <f t="shared" si="14"/>
        <v>574</v>
      </c>
      <c r="B124" s="1" t="s">
        <v>148</v>
      </c>
      <c r="K124" s="71"/>
      <c r="L124" s="49"/>
      <c r="M124" s="473"/>
      <c r="N124" s="473"/>
      <c r="O124" s="473"/>
      <c r="P124" s="473"/>
      <c r="Q124" s="473"/>
    </row>
    <row r="125" spans="1:18">
      <c r="A125" s="50">
        <f t="shared" si="14"/>
        <v>575</v>
      </c>
      <c r="B125" s="28" t="s">
        <v>116</v>
      </c>
      <c r="C125" s="2">
        <f>SUM(D125:I125)</f>
        <v>957305.7631860337</v>
      </c>
      <c r="D125" s="2">
        <f t="shared" ref="D125:I125" si="43">D$109</f>
        <v>624288.22488815337</v>
      </c>
      <c r="E125" s="2">
        <f t="shared" si="43"/>
        <v>296573.38428017235</v>
      </c>
      <c r="F125" s="2">
        <f t="shared" si="43"/>
        <v>0</v>
      </c>
      <c r="G125" s="2">
        <f t="shared" si="43"/>
        <v>11842.581694711791</v>
      </c>
      <c r="H125" s="2">
        <f t="shared" si="43"/>
        <v>24601.572322996111</v>
      </c>
      <c r="I125" s="2">
        <f t="shared" si="43"/>
        <v>0</v>
      </c>
      <c r="J125" s="2"/>
      <c r="K125" s="71">
        <f>A109</f>
        <v>559</v>
      </c>
    </row>
    <row r="126" spans="1:18">
      <c r="A126" s="50">
        <f t="shared" si="14"/>
        <v>576</v>
      </c>
      <c r="B126" s="28" t="s">
        <v>356</v>
      </c>
      <c r="C126" s="2">
        <f>SUM(D126:I126)</f>
        <v>3750206.5838520802</v>
      </c>
      <c r="D126" s="2">
        <f t="shared" ref="D126:I126" si="44">D319</f>
        <v>2677439.5939660459</v>
      </c>
      <c r="E126" s="2">
        <f t="shared" si="44"/>
        <v>998485.90948585025</v>
      </c>
      <c r="F126" s="2">
        <f t="shared" si="44"/>
        <v>0</v>
      </c>
      <c r="G126" s="2">
        <f t="shared" si="44"/>
        <v>27188.725549871189</v>
      </c>
      <c r="H126" s="2">
        <f t="shared" si="44"/>
        <v>47092.354850313321</v>
      </c>
      <c r="I126" s="2">
        <f t="shared" si="44"/>
        <v>0</v>
      </c>
      <c r="J126" s="2"/>
      <c r="K126" s="71">
        <f>A319</f>
        <v>769</v>
      </c>
    </row>
    <row r="127" spans="1:18">
      <c r="A127" s="50">
        <f t="shared" si="14"/>
        <v>577</v>
      </c>
      <c r="B127" s="28" t="s">
        <v>146</v>
      </c>
      <c r="C127" s="2">
        <f>SUM(D127:I127)</f>
        <v>72952279.8052053</v>
      </c>
      <c r="D127" s="2">
        <f t="shared" ref="D127:I127" si="45">D326</f>
        <v>56606175.508379087</v>
      </c>
      <c r="E127" s="2">
        <f t="shared" si="45"/>
        <v>12678194.638371376</v>
      </c>
      <c r="F127" s="2">
        <f t="shared" si="45"/>
        <v>0</v>
      </c>
      <c r="G127" s="2">
        <f t="shared" si="45"/>
        <v>304054.40272079804</v>
      </c>
      <c r="H127" s="2">
        <f t="shared" si="45"/>
        <v>3363855.2557340413</v>
      </c>
      <c r="I127" s="2">
        <f t="shared" si="45"/>
        <v>0</v>
      </c>
      <c r="J127" s="2"/>
      <c r="K127" s="71">
        <f>A326</f>
        <v>776</v>
      </c>
    </row>
    <row r="128" spans="1:18">
      <c r="A128" s="50">
        <f t="shared" si="14"/>
        <v>578</v>
      </c>
      <c r="B128" s="28" t="s">
        <v>147</v>
      </c>
      <c r="C128" s="2">
        <f>SUM(D128:I128)</f>
        <v>48354705.981360033</v>
      </c>
      <c r="D128" s="2">
        <f t="shared" ref="D128:I128" si="46">D333</f>
        <v>40839867.673227608</v>
      </c>
      <c r="E128" s="2">
        <f t="shared" si="46"/>
        <v>6046630.0682988381</v>
      </c>
      <c r="F128" s="2">
        <f t="shared" si="46"/>
        <v>0</v>
      </c>
      <c r="G128" s="2">
        <f t="shared" si="46"/>
        <v>146374.39237437808</v>
      </c>
      <c r="H128" s="2">
        <f t="shared" si="46"/>
        <v>1321833.8474592045</v>
      </c>
      <c r="I128" s="2">
        <f t="shared" si="46"/>
        <v>0</v>
      </c>
      <c r="J128" s="2"/>
      <c r="K128" s="71">
        <f>A333</f>
        <v>783</v>
      </c>
    </row>
    <row r="129" spans="1:11">
      <c r="A129" s="50">
        <f t="shared" si="14"/>
        <v>579</v>
      </c>
      <c r="B129" s="52" t="s">
        <v>170</v>
      </c>
      <c r="C129" s="4">
        <f>IF(ROUND(SUM(C125:C128),3)&lt;&gt;ROUND(SUM(D129:I129),3),#VALUE!,SUM(D129:I129))</f>
        <v>126014498.13360345</v>
      </c>
      <c r="D129" s="4">
        <f t="shared" ref="D129:I129" si="47">SUM(D125:D128)</f>
        <v>100747771.00046089</v>
      </c>
      <c r="E129" s="4">
        <f t="shared" si="47"/>
        <v>20019884.000436239</v>
      </c>
      <c r="F129" s="4">
        <f t="shared" si="47"/>
        <v>0</v>
      </c>
      <c r="G129" s="4">
        <f t="shared" si="47"/>
        <v>489460.10233975912</v>
      </c>
      <c r="H129" s="4">
        <f t="shared" si="47"/>
        <v>4757383.0303665549</v>
      </c>
      <c r="I129" s="4">
        <f t="shared" si="47"/>
        <v>0</v>
      </c>
      <c r="J129" s="5"/>
      <c r="K129" s="71" t="str">
        <f>A125&amp;":"&amp;A128</f>
        <v>575:578</v>
      </c>
    </row>
    <row r="130" spans="1:11">
      <c r="A130" s="50">
        <f t="shared" si="14"/>
        <v>580</v>
      </c>
      <c r="B130" s="28" t="s">
        <v>457</v>
      </c>
      <c r="C130" s="2">
        <f>SUM(D130:I130)</f>
        <v>0</v>
      </c>
      <c r="D130" s="5">
        <f>SUM(D$276:D$277)*(1+D$93)</f>
        <v>0</v>
      </c>
      <c r="E130" s="5">
        <f t="shared" ref="E130:I130" si="48">SUM(E$276:E$277)*(1+E$93)</f>
        <v>0</v>
      </c>
      <c r="F130" s="5">
        <f t="shared" si="48"/>
        <v>0</v>
      </c>
      <c r="G130" s="5">
        <f t="shared" si="48"/>
        <v>0</v>
      </c>
      <c r="H130" s="5">
        <f t="shared" si="48"/>
        <v>0</v>
      </c>
      <c r="I130" s="5">
        <f t="shared" si="48"/>
        <v>0</v>
      </c>
      <c r="J130" s="5"/>
      <c r="K130" s="71" t="str">
        <f>A276&amp;":"&amp;A277&amp;"*(1+"&amp;A93&amp;")"</f>
        <v>726:727*(1+543)</v>
      </c>
    </row>
    <row r="131" spans="1:11">
      <c r="A131" s="50">
        <f t="shared" si="14"/>
        <v>581</v>
      </c>
      <c r="B131" s="52" t="s">
        <v>484</v>
      </c>
      <c r="C131" s="4">
        <f t="shared" ref="C131:I131" si="49">C129-C130</f>
        <v>126014498.13360345</v>
      </c>
      <c r="D131" s="4">
        <f t="shared" si="49"/>
        <v>100747771.00046089</v>
      </c>
      <c r="E131" s="4">
        <f t="shared" si="49"/>
        <v>20019884.000436239</v>
      </c>
      <c r="F131" s="4">
        <f t="shared" si="49"/>
        <v>0</v>
      </c>
      <c r="G131" s="4">
        <f t="shared" si="49"/>
        <v>489460.10233975912</v>
      </c>
      <c r="H131" s="4">
        <f t="shared" si="49"/>
        <v>4757383.0303665549</v>
      </c>
      <c r="I131" s="4">
        <f t="shared" si="49"/>
        <v>0</v>
      </c>
      <c r="J131" s="5"/>
      <c r="K131" s="71" t="str">
        <f>A129&amp;"-"&amp;A130</f>
        <v>579-580</v>
      </c>
    </row>
    <row r="132" spans="1:11">
      <c r="A132" s="50">
        <f t="shared" si="14"/>
        <v>582</v>
      </c>
      <c r="C132" s="33">
        <f>ABS(ROUND(C129-Detail!$E$438,0))</f>
        <v>697498</v>
      </c>
      <c r="K132" s="71"/>
    </row>
    <row r="133" spans="1:11">
      <c r="A133" s="50">
        <f t="shared" si="14"/>
        <v>583</v>
      </c>
      <c r="B133" t="s">
        <v>486</v>
      </c>
      <c r="K133" s="71"/>
    </row>
    <row r="134" spans="1:11">
      <c r="A134" s="50">
        <f t="shared" ref="A134:A197" si="50">Pg1Row+ROW(A134)</f>
        <v>584</v>
      </c>
      <c r="B134" s="28" t="s">
        <v>116</v>
      </c>
      <c r="C134" s="44">
        <f t="shared" ref="C134:I134" si="51">IF(C$177,(C125-C130)/C$177,0)</f>
        <v>4.0403094508685289E-3</v>
      </c>
      <c r="D134" s="44">
        <f t="shared" si="51"/>
        <v>4.5867549075690487E-3</v>
      </c>
      <c r="E134" s="44">
        <f t="shared" si="51"/>
        <v>4.4972312141583898E-3</v>
      </c>
      <c r="F134" s="44">
        <f t="shared" si="51"/>
        <v>0</v>
      </c>
      <c r="G134" s="44">
        <f t="shared" si="51"/>
        <v>4.3977604437021034E-3</v>
      </c>
      <c r="H134" s="44">
        <f t="shared" si="51"/>
        <v>7.641817578671557E-4</v>
      </c>
      <c r="I134" s="44">
        <f t="shared" si="51"/>
        <v>0</v>
      </c>
      <c r="J134" s="44"/>
      <c r="K134" s="71" t="str">
        <f>"("&amp;A125&amp;"-"&amp;A130&amp;")/"&amp;A$177</f>
        <v>(575-580)/627</v>
      </c>
    </row>
    <row r="135" spans="1:11">
      <c r="A135" s="50">
        <f t="shared" si="50"/>
        <v>585</v>
      </c>
      <c r="B135" s="28" t="s">
        <v>356</v>
      </c>
      <c r="C135" s="44">
        <f t="shared" ref="C135:I137" si="52">IF(C$177,C126/C$177,0)</f>
        <v>1.5827748757115175E-2</v>
      </c>
      <c r="D135" s="44">
        <f t="shared" si="52"/>
        <v>1.9671617544193866E-2</v>
      </c>
      <c r="E135" s="44">
        <f t="shared" si="52"/>
        <v>1.5141014794486752E-2</v>
      </c>
      <c r="F135" s="44">
        <f t="shared" si="52"/>
        <v>0</v>
      </c>
      <c r="G135" s="44">
        <f t="shared" si="52"/>
        <v>1.0096573941414229E-2</v>
      </c>
      <c r="H135" s="44">
        <f t="shared" si="52"/>
        <v>1.4627975008726435E-3</v>
      </c>
      <c r="I135" s="44">
        <f t="shared" si="52"/>
        <v>0</v>
      </c>
      <c r="J135" s="44"/>
      <c r="K135" s="71" t="str">
        <f>A126&amp;"/"&amp;A$177</f>
        <v>576/627</v>
      </c>
    </row>
    <row r="136" spans="1:11">
      <c r="A136" s="50">
        <f t="shared" si="50"/>
        <v>586</v>
      </c>
      <c r="B136" s="28" t="s">
        <v>146</v>
      </c>
      <c r="C136" s="44">
        <f t="shared" si="52"/>
        <v>0.30789513329410245</v>
      </c>
      <c r="D136" s="44">
        <f t="shared" si="52"/>
        <v>0.41589548378601759</v>
      </c>
      <c r="E136" s="44">
        <f t="shared" si="52"/>
        <v>0.19225181924280721</v>
      </c>
      <c r="F136" s="44">
        <f t="shared" si="52"/>
        <v>0</v>
      </c>
      <c r="G136" s="44">
        <f t="shared" si="52"/>
        <v>0.1129110576975029</v>
      </c>
      <c r="H136" s="44">
        <f t="shared" si="52"/>
        <v>0.10448912731218674</v>
      </c>
      <c r="I136" s="44">
        <f t="shared" si="52"/>
        <v>0</v>
      </c>
      <c r="J136" s="44"/>
      <c r="K136" s="71" t="str">
        <f>A127&amp;"/"&amp;A$177</f>
        <v>577/627</v>
      </c>
    </row>
    <row r="137" spans="1:11">
      <c r="A137" s="50">
        <f t="shared" si="50"/>
        <v>587</v>
      </c>
      <c r="B137" s="28" t="s">
        <v>147</v>
      </c>
      <c r="C137" s="44">
        <f t="shared" si="52"/>
        <v>0.20408106070546236</v>
      </c>
      <c r="D137" s="44">
        <f t="shared" si="52"/>
        <v>0.3000576592778243</v>
      </c>
      <c r="E137" s="44">
        <f t="shared" si="52"/>
        <v>9.1690943709004394E-2</v>
      </c>
      <c r="F137" s="44">
        <f t="shared" si="52"/>
        <v>0</v>
      </c>
      <c r="G137" s="44">
        <f t="shared" si="52"/>
        <v>5.4356349768093087E-2</v>
      </c>
      <c r="H137" s="44">
        <f t="shared" si="52"/>
        <v>4.1059217675102753E-2</v>
      </c>
      <c r="I137" s="44">
        <f t="shared" si="52"/>
        <v>0</v>
      </c>
      <c r="J137" s="44"/>
      <c r="K137" s="71" t="str">
        <f>A128&amp;"/"&amp;A$177</f>
        <v>578/627</v>
      </c>
    </row>
    <row r="138" spans="1:11">
      <c r="A138" s="50">
        <f t="shared" si="50"/>
        <v>588</v>
      </c>
      <c r="B138" s="52" t="s">
        <v>494</v>
      </c>
      <c r="C138" s="45">
        <f>IF(C$177,C131/C$177,0)</f>
        <v>0.5318442522075485</v>
      </c>
      <c r="D138" s="45">
        <f t="shared" ref="D138:I138" si="53">IF(D$177,D131/D$177,0)</f>
        <v>0.74021151551560482</v>
      </c>
      <c r="E138" s="45">
        <f t="shared" si="53"/>
        <v>0.30358100896045676</v>
      </c>
      <c r="F138" s="45">
        <f t="shared" si="53"/>
        <v>0</v>
      </c>
      <c r="G138" s="45">
        <f t="shared" si="53"/>
        <v>0.18176174185071234</v>
      </c>
      <c r="H138" s="45">
        <f t="shared" si="53"/>
        <v>0.14777532424602927</v>
      </c>
      <c r="I138" s="45">
        <f t="shared" si="53"/>
        <v>0</v>
      </c>
      <c r="J138" s="67"/>
      <c r="K138" s="71" t="str">
        <f>A131&amp;"/"&amp;A$177</f>
        <v>581/627</v>
      </c>
    </row>
    <row r="139" spans="1:11">
      <c r="A139" s="50">
        <f t="shared" si="50"/>
        <v>589</v>
      </c>
      <c r="K139" s="71"/>
    </row>
    <row r="140" spans="1:11">
      <c r="A140" s="50">
        <f t="shared" si="50"/>
        <v>590</v>
      </c>
      <c r="B140" s="1" t="s">
        <v>495</v>
      </c>
      <c r="C140" s="88">
        <f t="shared" ref="C140:I140" si="54">IF(C131,C115/C131,0)</f>
        <v>0.99963193115699633</v>
      </c>
      <c r="D140" s="88">
        <f>IF(D131,D115/D131,0)</f>
        <v>0.96829586492420705</v>
      </c>
      <c r="E140" s="88">
        <f t="shared" si="54"/>
        <v>1.1999701601769639</v>
      </c>
      <c r="F140" s="88">
        <f t="shared" si="54"/>
        <v>0</v>
      </c>
      <c r="G140" s="88">
        <f t="shared" si="54"/>
        <v>1.3178492723603854</v>
      </c>
      <c r="H140" s="88">
        <f t="shared" si="54"/>
        <v>0.7874430098730687</v>
      </c>
      <c r="I140" s="88">
        <f t="shared" si="54"/>
        <v>0</v>
      </c>
      <c r="J140" s="35"/>
      <c r="K140" s="71" t="str">
        <f>A115&amp;"/"&amp;A131</f>
        <v>565/581</v>
      </c>
    </row>
    <row r="141" spans="1:11">
      <c r="A141" s="50">
        <f t="shared" si="50"/>
        <v>591</v>
      </c>
      <c r="K141" s="71"/>
    </row>
    <row r="142" spans="1:11">
      <c r="A142" s="50">
        <f t="shared" si="50"/>
        <v>592</v>
      </c>
      <c r="K142" s="71"/>
    </row>
    <row r="143" spans="1:11">
      <c r="A143" s="50">
        <f t="shared" si="50"/>
        <v>593</v>
      </c>
      <c r="B143" s="1" t="s">
        <v>496</v>
      </c>
      <c r="K143" s="71"/>
    </row>
    <row r="144" spans="1:11">
      <c r="A144" s="50">
        <f t="shared" si="50"/>
        <v>594</v>
      </c>
      <c r="B144" s="28" t="s">
        <v>116</v>
      </c>
      <c r="C144" s="2">
        <f>SUM(D144:I144)</f>
        <v>962440.97379799443</v>
      </c>
      <c r="D144" s="21">
        <f t="shared" ref="D144:I144" si="55">D342</f>
        <v>627637.05202432186</v>
      </c>
      <c r="E144" s="2">
        <f t="shared" si="55"/>
        <v>298164.27284341684</v>
      </c>
      <c r="F144" s="2">
        <f t="shared" si="55"/>
        <v>0</v>
      </c>
      <c r="G144" s="2">
        <f t="shared" si="55"/>
        <v>11906.108055390223</v>
      </c>
      <c r="H144" s="2">
        <f t="shared" si="55"/>
        <v>24733.540874865597</v>
      </c>
      <c r="I144" s="2">
        <f t="shared" si="55"/>
        <v>0</v>
      </c>
      <c r="J144" s="2"/>
      <c r="K144" s="71">
        <f>A$342</f>
        <v>792</v>
      </c>
    </row>
    <row r="145" spans="1:11">
      <c r="A145" s="50">
        <f t="shared" si="50"/>
        <v>595</v>
      </c>
      <c r="B145" s="28" t="s">
        <v>356</v>
      </c>
      <c r="C145" s="2">
        <f>SUM(D145:I145)</f>
        <v>5092444.8828535872</v>
      </c>
      <c r="D145" s="2">
        <f t="shared" ref="D145:I145" si="56">D349</f>
        <v>3320217.1869080914</v>
      </c>
      <c r="E145" s="2">
        <f t="shared" si="56"/>
        <v>1681729.4804090322</v>
      </c>
      <c r="F145" s="2">
        <f t="shared" si="56"/>
        <v>0</v>
      </c>
      <c r="G145" s="2">
        <f t="shared" si="56"/>
        <v>52298.806701493937</v>
      </c>
      <c r="H145" s="2">
        <f t="shared" si="56"/>
        <v>38199.408834968235</v>
      </c>
      <c r="I145" s="2">
        <f t="shared" si="56"/>
        <v>0</v>
      </c>
      <c r="J145" s="2"/>
      <c r="K145" s="71">
        <f>A349</f>
        <v>799</v>
      </c>
    </row>
    <row r="146" spans="1:11">
      <c r="A146" s="50">
        <f t="shared" si="50"/>
        <v>596</v>
      </c>
      <c r="B146" s="28" t="s">
        <v>146</v>
      </c>
      <c r="C146" s="2">
        <f>SUM(D146:I146)</f>
        <v>86146023.189625397</v>
      </c>
      <c r="D146" s="2">
        <f t="shared" ref="D146:I146" si="57">D356</f>
        <v>64294254.144577242</v>
      </c>
      <c r="E146" s="2">
        <f t="shared" si="57"/>
        <v>18418458.460995026</v>
      </c>
      <c r="F146" s="2">
        <f t="shared" si="57"/>
        <v>0</v>
      </c>
      <c r="G146" s="2">
        <f t="shared" si="57"/>
        <v>494836.04921694205</v>
      </c>
      <c r="H146" s="2">
        <f t="shared" si="57"/>
        <v>2938474.5348361935</v>
      </c>
      <c r="I146" s="2">
        <f t="shared" si="57"/>
        <v>0</v>
      </c>
      <c r="J146" s="2"/>
      <c r="K146" s="71">
        <f>A356</f>
        <v>806</v>
      </c>
    </row>
    <row r="147" spans="1:11">
      <c r="A147" s="50">
        <f t="shared" si="50"/>
        <v>597</v>
      </c>
      <c r="B147" s="28" t="s">
        <v>147</v>
      </c>
      <c r="C147" s="2">
        <f>SUM(D147:I147)</f>
        <v>51445303.799952939</v>
      </c>
      <c r="D147" s="2">
        <f t="shared" ref="D147:I147" si="58">D363</f>
        <v>43005308.244373448</v>
      </c>
      <c r="E147" s="2">
        <f t="shared" si="58"/>
        <v>6992837.6046634391</v>
      </c>
      <c r="F147" s="2">
        <f t="shared" si="58"/>
        <v>0</v>
      </c>
      <c r="G147" s="2">
        <f t="shared" si="58"/>
        <v>177198.23514993204</v>
      </c>
      <c r="H147" s="2">
        <f t="shared" si="58"/>
        <v>1269959.7157661207</v>
      </c>
      <c r="I147" s="2">
        <f t="shared" si="58"/>
        <v>0</v>
      </c>
      <c r="J147" s="2"/>
      <c r="K147" s="71">
        <f>A363</f>
        <v>813</v>
      </c>
    </row>
    <row r="148" spans="1:11">
      <c r="A148" s="50">
        <f t="shared" si="50"/>
        <v>598</v>
      </c>
      <c r="B148" s="52" t="s">
        <v>172</v>
      </c>
      <c r="C148" s="4">
        <f>IF(ROUND(SUM(C144:C147),3)&lt;&gt;ROUND(SUM(D148:I148),3),#VALUE!,SUM(D148:I148))</f>
        <v>143646212.84622994</v>
      </c>
      <c r="D148" s="4">
        <f t="shared" ref="D148:I148" si="59">SUM(D144:D147)</f>
        <v>111247416.62788311</v>
      </c>
      <c r="E148" s="4">
        <f t="shared" si="59"/>
        <v>27391189.818910915</v>
      </c>
      <c r="F148" s="4">
        <f t="shared" si="59"/>
        <v>0</v>
      </c>
      <c r="G148" s="4">
        <f t="shared" si="59"/>
        <v>736239.19912375836</v>
      </c>
      <c r="H148" s="4">
        <f t="shared" si="59"/>
        <v>4271367.2003121478</v>
      </c>
      <c r="I148" s="4">
        <f t="shared" si="59"/>
        <v>0</v>
      </c>
      <c r="J148" s="5"/>
      <c r="K148" s="71" t="str">
        <f>A144&amp;":"&amp;A147</f>
        <v>594:597</v>
      </c>
    </row>
    <row r="149" spans="1:11">
      <c r="A149" s="50">
        <f t="shared" si="50"/>
        <v>599</v>
      </c>
      <c r="B149" s="28" t="s">
        <v>457</v>
      </c>
      <c r="C149" s="2">
        <f>SUM(D149:I149)</f>
        <v>0</v>
      </c>
      <c r="D149" s="5">
        <f t="shared" ref="D149:I149" si="60">SUM(D$276:D$277)*(1+D$97)</f>
        <v>0</v>
      </c>
      <c r="E149" s="5">
        <f t="shared" si="60"/>
        <v>0</v>
      </c>
      <c r="F149" s="5">
        <f t="shared" si="60"/>
        <v>0</v>
      </c>
      <c r="G149" s="5">
        <f t="shared" si="60"/>
        <v>0</v>
      </c>
      <c r="H149" s="5">
        <f t="shared" si="60"/>
        <v>0</v>
      </c>
      <c r="I149" s="5">
        <f t="shared" si="60"/>
        <v>0</v>
      </c>
      <c r="J149" s="5"/>
      <c r="K149" s="71" t="str">
        <f>A276&amp;":"&amp;A277&amp;"*(1+"&amp;A97&amp;")"</f>
        <v>726:727*(1+547)</v>
      </c>
    </row>
    <row r="150" spans="1:11">
      <c r="A150" s="50">
        <f t="shared" si="50"/>
        <v>600</v>
      </c>
      <c r="B150" s="52" t="s">
        <v>489</v>
      </c>
      <c r="C150" s="4">
        <f t="shared" ref="C150:I150" si="61">C148-C149</f>
        <v>143646212.84622994</v>
      </c>
      <c r="D150" s="48">
        <f t="shared" si="61"/>
        <v>111247416.62788311</v>
      </c>
      <c r="E150" s="4">
        <f t="shared" si="61"/>
        <v>27391189.818910915</v>
      </c>
      <c r="F150" s="4">
        <f t="shared" si="61"/>
        <v>0</v>
      </c>
      <c r="G150" s="4">
        <f t="shared" si="61"/>
        <v>736239.19912375836</v>
      </c>
      <c r="H150" s="4">
        <f t="shared" si="61"/>
        <v>4271367.2003121478</v>
      </c>
      <c r="I150" s="4">
        <f t="shared" si="61"/>
        <v>0</v>
      </c>
      <c r="J150" s="5"/>
      <c r="K150" s="71" t="str">
        <f>A148&amp;"-"&amp;A149</f>
        <v>598-599</v>
      </c>
    </row>
    <row r="151" spans="1:11">
      <c r="A151" s="50">
        <f t="shared" si="50"/>
        <v>601</v>
      </c>
      <c r="C151" s="33"/>
      <c r="K151" s="71"/>
    </row>
    <row r="152" spans="1:11">
      <c r="A152" s="50">
        <f t="shared" si="50"/>
        <v>602</v>
      </c>
      <c r="B152" t="s">
        <v>487</v>
      </c>
      <c r="K152" s="71"/>
    </row>
    <row r="153" spans="1:11">
      <c r="A153" s="50">
        <f t="shared" si="50"/>
        <v>603</v>
      </c>
      <c r="B153" s="28" t="s">
        <v>116</v>
      </c>
      <c r="C153" s="44">
        <f>IF(C$177,(C144-C149)/C$177,0)</f>
        <v>4.0619826098168823E-3</v>
      </c>
      <c r="D153" s="44">
        <f t="shared" ref="D153:I153" si="62">IF(D$177,(D144-D149)/D$177,0)</f>
        <v>4.6113593269526965E-3</v>
      </c>
      <c r="E153" s="44">
        <f t="shared" si="62"/>
        <v>4.5213554076433717E-3</v>
      </c>
      <c r="F153" s="44">
        <f t="shared" si="62"/>
        <v>0</v>
      </c>
      <c r="G153" s="44">
        <f t="shared" si="62"/>
        <v>4.4213510528552337E-3</v>
      </c>
      <c r="H153" s="44">
        <f t="shared" si="62"/>
        <v>7.6828100642845759E-4</v>
      </c>
      <c r="I153" s="44">
        <f t="shared" si="62"/>
        <v>0</v>
      </c>
      <c r="J153" s="44"/>
      <c r="K153" s="71" t="str">
        <f>"("&amp;A144&amp;"-"&amp;A$149&amp;")/"&amp;A$177</f>
        <v>(594-599)/627</v>
      </c>
    </row>
    <row r="154" spans="1:11">
      <c r="A154" s="50">
        <f t="shared" si="50"/>
        <v>604</v>
      </c>
      <c r="B154" s="28" t="s">
        <v>356</v>
      </c>
      <c r="C154" s="44">
        <f t="shared" ref="C154:I156" si="63">IF(C$177,C145/C$177,0)</f>
        <v>2.149266616733202E-2</v>
      </c>
      <c r="D154" s="44">
        <f t="shared" si="63"/>
        <v>2.4394217076534164E-2</v>
      </c>
      <c r="E154" s="44">
        <f t="shared" si="63"/>
        <v>2.5501702829546558E-2</v>
      </c>
      <c r="F154" s="44">
        <f t="shared" si="63"/>
        <v>0</v>
      </c>
      <c r="G154" s="44">
        <f t="shared" si="63"/>
        <v>1.942124017327709E-2</v>
      </c>
      <c r="H154" s="44">
        <f t="shared" si="63"/>
        <v>1.1865620217170376E-3</v>
      </c>
      <c r="I154" s="44">
        <f t="shared" si="63"/>
        <v>0</v>
      </c>
      <c r="J154" s="44"/>
      <c r="K154" s="71" t="str">
        <f>A145&amp;"/"&amp;A$177</f>
        <v>595/627</v>
      </c>
    </row>
    <row r="155" spans="1:11">
      <c r="A155" s="50">
        <f t="shared" si="50"/>
        <v>605</v>
      </c>
      <c r="B155" s="28" t="s">
        <v>146</v>
      </c>
      <c r="C155" s="44">
        <f t="shared" si="63"/>
        <v>0.36357933382685059</v>
      </c>
      <c r="D155" s="44">
        <f t="shared" si="63"/>
        <v>0.47238114378813661</v>
      </c>
      <c r="E155" s="44">
        <f t="shared" si="63"/>
        <v>0.27929703303791825</v>
      </c>
      <c r="F155" s="44">
        <f t="shared" si="63"/>
        <v>0</v>
      </c>
      <c r="G155" s="44">
        <f t="shared" si="63"/>
        <v>0.18375810777272036</v>
      </c>
      <c r="H155" s="44">
        <f t="shared" si="63"/>
        <v>9.1275817902907203E-2</v>
      </c>
      <c r="I155" s="44">
        <f t="shared" si="63"/>
        <v>0</v>
      </c>
      <c r="J155" s="44"/>
      <c r="K155" s="71" t="str">
        <f>A146&amp;"/"&amp;A$177</f>
        <v>596/627</v>
      </c>
    </row>
    <row r="156" spans="1:11">
      <c r="A156" s="50">
        <f t="shared" si="50"/>
        <v>606</v>
      </c>
      <c r="B156" s="28" t="s">
        <v>147</v>
      </c>
      <c r="C156" s="44">
        <f t="shared" si="63"/>
        <v>0.21712493033990013</v>
      </c>
      <c r="D156" s="44">
        <f t="shared" si="63"/>
        <v>0.31596753034504133</v>
      </c>
      <c r="E156" s="44">
        <f t="shared" si="63"/>
        <v>0.10603921059053549</v>
      </c>
      <c r="F156" s="44">
        <f t="shared" si="63"/>
        <v>0</v>
      </c>
      <c r="G156" s="44">
        <f t="shared" si="63"/>
        <v>6.5802829933963969E-2</v>
      </c>
      <c r="H156" s="44">
        <f t="shared" si="63"/>
        <v>3.9447887121730002E-2</v>
      </c>
      <c r="I156" s="44">
        <f t="shared" si="63"/>
        <v>0</v>
      </c>
      <c r="J156" s="44"/>
      <c r="K156" s="71" t="str">
        <f>A147&amp;"/"&amp;A$177</f>
        <v>597/627</v>
      </c>
    </row>
    <row r="157" spans="1:11">
      <c r="A157" s="50">
        <f t="shared" si="50"/>
        <v>607</v>
      </c>
      <c r="B157" s="52" t="s">
        <v>497</v>
      </c>
      <c r="C157" s="45">
        <f>IF(C$177,C150/C$177,0)</f>
        <v>0.60625891294389977</v>
      </c>
      <c r="D157" s="45">
        <f t="shared" ref="D157:I157" si="64">IF(D$177,D150/D$177,0)</f>
        <v>0.81735425053666477</v>
      </c>
      <c r="E157" s="45">
        <f t="shared" si="64"/>
        <v>0.41535930186564374</v>
      </c>
      <c r="F157" s="45">
        <f t="shared" si="64"/>
        <v>0</v>
      </c>
      <c r="G157" s="45">
        <f t="shared" si="64"/>
        <v>0.27340352893281672</v>
      </c>
      <c r="H157" s="45">
        <f t="shared" si="64"/>
        <v>0.1326785480527827</v>
      </c>
      <c r="I157" s="45">
        <f t="shared" si="64"/>
        <v>0</v>
      </c>
      <c r="J157" s="67"/>
      <c r="K157" s="71" t="str">
        <f>A148&amp;"/"&amp;A$177</f>
        <v>598/627</v>
      </c>
    </row>
    <row r="158" spans="1:11">
      <c r="A158" s="50">
        <f t="shared" si="50"/>
        <v>608</v>
      </c>
      <c r="K158" s="71"/>
    </row>
    <row r="159" spans="1:11">
      <c r="A159" s="50">
        <f t="shared" si="50"/>
        <v>609</v>
      </c>
      <c r="B159" s="1" t="s">
        <v>498</v>
      </c>
      <c r="K159" s="71"/>
    </row>
    <row r="160" spans="1:11">
      <c r="A160" s="50">
        <f t="shared" si="50"/>
        <v>610</v>
      </c>
      <c r="B160" s="28" t="s">
        <v>116</v>
      </c>
      <c r="C160" s="2">
        <f>SUM(D160:I160)</f>
        <v>962440.97379799443</v>
      </c>
      <c r="D160" s="2">
        <f t="shared" ref="D160:I160" si="65">D373</f>
        <v>627637.05202432186</v>
      </c>
      <c r="E160" s="2">
        <f t="shared" si="65"/>
        <v>298164.27284341684</v>
      </c>
      <c r="F160" s="2">
        <f t="shared" si="65"/>
        <v>0</v>
      </c>
      <c r="G160" s="2">
        <f t="shared" si="65"/>
        <v>11906.108055390223</v>
      </c>
      <c r="H160" s="2">
        <f t="shared" si="65"/>
        <v>24733.540874865597</v>
      </c>
      <c r="I160" s="2">
        <f t="shared" si="65"/>
        <v>0</v>
      </c>
      <c r="J160" s="2"/>
      <c r="K160" s="71">
        <f>A373</f>
        <v>823</v>
      </c>
    </row>
    <row r="161" spans="1:11">
      <c r="A161" s="50">
        <f t="shared" si="50"/>
        <v>611</v>
      </c>
      <c r="B161" s="28" t="s">
        <v>356</v>
      </c>
      <c r="C161" s="2">
        <f>SUM(D161:I161)</f>
        <v>4905418.3786555249</v>
      </c>
      <c r="D161" s="2">
        <f t="shared" ref="D161:I161" si="66">D380</f>
        <v>3502193.9148310088</v>
      </c>
      <c r="E161" s="2">
        <f t="shared" si="66"/>
        <v>1306061.7723954802</v>
      </c>
      <c r="F161" s="2">
        <f t="shared" si="66"/>
        <v>0</v>
      </c>
      <c r="G161" s="2">
        <f t="shared" si="66"/>
        <v>35564.009474431841</v>
      </c>
      <c r="H161" s="2">
        <f t="shared" si="66"/>
        <v>61598.681954603657</v>
      </c>
      <c r="I161" s="2">
        <f t="shared" si="66"/>
        <v>0</v>
      </c>
      <c r="J161" s="2"/>
      <c r="K161" s="71">
        <f>A380</f>
        <v>830</v>
      </c>
    </row>
    <row r="162" spans="1:11">
      <c r="A162" s="50">
        <f t="shared" si="50"/>
        <v>612</v>
      </c>
      <c r="B162" s="28" t="s">
        <v>146</v>
      </c>
      <c r="C162" s="2">
        <f>SUM(D162:I162)</f>
        <v>86148715.777684689</v>
      </c>
      <c r="D162" s="2">
        <f t="shared" ref="D162:I162" si="67">D387</f>
        <v>66432640.411249004</v>
      </c>
      <c r="E162" s="2">
        <f t="shared" si="67"/>
        <v>15275041.338719906</v>
      </c>
      <c r="F162" s="2">
        <f t="shared" si="67"/>
        <v>0</v>
      </c>
      <c r="G162" s="2">
        <f t="shared" si="67"/>
        <v>368038.75430860854</v>
      </c>
      <c r="H162" s="2">
        <f t="shared" si="67"/>
        <v>4072995.273407158</v>
      </c>
      <c r="I162" s="2">
        <f t="shared" si="67"/>
        <v>0</v>
      </c>
      <c r="J162" s="2"/>
      <c r="K162" s="71">
        <f>A387</f>
        <v>837</v>
      </c>
    </row>
    <row r="163" spans="1:11">
      <c r="A163" s="50">
        <f t="shared" si="50"/>
        <v>613</v>
      </c>
      <c r="B163" s="28" t="s">
        <v>147</v>
      </c>
      <c r="C163" s="2">
        <f>SUM(D163:I163)</f>
        <v>51633271.637657687</v>
      </c>
      <c r="D163" s="2">
        <f t="shared" ref="D163:I163" si="68">D394</f>
        <v>43568937.720428124</v>
      </c>
      <c r="E163" s="2">
        <f t="shared" si="68"/>
        <v>6486448.7780967448</v>
      </c>
      <c r="F163" s="2">
        <f t="shared" si="68"/>
        <v>0</v>
      </c>
      <c r="G163" s="2">
        <f t="shared" si="68"/>
        <v>157061.79453250038</v>
      </c>
      <c r="H163" s="2">
        <f t="shared" si="68"/>
        <v>1420823.3446003224</v>
      </c>
      <c r="I163" s="2">
        <f t="shared" si="68"/>
        <v>0</v>
      </c>
      <c r="J163" s="2"/>
      <c r="K163" s="71">
        <f>A394</f>
        <v>844</v>
      </c>
    </row>
    <row r="164" spans="1:11">
      <c r="A164" s="50">
        <f t="shared" si="50"/>
        <v>614</v>
      </c>
      <c r="B164" s="52" t="s">
        <v>490</v>
      </c>
      <c r="C164" s="4">
        <f>IF(ROUND(SUM(C160:C163),3)&lt;&gt;ROUND(SUM(D164:I164),3),#VALUE!,SUM(D164:I164))</f>
        <v>143649846.76779586</v>
      </c>
      <c r="D164" s="4">
        <f t="shared" ref="D164:I164" si="69">SUM(D160:D163)</f>
        <v>114131409.09853245</v>
      </c>
      <c r="E164" s="4">
        <f t="shared" si="69"/>
        <v>23365716.162055545</v>
      </c>
      <c r="F164" s="4">
        <f t="shared" si="69"/>
        <v>0</v>
      </c>
      <c r="G164" s="4">
        <f t="shared" si="69"/>
        <v>572570.66637093097</v>
      </c>
      <c r="H164" s="4">
        <f t="shared" si="69"/>
        <v>5580150.8408369496</v>
      </c>
      <c r="I164" s="4">
        <f t="shared" si="69"/>
        <v>0</v>
      </c>
      <c r="J164" s="5"/>
      <c r="K164" s="71" t="str">
        <f>A160&amp;":"&amp;A163</f>
        <v>610:613</v>
      </c>
    </row>
    <row r="165" spans="1:11">
      <c r="A165" s="50">
        <f t="shared" si="50"/>
        <v>615</v>
      </c>
      <c r="B165" s="28" t="s">
        <v>457</v>
      </c>
      <c r="C165" s="2">
        <f>SUM(D165:I165)</f>
        <v>0</v>
      </c>
      <c r="D165" s="5">
        <f t="shared" ref="D165:I165" si="70">SUM(D$368:D$369)*(1+$C$97)</f>
        <v>0</v>
      </c>
      <c r="E165" s="5">
        <f t="shared" si="70"/>
        <v>0</v>
      </c>
      <c r="F165" s="5">
        <f t="shared" si="70"/>
        <v>0</v>
      </c>
      <c r="G165" s="5">
        <f t="shared" si="70"/>
        <v>0</v>
      </c>
      <c r="H165" s="5">
        <f t="shared" si="70"/>
        <v>0</v>
      </c>
      <c r="I165" s="5">
        <f t="shared" si="70"/>
        <v>0</v>
      </c>
      <c r="J165" s="5"/>
      <c r="K165" s="71" t="str">
        <f>A368&amp;":"&amp;A369&amp;"*(1+"&amp;A97&amp;")"</f>
        <v>818:819*(1+547)</v>
      </c>
    </row>
    <row r="166" spans="1:11">
      <c r="A166" s="50">
        <f t="shared" si="50"/>
        <v>616</v>
      </c>
      <c r="B166" s="52" t="s">
        <v>491</v>
      </c>
      <c r="C166" s="4">
        <f t="shared" ref="C166:I166" si="71">C164-C165</f>
        <v>143649846.76779586</v>
      </c>
      <c r="D166" s="4">
        <f t="shared" si="71"/>
        <v>114131409.09853245</v>
      </c>
      <c r="E166" s="4">
        <f t="shared" si="71"/>
        <v>23365716.162055545</v>
      </c>
      <c r="F166" s="4">
        <f t="shared" si="71"/>
        <v>0</v>
      </c>
      <c r="G166" s="4">
        <f t="shared" si="71"/>
        <v>572570.66637093097</v>
      </c>
      <c r="H166" s="4">
        <f t="shared" si="71"/>
        <v>5580150.8408369496</v>
      </c>
      <c r="I166" s="4">
        <f t="shared" si="71"/>
        <v>0</v>
      </c>
      <c r="J166" s="5"/>
      <c r="K166" s="71" t="str">
        <f>A164&amp;"-"&amp;A165</f>
        <v>614-615</v>
      </c>
    </row>
    <row r="167" spans="1:11">
      <c r="A167" s="50">
        <f t="shared" si="50"/>
        <v>617</v>
      </c>
      <c r="C167" s="33"/>
      <c r="K167" s="71"/>
    </row>
    <row r="168" spans="1:11">
      <c r="A168" s="50">
        <f t="shared" si="50"/>
        <v>618</v>
      </c>
      <c r="B168" t="s">
        <v>488</v>
      </c>
      <c r="K168" s="71"/>
    </row>
    <row r="169" spans="1:11">
      <c r="A169" s="50">
        <f t="shared" si="50"/>
        <v>619</v>
      </c>
      <c r="B169" s="28" t="s">
        <v>116</v>
      </c>
      <c r="C169" s="44">
        <f t="shared" ref="C169:I169" si="72">IF(C$177,(C160-C165)/C$177,0)</f>
        <v>4.0619826098168823E-3</v>
      </c>
      <c r="D169" s="44">
        <f t="shared" si="72"/>
        <v>4.6113593269526965E-3</v>
      </c>
      <c r="E169" s="44">
        <f t="shared" si="72"/>
        <v>4.5213554076433717E-3</v>
      </c>
      <c r="F169" s="44">
        <f t="shared" si="72"/>
        <v>0</v>
      </c>
      <c r="G169" s="44">
        <f t="shared" si="72"/>
        <v>4.4213510528552337E-3</v>
      </c>
      <c r="H169" s="44">
        <f t="shared" si="72"/>
        <v>7.6828100642845759E-4</v>
      </c>
      <c r="I169" s="44">
        <f t="shared" si="72"/>
        <v>0</v>
      </c>
      <c r="J169" s="44"/>
      <c r="K169" s="71" t="str">
        <f>"("&amp;A160&amp;"-"&amp;A$165&amp;")/"&amp;A$177</f>
        <v>(610-615)/627</v>
      </c>
    </row>
    <row r="170" spans="1:11">
      <c r="A170" s="50">
        <f t="shared" si="50"/>
        <v>620</v>
      </c>
      <c r="B170" s="28" t="s">
        <v>356</v>
      </c>
      <c r="C170" s="44">
        <f t="shared" ref="C170:I170" si="73">IF(C$177,C161/C$177,0)</f>
        <v>2.0703320713106977E-2</v>
      </c>
      <c r="D170" s="44">
        <f t="shared" si="73"/>
        <v>2.5731231962588339E-2</v>
      </c>
      <c r="E170" s="44">
        <f t="shared" si="73"/>
        <v>1.9805087313186358E-2</v>
      </c>
      <c r="F170" s="44">
        <f t="shared" si="73"/>
        <v>0</v>
      </c>
      <c r="G170" s="44">
        <f t="shared" si="73"/>
        <v>1.3206748166739961E-2</v>
      </c>
      <c r="H170" s="44">
        <f t="shared" si="73"/>
        <v>1.9133975845262606E-3</v>
      </c>
      <c r="I170" s="44">
        <f t="shared" si="73"/>
        <v>0</v>
      </c>
      <c r="J170" s="44"/>
      <c r="K170" s="71" t="str">
        <f>A161&amp;"/"&amp;A$177</f>
        <v>611/627</v>
      </c>
    </row>
    <row r="171" spans="1:11">
      <c r="A171" s="50">
        <f t="shared" si="50"/>
        <v>621</v>
      </c>
      <c r="B171" s="28" t="s">
        <v>146</v>
      </c>
      <c r="C171" s="44">
        <f t="shared" ref="C171:I171" si="74">IF(C$177,C162/C$177,0)</f>
        <v>0.36359069789609744</v>
      </c>
      <c r="D171" s="44">
        <f t="shared" si="74"/>
        <v>0.48809224214289443</v>
      </c>
      <c r="E171" s="44">
        <f t="shared" si="74"/>
        <v>0.23163033619077059</v>
      </c>
      <c r="F171" s="44">
        <f t="shared" si="74"/>
        <v>0</v>
      </c>
      <c r="G171" s="44">
        <f t="shared" si="74"/>
        <v>0.1366717424605603</v>
      </c>
      <c r="H171" s="44">
        <f t="shared" si="74"/>
        <v>0.12651665702307602</v>
      </c>
      <c r="I171" s="44">
        <f t="shared" si="74"/>
        <v>0</v>
      </c>
      <c r="J171" s="44"/>
      <c r="K171" s="71" t="str">
        <f>A162&amp;"/"&amp;A$177</f>
        <v>612/627</v>
      </c>
    </row>
    <row r="172" spans="1:11">
      <c r="A172" s="50">
        <f t="shared" si="50"/>
        <v>622</v>
      </c>
      <c r="B172" s="28" t="s">
        <v>147</v>
      </c>
      <c r="C172" s="44">
        <f t="shared" ref="C172:I172" si="75">IF(C$177,C163/C$177,0)</f>
        <v>0.21791824869265952</v>
      </c>
      <c r="D172" s="44">
        <f t="shared" si="75"/>
        <v>0.32010861480295744</v>
      </c>
      <c r="E172" s="44">
        <f t="shared" si="75"/>
        <v>9.8360343375717016E-2</v>
      </c>
      <c r="F172" s="44">
        <f t="shared" si="75"/>
        <v>0</v>
      </c>
      <c r="G172" s="44">
        <f t="shared" si="75"/>
        <v>5.8325132561283737E-2</v>
      </c>
      <c r="H172" s="44">
        <f t="shared" si="75"/>
        <v>4.4134060491753779E-2</v>
      </c>
      <c r="I172" s="44">
        <f t="shared" si="75"/>
        <v>0</v>
      </c>
      <c r="J172" s="44"/>
      <c r="K172" s="71" t="str">
        <f>A163&amp;"/"&amp;A$177</f>
        <v>613/627</v>
      </c>
    </row>
    <row r="173" spans="1:11">
      <c r="A173" s="50">
        <f t="shared" si="50"/>
        <v>623</v>
      </c>
      <c r="B173" s="52" t="s">
        <v>499</v>
      </c>
      <c r="C173" s="45">
        <f>IF(C$177,C166/C$177,0)</f>
        <v>0.60627424991168066</v>
      </c>
      <c r="D173" s="45">
        <f t="shared" ref="D173:I173" si="76">IF(D$177,D166/D$177,0)</f>
        <v>0.83854344823539284</v>
      </c>
      <c r="E173" s="45">
        <f t="shared" si="76"/>
        <v>0.35431712228731727</v>
      </c>
      <c r="F173" s="45">
        <f t="shared" si="76"/>
        <v>0</v>
      </c>
      <c r="G173" s="45">
        <f t="shared" si="76"/>
        <v>0.21262497424143922</v>
      </c>
      <c r="H173" s="45">
        <f t="shared" si="76"/>
        <v>0.17333239610578449</v>
      </c>
      <c r="I173" s="45">
        <f t="shared" si="76"/>
        <v>0</v>
      </c>
      <c r="J173" s="67"/>
      <c r="K173" s="71" t="str">
        <f>A164&amp;"/"&amp;A$177</f>
        <v>614/627</v>
      </c>
    </row>
    <row r="174" spans="1:11">
      <c r="A174" s="50">
        <f t="shared" si="50"/>
        <v>624</v>
      </c>
      <c r="K174" s="71"/>
    </row>
    <row r="175" spans="1:11">
      <c r="A175" s="50">
        <f t="shared" si="50"/>
        <v>625</v>
      </c>
      <c r="B175" s="688" t="s">
        <v>500</v>
      </c>
      <c r="C175" s="689">
        <f>IF(C166,C150/C166,0)</f>
        <v>0.99997470292069446</v>
      </c>
      <c r="D175" s="689">
        <f t="shared" ref="D175:I175" si="77">IF(D166,D150/D166,0)</f>
        <v>0.97473094835656038</v>
      </c>
      <c r="E175" s="689">
        <f t="shared" si="77"/>
        <v>1.1722812016090689</v>
      </c>
      <c r="F175" s="689">
        <f t="shared" si="77"/>
        <v>0</v>
      </c>
      <c r="G175" s="689">
        <f t="shared" si="77"/>
        <v>1.2858486163641456</v>
      </c>
      <c r="H175" s="689">
        <f t="shared" si="77"/>
        <v>0.76545730073337925</v>
      </c>
      <c r="I175" s="88">
        <f t="shared" si="77"/>
        <v>0</v>
      </c>
      <c r="J175" s="35"/>
      <c r="K175" s="71" t="str">
        <f>A150&amp;"/"&amp;A166</f>
        <v>600/616</v>
      </c>
    </row>
    <row r="176" spans="1:11">
      <c r="A176" s="50">
        <f t="shared" si="50"/>
        <v>626</v>
      </c>
      <c r="C176" s="2"/>
      <c r="D176" s="2"/>
      <c r="E176" s="2"/>
      <c r="F176" s="2"/>
      <c r="G176" s="2"/>
      <c r="H176" s="2"/>
      <c r="I176" s="2"/>
      <c r="J176" s="2"/>
      <c r="K176" s="71"/>
    </row>
    <row r="177" spans="1:11">
      <c r="A177" s="50">
        <f t="shared" si="50"/>
        <v>627</v>
      </c>
      <c r="B177" t="s">
        <v>520</v>
      </c>
      <c r="C177" s="2">
        <f>SUM(D177:I177)</f>
        <v>236938723.33968022</v>
      </c>
      <c r="D177" s="39">
        <f>Factors!E41</f>
        <v>136106732.85768002</v>
      </c>
      <c r="E177" s="39">
        <f>Factors!F41</f>
        <v>65945772</v>
      </c>
      <c r="F177" s="39">
        <f>Factors!G41</f>
        <v>0</v>
      </c>
      <c r="G177" s="39">
        <f>Factors!H41</f>
        <v>2692866.4820002159</v>
      </c>
      <c r="H177" s="39">
        <f>Factors!I41</f>
        <v>32193352</v>
      </c>
      <c r="I177" s="39">
        <f>Factors!J41</f>
        <v>0</v>
      </c>
      <c r="J177" s="39"/>
      <c r="K177" s="71">
        <f>Factors!A41</f>
        <v>1025</v>
      </c>
    </row>
    <row r="178" spans="1:11">
      <c r="A178" s="50">
        <f t="shared" si="50"/>
        <v>628</v>
      </c>
      <c r="B178" t="s">
        <v>522</v>
      </c>
      <c r="C178" s="2">
        <f>SUM(D178:I178)</f>
        <v>1778987.8744294199</v>
      </c>
      <c r="D178" s="39">
        <f>Factors!E42</f>
        <v>1005753.4119144318</v>
      </c>
      <c r="E178" s="39">
        <f>Factors!F42</f>
        <v>620702.5032384675</v>
      </c>
      <c r="F178" s="39">
        <f>Factors!G42</f>
        <v>0</v>
      </c>
      <c r="G178" s="39">
        <f>Factors!H42</f>
        <v>13374.074995654239</v>
      </c>
      <c r="H178" s="39">
        <f>Factors!I42</f>
        <v>139157.88428086619</v>
      </c>
      <c r="I178" s="39">
        <f>Factors!J42</f>
        <v>0</v>
      </c>
      <c r="J178" s="39"/>
      <c r="K178" s="71">
        <f>Factors!A42</f>
        <v>1026</v>
      </c>
    </row>
    <row r="179" spans="1:11">
      <c r="A179" s="50">
        <f t="shared" si="50"/>
        <v>629</v>
      </c>
      <c r="B179" t="s">
        <v>521</v>
      </c>
      <c r="C179" s="2">
        <f>SUM(D179:I179)</f>
        <v>2119390.0099999998</v>
      </c>
      <c r="D179" s="2">
        <f>Factors!E43</f>
        <v>2077306</v>
      </c>
      <c r="E179" s="2">
        <f>Factors!F43</f>
        <v>41579</v>
      </c>
      <c r="F179" s="2">
        <f>Factors!G43</f>
        <v>0.01</v>
      </c>
      <c r="G179" s="2">
        <f>Factors!H43</f>
        <v>39</v>
      </c>
      <c r="H179" s="2">
        <f>Factors!I43</f>
        <v>466</v>
      </c>
      <c r="I179" s="2">
        <f>Factors!J43</f>
        <v>0</v>
      </c>
      <c r="J179" s="2"/>
      <c r="K179" s="71">
        <f>Factors!A43</f>
        <v>1027</v>
      </c>
    </row>
    <row r="180" spans="1:11">
      <c r="A180" s="50">
        <f t="shared" si="50"/>
        <v>630</v>
      </c>
      <c r="K180" s="71"/>
    </row>
    <row r="181" spans="1:11">
      <c r="A181" s="50">
        <f t="shared" si="50"/>
        <v>631</v>
      </c>
      <c r="K181" s="71"/>
    </row>
    <row r="182" spans="1:11">
      <c r="A182" s="50">
        <f t="shared" si="50"/>
        <v>632</v>
      </c>
      <c r="K182" s="71"/>
    </row>
    <row r="183" spans="1:11">
      <c r="A183" s="50">
        <f t="shared" si="50"/>
        <v>633</v>
      </c>
      <c r="B183" s="55" t="s">
        <v>501</v>
      </c>
      <c r="C183" s="49"/>
      <c r="K183" s="71"/>
    </row>
    <row r="184" spans="1:11">
      <c r="A184" s="50">
        <f t="shared" si="50"/>
        <v>634</v>
      </c>
      <c r="K184" s="71"/>
    </row>
    <row r="185" spans="1:11">
      <c r="A185" s="50">
        <f t="shared" si="50"/>
        <v>635</v>
      </c>
      <c r="C185" s="34" t="s">
        <v>120</v>
      </c>
      <c r="D185" s="34" t="s">
        <v>397</v>
      </c>
      <c r="E185" s="34" t="s">
        <v>398</v>
      </c>
      <c r="F185" s="34" t="s">
        <v>399</v>
      </c>
      <c r="G185" s="34" t="s">
        <v>400</v>
      </c>
      <c r="H185" s="34" t="s">
        <v>401</v>
      </c>
      <c r="I185" s="34" t="s">
        <v>281</v>
      </c>
      <c r="J185" s="34"/>
      <c r="K185" s="71"/>
    </row>
    <row r="186" spans="1:11">
      <c r="A186" s="50">
        <f t="shared" si="50"/>
        <v>636</v>
      </c>
      <c r="B186" s="1" t="s">
        <v>502</v>
      </c>
      <c r="K186" s="71"/>
    </row>
    <row r="187" spans="1:11">
      <c r="A187" s="50">
        <f t="shared" si="50"/>
        <v>637</v>
      </c>
      <c r="B187" s="56" t="s">
        <v>464</v>
      </c>
      <c r="C187" s="2">
        <f>SUM(D187:I187)</f>
        <v>25733691.266280837</v>
      </c>
      <c r="D187" s="2">
        <f t="shared" ref="D187:I187" si="78">D410</f>
        <v>14978381.515961664</v>
      </c>
      <c r="E187" s="2">
        <f t="shared" si="78"/>
        <v>8492351.0563897099</v>
      </c>
      <c r="F187" s="2">
        <f t="shared" si="78"/>
        <v>0</v>
      </c>
      <c r="G187" s="2">
        <f t="shared" si="78"/>
        <v>346904.88940326526</v>
      </c>
      <c r="H187" s="2">
        <f t="shared" si="78"/>
        <v>1916053.8045261998</v>
      </c>
      <c r="I187" s="2">
        <f t="shared" si="78"/>
        <v>0</v>
      </c>
      <c r="J187" s="2"/>
      <c r="K187" s="71">
        <f>A410</f>
        <v>860</v>
      </c>
    </row>
    <row r="188" spans="1:11">
      <c r="A188" s="50">
        <f t="shared" si="50"/>
        <v>638</v>
      </c>
      <c r="B188" s="56" t="s">
        <v>157</v>
      </c>
      <c r="C188" s="2">
        <f>SUM(D188:I188)</f>
        <v>28147373.971127789</v>
      </c>
      <c r="D188" s="2">
        <f t="shared" ref="D188:I188" si="79">D419</f>
        <v>14726504.720711403</v>
      </c>
      <c r="E188" s="2">
        <f t="shared" si="79"/>
        <v>11479869.765708342</v>
      </c>
      <c r="F188" s="2">
        <f t="shared" si="79"/>
        <v>0</v>
      </c>
      <c r="G188" s="2">
        <f t="shared" si="79"/>
        <v>271529.30907245365</v>
      </c>
      <c r="H188" s="2">
        <f t="shared" si="79"/>
        <v>1669470.1756355898</v>
      </c>
      <c r="I188" s="2">
        <f t="shared" si="79"/>
        <v>0</v>
      </c>
      <c r="J188" s="2"/>
      <c r="K188" s="71">
        <f>A419</f>
        <v>869</v>
      </c>
    </row>
    <row r="189" spans="1:11">
      <c r="A189" s="50">
        <f t="shared" si="50"/>
        <v>639</v>
      </c>
      <c r="B189" s="56" t="s">
        <v>158</v>
      </c>
      <c r="C189" s="2">
        <f>SUM(D189:I189)</f>
        <v>72129696.459962994</v>
      </c>
      <c r="D189" s="2">
        <f t="shared" ref="D189:I189" si="80">D428</f>
        <v>67874845.973829806</v>
      </c>
      <c r="E189" s="2">
        <f t="shared" si="80"/>
        <v>4066964.9552305406</v>
      </c>
      <c r="F189" s="2">
        <f t="shared" si="80"/>
        <v>0</v>
      </c>
      <c r="G189" s="2">
        <f t="shared" si="80"/>
        <v>27102.310398088237</v>
      </c>
      <c r="H189" s="2">
        <f t="shared" si="80"/>
        <v>160783.22050456388</v>
      </c>
      <c r="I189" s="2">
        <f t="shared" si="80"/>
        <v>0</v>
      </c>
      <c r="J189" s="2"/>
      <c r="K189" s="71">
        <f>A428</f>
        <v>878</v>
      </c>
    </row>
    <row r="190" spans="1:11">
      <c r="A190" s="50">
        <f t="shared" si="50"/>
        <v>640</v>
      </c>
      <c r="B190" s="57" t="s">
        <v>171</v>
      </c>
      <c r="C190" s="4">
        <f>IF(ROUND(SUM(C187:C189),3)&lt;&gt;ROUND(SUM(D190:I190),3),#VALUE!,SUM(D190:I190))</f>
        <v>126010761.69737162</v>
      </c>
      <c r="D190" s="4">
        <f t="shared" ref="D190:I190" si="81">SUM(D186:D189)</f>
        <v>97579732.210502863</v>
      </c>
      <c r="E190" s="4">
        <f t="shared" si="81"/>
        <v>24039185.777328596</v>
      </c>
      <c r="F190" s="4">
        <f t="shared" si="81"/>
        <v>0</v>
      </c>
      <c r="G190" s="4">
        <f t="shared" si="81"/>
        <v>645536.50887380715</v>
      </c>
      <c r="H190" s="4">
        <f t="shared" si="81"/>
        <v>3746307.2006663536</v>
      </c>
      <c r="I190" s="4">
        <f t="shared" si="81"/>
        <v>0</v>
      </c>
      <c r="J190" s="5"/>
      <c r="K190" s="71" t="str">
        <f>A186&amp;":"&amp;A189</f>
        <v>636:639</v>
      </c>
    </row>
    <row r="191" spans="1:11">
      <c r="A191" s="50">
        <f t="shared" si="50"/>
        <v>641</v>
      </c>
      <c r="K191" s="71"/>
    </row>
    <row r="192" spans="1:11">
      <c r="A192" s="50">
        <f t="shared" si="50"/>
        <v>642</v>
      </c>
      <c r="B192" t="s">
        <v>503</v>
      </c>
      <c r="K192" s="71"/>
    </row>
    <row r="193" spans="1:11">
      <c r="A193" s="50">
        <f t="shared" si="50"/>
        <v>643</v>
      </c>
      <c r="B193" s="56" t="s">
        <v>464</v>
      </c>
      <c r="C193" s="44">
        <f t="shared" ref="C193:I193" si="82">IF(C$177,C187/C$177,0)</f>
        <v>0.10860905682094221</v>
      </c>
      <c r="D193" s="44">
        <f>IF(D$177,D187/D$177,0)</f>
        <v>0.11004879186706953</v>
      </c>
      <c r="E193" s="44">
        <f t="shared" si="82"/>
        <v>0.12877779422143559</v>
      </c>
      <c r="F193" s="44">
        <f t="shared" si="82"/>
        <v>0</v>
      </c>
      <c r="G193" s="44">
        <f t="shared" si="82"/>
        <v>0.12882365008516505</v>
      </c>
      <c r="H193" s="44">
        <f t="shared" si="82"/>
        <v>5.9517064409018355E-2</v>
      </c>
      <c r="I193" s="44">
        <f t="shared" si="82"/>
        <v>0</v>
      </c>
      <c r="J193" s="44"/>
      <c r="K193" s="71" t="str">
        <f>A187&amp;"/"&amp;A$177</f>
        <v>637/627</v>
      </c>
    </row>
    <row r="194" spans="1:11">
      <c r="A194" s="50">
        <f t="shared" si="50"/>
        <v>644</v>
      </c>
      <c r="B194" s="56" t="s">
        <v>157</v>
      </c>
      <c r="C194" s="44">
        <f t="shared" ref="C194:I194" si="83">IF(C$177,C188/C$177,0)</f>
        <v>0.11879600588028465</v>
      </c>
      <c r="D194" s="44">
        <f t="shared" si="83"/>
        <v>0.10819820894613766</v>
      </c>
      <c r="E194" s="44">
        <f t="shared" si="83"/>
        <v>0.17408045152171911</v>
      </c>
      <c r="F194" s="44">
        <f t="shared" si="83"/>
        <v>0</v>
      </c>
      <c r="G194" s="44">
        <f t="shared" si="83"/>
        <v>0.10083281547281403</v>
      </c>
      <c r="H194" s="44">
        <f t="shared" si="83"/>
        <v>5.1857606366543928E-2</v>
      </c>
      <c r="I194" s="44">
        <f t="shared" si="83"/>
        <v>0</v>
      </c>
      <c r="J194" s="47"/>
      <c r="K194" s="71" t="str">
        <f>A188&amp;"/"&amp;A$177</f>
        <v>638/627</v>
      </c>
    </row>
    <row r="195" spans="1:11">
      <c r="A195" s="50">
        <f t="shared" si="50"/>
        <v>645</v>
      </c>
      <c r="B195" s="56" t="s">
        <v>158</v>
      </c>
      <c r="C195" s="44">
        <f t="shared" ref="C195:I196" si="84">IF(C$177,C189/C$177,0)</f>
        <v>0.30442341987534211</v>
      </c>
      <c r="D195" s="44">
        <f t="shared" si="84"/>
        <v>0.49868837895626461</v>
      </c>
      <c r="E195" s="44">
        <f t="shared" si="84"/>
        <v>6.167135256571931E-2</v>
      </c>
      <c r="F195" s="44">
        <f t="shared" si="84"/>
        <v>0</v>
      </c>
      <c r="G195" s="44">
        <f t="shared" si="84"/>
        <v>1.0064483545414067E-2</v>
      </c>
      <c r="H195" s="44">
        <f t="shared" si="84"/>
        <v>4.9942988386100298E-3</v>
      </c>
      <c r="I195" s="44">
        <f t="shared" si="84"/>
        <v>0</v>
      </c>
      <c r="J195" s="47"/>
      <c r="K195" s="71" t="str">
        <f>A189&amp;"/"&amp;A$177</f>
        <v>639/627</v>
      </c>
    </row>
    <row r="196" spans="1:11">
      <c r="A196" s="50">
        <f t="shared" si="50"/>
        <v>646</v>
      </c>
      <c r="B196" t="s">
        <v>504</v>
      </c>
      <c r="C196" s="45">
        <f t="shared" si="84"/>
        <v>0.53182848257656901</v>
      </c>
      <c r="D196" s="45">
        <f t="shared" si="84"/>
        <v>0.71693537976947175</v>
      </c>
      <c r="E196" s="45">
        <f t="shared" si="84"/>
        <v>0.3645295983088741</v>
      </c>
      <c r="F196" s="45">
        <f t="shared" si="84"/>
        <v>0</v>
      </c>
      <c r="G196" s="45">
        <f t="shared" si="84"/>
        <v>0.23972094910339317</v>
      </c>
      <c r="H196" s="45">
        <f t="shared" si="84"/>
        <v>0.11636896961417231</v>
      </c>
      <c r="I196" s="45">
        <f t="shared" si="84"/>
        <v>0</v>
      </c>
      <c r="K196" s="71" t="str">
        <f>A190&amp;"/"&amp;A$177</f>
        <v>640/627</v>
      </c>
    </row>
    <row r="197" spans="1:11">
      <c r="A197" s="50">
        <f t="shared" si="50"/>
        <v>647</v>
      </c>
      <c r="K197" s="71"/>
    </row>
    <row r="198" spans="1:11">
      <c r="A198" s="50">
        <f t="shared" ref="A198:A261" si="85">Pg1Row+ROW(A198)</f>
        <v>648</v>
      </c>
      <c r="B198" t="s">
        <v>505</v>
      </c>
      <c r="K198" s="71"/>
    </row>
    <row r="199" spans="1:11">
      <c r="A199" s="50">
        <f t="shared" si="85"/>
        <v>649</v>
      </c>
      <c r="B199" s="56" t="s">
        <v>464</v>
      </c>
      <c r="C199" s="44">
        <f>C193</f>
        <v>0.10860905682094221</v>
      </c>
      <c r="D199" s="44">
        <f t="shared" ref="D199:I199" si="86">D193</f>
        <v>0.11004879186706953</v>
      </c>
      <c r="E199" s="44">
        <f t="shared" si="86"/>
        <v>0.12877779422143559</v>
      </c>
      <c r="F199" s="44">
        <f t="shared" si="86"/>
        <v>0</v>
      </c>
      <c r="G199" s="44">
        <f t="shared" si="86"/>
        <v>0.12882365008516505</v>
      </c>
      <c r="H199" s="44">
        <f t="shared" si="86"/>
        <v>5.9517064409018355E-2</v>
      </c>
      <c r="I199" s="44">
        <f t="shared" si="86"/>
        <v>0</v>
      </c>
      <c r="J199" s="44"/>
      <c r="K199" s="71">
        <f>A193</f>
        <v>643</v>
      </c>
    </row>
    <row r="200" spans="1:11">
      <c r="A200" s="50">
        <f t="shared" si="85"/>
        <v>650</v>
      </c>
      <c r="B200" s="56" t="s">
        <v>157</v>
      </c>
      <c r="C200" s="47">
        <f t="shared" ref="C200:I200" si="87">IF(C$178,C188/C$178,0)</f>
        <v>15.822128062652244</v>
      </c>
      <c r="D200" s="47">
        <f t="shared" si="87"/>
        <v>14.642261757461792</v>
      </c>
      <c r="E200" s="47">
        <f t="shared" si="87"/>
        <v>18.494962894161063</v>
      </c>
      <c r="F200" s="47">
        <f t="shared" si="87"/>
        <v>0</v>
      </c>
      <c r="G200" s="47">
        <f t="shared" si="87"/>
        <v>20.302660868933678</v>
      </c>
      <c r="H200" s="47">
        <f t="shared" si="87"/>
        <v>11.996949969906499</v>
      </c>
      <c r="I200" s="47">
        <f t="shared" si="87"/>
        <v>0</v>
      </c>
      <c r="J200" s="47"/>
      <c r="K200" s="71" t="str">
        <f>A188&amp;"/"&amp;A$178</f>
        <v>638/628</v>
      </c>
    </row>
    <row r="201" spans="1:11">
      <c r="A201" s="50">
        <f t="shared" si="85"/>
        <v>651</v>
      </c>
      <c r="B201" s="368" t="s">
        <v>158</v>
      </c>
      <c r="C201" s="47">
        <f t="shared" ref="C201:I201" si="88">IF(C$179,C189/C$179,0)</f>
        <v>34.033234147387063</v>
      </c>
      <c r="D201" s="47">
        <f t="shared" si="88"/>
        <v>32.674457193032616</v>
      </c>
      <c r="E201" s="47">
        <f t="shared" si="88"/>
        <v>97.812957387877063</v>
      </c>
      <c r="F201" s="47">
        <f t="shared" si="88"/>
        <v>0</v>
      </c>
      <c r="G201" s="47">
        <f t="shared" si="88"/>
        <v>694.93103584841629</v>
      </c>
      <c r="H201" s="47">
        <f t="shared" si="88"/>
        <v>345.02837018146755</v>
      </c>
      <c r="I201" s="47">
        <f t="shared" si="88"/>
        <v>0</v>
      </c>
      <c r="J201" s="47"/>
      <c r="K201" s="71" t="str">
        <f>A189&amp;"/"&amp;A$179</f>
        <v>639/629</v>
      </c>
    </row>
    <row r="202" spans="1:11">
      <c r="A202" s="50">
        <f t="shared" si="85"/>
        <v>652</v>
      </c>
      <c r="K202" s="71"/>
    </row>
    <row r="203" spans="1:11">
      <c r="A203" s="50">
        <f t="shared" si="85"/>
        <v>653</v>
      </c>
      <c r="B203" s="1" t="s">
        <v>506</v>
      </c>
      <c r="K203" s="71"/>
    </row>
    <row r="204" spans="1:11">
      <c r="A204" s="50">
        <f t="shared" si="85"/>
        <v>654</v>
      </c>
      <c r="B204" s="56" t="s">
        <v>464</v>
      </c>
      <c r="C204" s="2">
        <f>SUM(D204:I204)</f>
        <v>25368771.926233824</v>
      </c>
      <c r="D204" s="2">
        <f t="shared" ref="D204:I204" si="89">D449</f>
        <v>15624695.699332843</v>
      </c>
      <c r="E204" s="2">
        <f t="shared" si="89"/>
        <v>7047441.0032978309</v>
      </c>
      <c r="F204" s="2">
        <f t="shared" si="89"/>
        <v>0</v>
      </c>
      <c r="G204" s="2">
        <f t="shared" si="89"/>
        <v>264001.62530397892</v>
      </c>
      <c r="H204" s="2">
        <f t="shared" si="89"/>
        <v>2432633.5982991713</v>
      </c>
      <c r="I204" s="2">
        <f t="shared" si="89"/>
        <v>0</v>
      </c>
      <c r="J204" s="2"/>
      <c r="K204" s="71">
        <f>A449</f>
        <v>899</v>
      </c>
    </row>
    <row r="205" spans="1:11">
      <c r="A205" s="50">
        <f t="shared" si="85"/>
        <v>655</v>
      </c>
      <c r="B205" s="56" t="s">
        <v>157</v>
      </c>
      <c r="C205" s="2">
        <f>SUM(D205:I205)</f>
        <v>27184758.170599628</v>
      </c>
      <c r="D205" s="2">
        <f t="shared" ref="D205:I205" si="90">D456</f>
        <v>15368943.023807017</v>
      </c>
      <c r="E205" s="2">
        <f t="shared" si="90"/>
        <v>9484970.4649254624</v>
      </c>
      <c r="F205" s="2">
        <f t="shared" si="90"/>
        <v>0</v>
      </c>
      <c r="G205" s="2">
        <f t="shared" si="90"/>
        <v>204369.57426083245</v>
      </c>
      <c r="H205" s="2">
        <f t="shared" si="90"/>
        <v>2126475.1076063169</v>
      </c>
      <c r="I205" s="2">
        <f t="shared" si="90"/>
        <v>0</v>
      </c>
      <c r="J205" s="2"/>
      <c r="K205" s="71">
        <f>A456</f>
        <v>906</v>
      </c>
    </row>
    <row r="206" spans="1:11">
      <c r="A206" s="50">
        <f t="shared" si="85"/>
        <v>656</v>
      </c>
      <c r="B206" s="56" t="s">
        <v>158</v>
      </c>
      <c r="C206" s="2">
        <f>SUM(D206:I206)</f>
        <v>73460967.705180973</v>
      </c>
      <c r="D206" s="2">
        <f t="shared" ref="D206:I206" si="91">D463</f>
        <v>69754131.945732012</v>
      </c>
      <c r="E206" s="2">
        <f t="shared" si="91"/>
        <v>3487472.5322129424</v>
      </c>
      <c r="F206" s="2">
        <f t="shared" si="91"/>
        <v>0</v>
      </c>
      <c r="G206" s="2">
        <f t="shared" si="91"/>
        <v>21088.902774947721</v>
      </c>
      <c r="H206" s="2">
        <f t="shared" si="91"/>
        <v>198274.32446106532</v>
      </c>
      <c r="I206" s="2">
        <f t="shared" si="91"/>
        <v>0</v>
      </c>
      <c r="J206" s="2"/>
      <c r="K206" s="71">
        <f>A463</f>
        <v>913</v>
      </c>
    </row>
    <row r="207" spans="1:11">
      <c r="A207" s="50">
        <f t="shared" si="85"/>
        <v>657</v>
      </c>
      <c r="B207" s="52" t="s">
        <v>170</v>
      </c>
      <c r="C207" s="4">
        <f>IF(ROUND(SUM(C204:C206),3)&lt;&gt;ROUND(SUM(D207:I207),3),#VALUE!,SUM(D207:I207))</f>
        <v>126014497.80201443</v>
      </c>
      <c r="D207" s="4">
        <f t="shared" ref="D207:I207" si="92">SUM(D203:D206)</f>
        <v>100747770.66887188</v>
      </c>
      <c r="E207" s="4">
        <f t="shared" si="92"/>
        <v>20019884.000436235</v>
      </c>
      <c r="F207" s="4">
        <f t="shared" si="92"/>
        <v>0</v>
      </c>
      <c r="G207" s="4">
        <f t="shared" si="92"/>
        <v>489460.10233975906</v>
      </c>
      <c r="H207" s="4">
        <f t="shared" si="92"/>
        <v>4757383.030366553</v>
      </c>
      <c r="I207" s="4">
        <f t="shared" si="92"/>
        <v>0</v>
      </c>
      <c r="J207" s="5"/>
      <c r="K207" s="71" t="str">
        <f>A203&amp;":"&amp;A206</f>
        <v>653:656</v>
      </c>
    </row>
    <row r="208" spans="1:11">
      <c r="A208" s="50">
        <f t="shared" si="85"/>
        <v>658</v>
      </c>
      <c r="K208" s="71"/>
    </row>
    <row r="209" spans="1:11">
      <c r="A209" s="50">
        <f t="shared" si="85"/>
        <v>659</v>
      </c>
      <c r="B209" t="s">
        <v>507</v>
      </c>
      <c r="K209" s="71"/>
    </row>
    <row r="210" spans="1:11">
      <c r="A210" s="50">
        <f t="shared" si="85"/>
        <v>660</v>
      </c>
      <c r="B210" s="28" t="s">
        <v>508</v>
      </c>
      <c r="C210" s="44">
        <f>IF(C$177,C204/C$177,0)</f>
        <v>0.10706891456431387</v>
      </c>
      <c r="D210" s="44">
        <f t="shared" ref="D210:I210" si="93">IF(D$177,D204/D$177,0)</f>
        <v>0.11479737534858619</v>
      </c>
      <c r="E210" s="44">
        <f t="shared" si="93"/>
        <v>0.10686721513090833</v>
      </c>
      <c r="F210" s="44">
        <f t="shared" si="93"/>
        <v>0</v>
      </c>
      <c r="G210" s="44">
        <f t="shared" si="93"/>
        <v>9.8037398834524822E-2</v>
      </c>
      <c r="H210" s="44">
        <f t="shared" si="93"/>
        <v>7.5563228032271113E-2</v>
      </c>
      <c r="I210" s="44">
        <f t="shared" si="93"/>
        <v>0</v>
      </c>
      <c r="J210" s="44"/>
      <c r="K210" s="71" t="str">
        <f>A204&amp;"/"&amp;A$177</f>
        <v>654/627</v>
      </c>
    </row>
    <row r="211" spans="1:11">
      <c r="A211" s="50">
        <f t="shared" si="85"/>
        <v>661</v>
      </c>
      <c r="B211" s="28" t="s">
        <v>509</v>
      </c>
      <c r="C211" s="44">
        <f t="shared" ref="C211:I211" si="94">IF(C$177,C205/C$177,0)</f>
        <v>0.11473328541416593</v>
      </c>
      <c r="D211" s="44">
        <f t="shared" si="94"/>
        <v>0.11291831565656307</v>
      </c>
      <c r="E211" s="44">
        <f t="shared" si="94"/>
        <v>0.14382984954555483</v>
      </c>
      <c r="F211" s="44">
        <f t="shared" si="94"/>
        <v>0</v>
      </c>
      <c r="G211" s="44">
        <f t="shared" si="94"/>
        <v>7.5892947395234459E-2</v>
      </c>
      <c r="H211" s="44">
        <f t="shared" si="94"/>
        <v>6.6053236941785901E-2</v>
      </c>
      <c r="I211" s="44">
        <f t="shared" si="94"/>
        <v>0</v>
      </c>
      <c r="J211" s="47"/>
      <c r="K211" s="71" t="str">
        <f>A205&amp;"/"&amp;A$177</f>
        <v>655/627</v>
      </c>
    </row>
    <row r="212" spans="1:11">
      <c r="A212" s="50">
        <f t="shared" si="85"/>
        <v>662</v>
      </c>
      <c r="B212" s="28" t="s">
        <v>158</v>
      </c>
      <c r="C212" s="44">
        <f t="shared" ref="C212:I212" si="95">IF(C$177,C206/C$177,0)</f>
        <v>0.31004205082959707</v>
      </c>
      <c r="D212" s="44">
        <f t="shared" si="95"/>
        <v>0.51249582207421296</v>
      </c>
      <c r="E212" s="44">
        <f t="shared" si="95"/>
        <v>5.288394428399356E-2</v>
      </c>
      <c r="F212" s="44">
        <f t="shared" si="95"/>
        <v>0</v>
      </c>
      <c r="G212" s="44">
        <f t="shared" si="95"/>
        <v>7.8313956209530439E-3</v>
      </c>
      <c r="H212" s="44">
        <f t="shared" si="95"/>
        <v>6.1588592719722174E-3</v>
      </c>
      <c r="I212" s="44">
        <f t="shared" si="95"/>
        <v>0</v>
      </c>
      <c r="J212" s="47"/>
      <c r="K212" s="71" t="str">
        <f>A206&amp;"/"&amp;A$177</f>
        <v>656/627</v>
      </c>
    </row>
    <row r="213" spans="1:11">
      <c r="A213" s="50">
        <f t="shared" si="85"/>
        <v>663</v>
      </c>
      <c r="B213" t="s">
        <v>510</v>
      </c>
      <c r="C213" s="45">
        <f t="shared" ref="C213:I213" si="96">IF(C$177,C207/C$177,0)</f>
        <v>0.53184425080807685</v>
      </c>
      <c r="D213" s="45">
        <f t="shared" si="96"/>
        <v>0.74021151307936228</v>
      </c>
      <c r="E213" s="45">
        <f t="shared" si="96"/>
        <v>0.3035810089604567</v>
      </c>
      <c r="F213" s="45">
        <f t="shared" si="96"/>
        <v>0</v>
      </c>
      <c r="G213" s="45">
        <f t="shared" si="96"/>
        <v>0.18176174185071231</v>
      </c>
      <c r="H213" s="45">
        <f t="shared" si="96"/>
        <v>0.14777532424602921</v>
      </c>
      <c r="I213" s="45">
        <f t="shared" si="96"/>
        <v>0</v>
      </c>
      <c r="K213" s="71" t="str">
        <f>A207&amp;"/"&amp;A$177</f>
        <v>657/627</v>
      </c>
    </row>
    <row r="214" spans="1:11">
      <c r="A214" s="50">
        <f t="shared" si="85"/>
        <v>664</v>
      </c>
      <c r="K214" s="71"/>
    </row>
    <row r="215" spans="1:11">
      <c r="A215" s="50">
        <f t="shared" si="85"/>
        <v>665</v>
      </c>
      <c r="B215" t="s">
        <v>511</v>
      </c>
      <c r="K215" s="71"/>
    </row>
    <row r="216" spans="1:11">
      <c r="A216" s="50">
        <f t="shared" si="85"/>
        <v>666</v>
      </c>
      <c r="B216" s="28" t="s">
        <v>508</v>
      </c>
      <c r="C216" s="44">
        <f>C210</f>
        <v>0.10706891456431387</v>
      </c>
      <c r="D216" s="44">
        <f t="shared" ref="D216:I216" si="97">D210</f>
        <v>0.11479737534858619</v>
      </c>
      <c r="E216" s="44">
        <f t="shared" si="97"/>
        <v>0.10686721513090833</v>
      </c>
      <c r="F216" s="44">
        <f t="shared" si="97"/>
        <v>0</v>
      </c>
      <c r="G216" s="44">
        <f t="shared" si="97"/>
        <v>9.8037398834524822E-2</v>
      </c>
      <c r="H216" s="44">
        <f t="shared" si="97"/>
        <v>7.5563228032271113E-2</v>
      </c>
      <c r="I216" s="44">
        <f t="shared" si="97"/>
        <v>0</v>
      </c>
      <c r="J216" s="44"/>
      <c r="K216" s="71">
        <f>A210</f>
        <v>660</v>
      </c>
    </row>
    <row r="217" spans="1:11">
      <c r="A217" s="50">
        <f t="shared" si="85"/>
        <v>667</v>
      </c>
      <c r="B217" s="28" t="s">
        <v>509</v>
      </c>
      <c r="C217" s="47">
        <f t="shared" ref="C217:I217" si="98">IF(C$178,C205/C$178,0)</f>
        <v>15.281024992550147</v>
      </c>
      <c r="D217" s="47">
        <f t="shared" si="98"/>
        <v>15.281024992550149</v>
      </c>
      <c r="E217" s="47">
        <f t="shared" si="98"/>
        <v>15.281024992550151</v>
      </c>
      <c r="F217" s="47">
        <f t="shared" si="98"/>
        <v>0</v>
      </c>
      <c r="G217" s="47">
        <f t="shared" si="98"/>
        <v>15.281024992550149</v>
      </c>
      <c r="H217" s="47">
        <f t="shared" si="98"/>
        <v>15.281024992550144</v>
      </c>
      <c r="I217" s="47">
        <f t="shared" si="98"/>
        <v>0</v>
      </c>
      <c r="J217" s="47"/>
      <c r="K217" s="71" t="str">
        <f>A205&amp;"/"&amp;A$178</f>
        <v>655/628</v>
      </c>
    </row>
    <row r="218" spans="1:11">
      <c r="A218" s="50">
        <f t="shared" si="85"/>
        <v>668</v>
      </c>
      <c r="B218" s="28" t="s">
        <v>158</v>
      </c>
      <c r="C218" s="47">
        <f>IF(C$179,C206/C$179,0)</f>
        <v>34.661373017031906</v>
      </c>
      <c r="D218" s="47">
        <f t="shared" ref="D218:I218" si="99">IF(D$179,D206/D$179,0)</f>
        <v>33.579131791720627</v>
      </c>
      <c r="E218" s="47">
        <f t="shared" si="99"/>
        <v>83.875815488899264</v>
      </c>
      <c r="F218" s="47">
        <f t="shared" si="99"/>
        <v>0</v>
      </c>
      <c r="G218" s="47">
        <f t="shared" si="99"/>
        <v>540.74109679353126</v>
      </c>
      <c r="H218" s="47">
        <f t="shared" si="99"/>
        <v>425.48138296365948</v>
      </c>
      <c r="I218" s="47">
        <f t="shared" si="99"/>
        <v>0</v>
      </c>
      <c r="J218" s="47"/>
      <c r="K218" s="71" t="str">
        <f>A206&amp;"/"&amp;A$179</f>
        <v>656/629</v>
      </c>
    </row>
    <row r="219" spans="1:11">
      <c r="A219" s="50">
        <f t="shared" si="85"/>
        <v>669</v>
      </c>
      <c r="K219" s="71"/>
    </row>
    <row r="220" spans="1:11">
      <c r="A220" s="50">
        <f t="shared" si="85"/>
        <v>670</v>
      </c>
      <c r="B220" s="1" t="s">
        <v>495</v>
      </c>
      <c r="C220" s="88">
        <f t="shared" ref="C220:I220" si="100">IF(C207,C190/C207,0)</f>
        <v>0.99997035178723104</v>
      </c>
      <c r="D220" s="88">
        <f>IF(D207,D190/D207,0)</f>
        <v>0.96855475374456257</v>
      </c>
      <c r="E220" s="88">
        <f t="shared" si="100"/>
        <v>1.200765487792276</v>
      </c>
      <c r="F220" s="88">
        <f>IF(F207,F190/F207,0)</f>
        <v>0</v>
      </c>
      <c r="G220" s="88">
        <f t="shared" si="100"/>
        <v>1.318874624893752</v>
      </c>
      <c r="H220" s="88">
        <f>IF(H207,H190/H207,0)</f>
        <v>0.78747226715896856</v>
      </c>
      <c r="I220" s="88">
        <f t="shared" si="100"/>
        <v>0</v>
      </c>
      <c r="J220" s="35"/>
      <c r="K220" s="71" t="str">
        <f>A190&amp;"/"&amp;A207</f>
        <v>640/657</v>
      </c>
    </row>
    <row r="221" spans="1:11">
      <c r="A221" s="50">
        <f t="shared" si="85"/>
        <v>671</v>
      </c>
      <c r="K221" s="71"/>
    </row>
    <row r="222" spans="1:11">
      <c r="A222" s="50">
        <f t="shared" si="85"/>
        <v>672</v>
      </c>
      <c r="K222" s="71"/>
    </row>
    <row r="223" spans="1:11">
      <c r="A223" s="50">
        <f t="shared" si="85"/>
        <v>673</v>
      </c>
      <c r="B223" s="1" t="s">
        <v>512</v>
      </c>
      <c r="K223" s="71"/>
    </row>
    <row r="224" spans="1:11">
      <c r="A224" s="50">
        <f t="shared" si="85"/>
        <v>674</v>
      </c>
      <c r="B224" s="28" t="s">
        <v>464</v>
      </c>
      <c r="C224" s="2">
        <f>SUM(D224:I224)</f>
        <v>30016300.976464674</v>
      </c>
      <c r="D224" s="2">
        <f t="shared" ref="D224:I224" si="101">D479</f>
        <v>17740297.223119676</v>
      </c>
      <c r="E224" s="2">
        <f t="shared" si="101"/>
        <v>9696570.0860433504</v>
      </c>
      <c r="F224" s="2">
        <f t="shared" si="101"/>
        <v>0</v>
      </c>
      <c r="G224" s="2">
        <f t="shared" si="101"/>
        <v>395105.06519037613</v>
      </c>
      <c r="H224" s="2">
        <f t="shared" si="101"/>
        <v>2184328.6021112707</v>
      </c>
      <c r="I224" s="2">
        <f t="shared" si="101"/>
        <v>0</v>
      </c>
      <c r="J224" s="2"/>
      <c r="K224" s="71">
        <f>A479</f>
        <v>929</v>
      </c>
    </row>
    <row r="225" spans="1:11">
      <c r="A225" s="50">
        <f t="shared" si="85"/>
        <v>675</v>
      </c>
      <c r="B225" s="28" t="s">
        <v>157</v>
      </c>
      <c r="C225" s="2">
        <f>SUM(D225:I225)</f>
        <v>32829329.433185548</v>
      </c>
      <c r="D225" s="2">
        <f t="shared" ref="D225:I225" si="102">D486</f>
        <v>17470988.211124226</v>
      </c>
      <c r="E225" s="2">
        <f t="shared" si="102"/>
        <v>13141147.382889688</v>
      </c>
      <c r="F225" s="2">
        <f t="shared" si="102"/>
        <v>0</v>
      </c>
      <c r="G225" s="2">
        <f t="shared" si="102"/>
        <v>310525.20868882583</v>
      </c>
      <c r="H225" s="2">
        <f t="shared" si="102"/>
        <v>1906668.630482808</v>
      </c>
      <c r="I225" s="2">
        <f t="shared" si="102"/>
        <v>0</v>
      </c>
      <c r="J225" s="2"/>
      <c r="K225" s="71">
        <f>A486</f>
        <v>936</v>
      </c>
    </row>
    <row r="226" spans="1:11">
      <c r="A226" s="50">
        <f t="shared" si="85"/>
        <v>676</v>
      </c>
      <c r="B226" s="28" t="s">
        <v>158</v>
      </c>
      <c r="C226" s="2">
        <f>SUM(D226:I226)</f>
        <v>80800582.103211939</v>
      </c>
      <c r="D226" s="2">
        <f t="shared" ref="D226:I226" si="103">D493</f>
        <v>76036130.860271454</v>
      </c>
      <c r="E226" s="2">
        <f t="shared" si="103"/>
        <v>4553472.3499778714</v>
      </c>
      <c r="F226" s="2">
        <f t="shared" si="103"/>
        <v>0</v>
      </c>
      <c r="G226" s="2">
        <f t="shared" si="103"/>
        <v>30608.925244556187</v>
      </c>
      <c r="H226" s="2">
        <f t="shared" si="103"/>
        <v>180369.96771806889</v>
      </c>
      <c r="I226" s="2">
        <f t="shared" si="103"/>
        <v>0</v>
      </c>
      <c r="J226" s="2"/>
      <c r="K226" s="71">
        <f>A493</f>
        <v>943</v>
      </c>
    </row>
    <row r="227" spans="1:11">
      <c r="A227" s="50">
        <f t="shared" si="85"/>
        <v>677</v>
      </c>
      <c r="B227" s="52" t="s">
        <v>172</v>
      </c>
      <c r="C227" s="4">
        <f>IF(ROUND(SUM(C224:C226),3)&lt;&gt;ROUND(SUM(D227:I227),3),#VALUE!,SUM(D227:I227))</f>
        <v>143646212.51286218</v>
      </c>
      <c r="D227" s="4">
        <f t="shared" ref="D227:I227" si="104">SUM(D223:D226)</f>
        <v>111247416.29451536</v>
      </c>
      <c r="E227" s="4">
        <f t="shared" si="104"/>
        <v>27391189.818910912</v>
      </c>
      <c r="F227" s="4">
        <f t="shared" si="104"/>
        <v>0</v>
      </c>
      <c r="G227" s="4">
        <f t="shared" si="104"/>
        <v>736239.19912375812</v>
      </c>
      <c r="H227" s="4">
        <f t="shared" si="104"/>
        <v>4271367.2003121469</v>
      </c>
      <c r="I227" s="4">
        <f t="shared" si="104"/>
        <v>0</v>
      </c>
      <c r="J227" s="5"/>
      <c r="K227" s="71" t="str">
        <f>A223&amp;":"&amp;A226</f>
        <v>673:676</v>
      </c>
    </row>
    <row r="228" spans="1:11">
      <c r="A228" s="50">
        <f t="shared" si="85"/>
        <v>678</v>
      </c>
      <c r="K228" s="71"/>
    </row>
    <row r="229" spans="1:11">
      <c r="A229" s="50">
        <f t="shared" si="85"/>
        <v>679</v>
      </c>
      <c r="B229" t="s">
        <v>513</v>
      </c>
      <c r="K229" s="71"/>
    </row>
    <row r="230" spans="1:11">
      <c r="A230" s="50">
        <f t="shared" si="85"/>
        <v>680</v>
      </c>
      <c r="B230" s="28" t="s">
        <v>508</v>
      </c>
      <c r="C230" s="44">
        <f>IF(C$177,C224/C$177,0)</f>
        <v>0.12668381323821301</v>
      </c>
      <c r="D230" s="44">
        <f t="shared" ref="D230:I230" si="105">IF(D$177,D224/D$177,0)</f>
        <v>0.13034107020752467</v>
      </c>
      <c r="E230" s="44">
        <f t="shared" si="105"/>
        <v>0.14703854078838216</v>
      </c>
      <c r="F230" s="44">
        <f t="shared" si="105"/>
        <v>0</v>
      </c>
      <c r="G230" s="44">
        <f t="shared" si="105"/>
        <v>0.14672285753168821</v>
      </c>
      <c r="H230" s="44">
        <f t="shared" si="105"/>
        <v>6.7850300338755359E-2</v>
      </c>
      <c r="I230" s="44">
        <f t="shared" si="105"/>
        <v>0</v>
      </c>
      <c r="J230" s="44"/>
      <c r="K230" s="71" t="str">
        <f>A224&amp;"/"&amp;A$177</f>
        <v>674/627</v>
      </c>
    </row>
    <row r="231" spans="1:11">
      <c r="A231" s="50">
        <f t="shared" si="85"/>
        <v>681</v>
      </c>
      <c r="B231" s="28" t="s">
        <v>509</v>
      </c>
      <c r="C231" s="44">
        <f t="shared" ref="C231:I231" si="106">IF(C$177,C225/C$177,0)</f>
        <v>0.13855620124246532</v>
      </c>
      <c r="D231" s="44">
        <f t="shared" si="106"/>
        <v>0.12836240973760468</v>
      </c>
      <c r="E231" s="44">
        <f t="shared" si="106"/>
        <v>0.19927202282035136</v>
      </c>
      <c r="F231" s="44">
        <f t="shared" si="106"/>
        <v>0</v>
      </c>
      <c r="G231" s="44">
        <f t="shared" si="106"/>
        <v>0.11531400118218002</v>
      </c>
      <c r="H231" s="44">
        <f t="shared" si="106"/>
        <v>5.9225539188426476E-2</v>
      </c>
      <c r="I231" s="44">
        <f t="shared" si="106"/>
        <v>0</v>
      </c>
      <c r="J231" s="47"/>
      <c r="K231" s="71" t="str">
        <f>A225&amp;"/"&amp;A$177</f>
        <v>675/627</v>
      </c>
    </row>
    <row r="232" spans="1:11">
      <c r="A232" s="50">
        <f t="shared" si="85"/>
        <v>682</v>
      </c>
      <c r="B232" s="28" t="s">
        <v>158</v>
      </c>
      <c r="C232" s="44">
        <f t="shared" ref="C232:I232" si="107">IF(C$177,C226/C$177,0)</f>
        <v>0.34101889705624255</v>
      </c>
      <c r="D232" s="44">
        <f t="shared" si="107"/>
        <v>0.55865076814222425</v>
      </c>
      <c r="E232" s="44">
        <f t="shared" si="107"/>
        <v>6.9048738256910103E-2</v>
      </c>
      <c r="F232" s="44">
        <f t="shared" si="107"/>
        <v>0</v>
      </c>
      <c r="G232" s="44">
        <f t="shared" si="107"/>
        <v>1.1366670218948395E-2</v>
      </c>
      <c r="H232" s="44">
        <f t="shared" si="107"/>
        <v>5.6027085256008411E-3</v>
      </c>
      <c r="I232" s="44">
        <f t="shared" si="107"/>
        <v>0</v>
      </c>
      <c r="J232" s="47"/>
      <c r="K232" s="71" t="str">
        <f>A226&amp;"/"&amp;A$177</f>
        <v>676/627</v>
      </c>
    </row>
    <row r="233" spans="1:11">
      <c r="A233" s="50">
        <f t="shared" si="85"/>
        <v>683</v>
      </c>
      <c r="B233" s="52" t="s">
        <v>514</v>
      </c>
      <c r="C233" s="45">
        <f t="shared" ref="C233:I233" si="108">IF(C$177,C227/C$177,0)</f>
        <v>0.60625891153692091</v>
      </c>
      <c r="D233" s="45">
        <f t="shared" si="108"/>
        <v>0.81735424808735357</v>
      </c>
      <c r="E233" s="45">
        <f t="shared" si="108"/>
        <v>0.41535930186564368</v>
      </c>
      <c r="F233" s="45">
        <f t="shared" si="108"/>
        <v>0</v>
      </c>
      <c r="G233" s="45">
        <f t="shared" si="108"/>
        <v>0.27340352893281661</v>
      </c>
      <c r="H233" s="45">
        <f t="shared" si="108"/>
        <v>0.13267854805278267</v>
      </c>
      <c r="I233" s="45">
        <f t="shared" si="108"/>
        <v>0</v>
      </c>
      <c r="K233" s="71" t="str">
        <f>A227&amp;"/"&amp;A$177</f>
        <v>677/627</v>
      </c>
    </row>
    <row r="234" spans="1:11">
      <c r="A234" s="50">
        <f t="shared" si="85"/>
        <v>684</v>
      </c>
      <c r="K234" s="71"/>
    </row>
    <row r="235" spans="1:11">
      <c r="A235" s="50">
        <f t="shared" si="85"/>
        <v>685</v>
      </c>
      <c r="B235" t="s">
        <v>515</v>
      </c>
      <c r="K235" s="71"/>
    </row>
    <row r="236" spans="1:11">
      <c r="A236" s="50">
        <f t="shared" si="85"/>
        <v>686</v>
      </c>
      <c r="B236" s="28" t="s">
        <v>508</v>
      </c>
      <c r="C236" s="44">
        <f>C230</f>
        <v>0.12668381323821301</v>
      </c>
      <c r="D236" s="44">
        <f t="shared" ref="D236:I236" si="109">D230</f>
        <v>0.13034107020752467</v>
      </c>
      <c r="E236" s="44">
        <f t="shared" si="109"/>
        <v>0.14703854078838216</v>
      </c>
      <c r="F236" s="44">
        <f t="shared" si="109"/>
        <v>0</v>
      </c>
      <c r="G236" s="44">
        <f t="shared" si="109"/>
        <v>0.14672285753168821</v>
      </c>
      <c r="H236" s="44">
        <f t="shared" si="109"/>
        <v>6.7850300338755359E-2</v>
      </c>
      <c r="I236" s="44">
        <f t="shared" si="109"/>
        <v>0</v>
      </c>
      <c r="J236" s="44"/>
      <c r="K236" s="71">
        <f>A230</f>
        <v>680</v>
      </c>
    </row>
    <row r="237" spans="1:11">
      <c r="A237" s="50">
        <f t="shared" si="85"/>
        <v>687</v>
      </c>
      <c r="B237" s="28" t="s">
        <v>509</v>
      </c>
      <c r="C237" s="47">
        <f t="shared" ref="C237:I237" si="110">IF(C$178,C225/C$178,0)</f>
        <v>18.453936592296895</v>
      </c>
      <c r="D237" s="47">
        <f t="shared" si="110"/>
        <v>17.371045431373226</v>
      </c>
      <c r="E237" s="47">
        <f t="shared" si="110"/>
        <v>21.171410320285101</v>
      </c>
      <c r="F237" s="47">
        <f t="shared" si="110"/>
        <v>0</v>
      </c>
      <c r="G237" s="47">
        <f t="shared" si="110"/>
        <v>23.218443801887432</v>
      </c>
      <c r="H237" s="47">
        <f t="shared" si="110"/>
        <v>13.701477572298572</v>
      </c>
      <c r="I237" s="47">
        <f t="shared" si="110"/>
        <v>0</v>
      </c>
      <c r="J237" s="47"/>
      <c r="K237" s="71" t="str">
        <f>A225&amp;"/"&amp;A$178</f>
        <v>675/628</v>
      </c>
    </row>
    <row r="238" spans="1:11">
      <c r="A238" s="50">
        <f t="shared" si="85"/>
        <v>688</v>
      </c>
      <c r="B238" s="28" t="s">
        <v>158</v>
      </c>
      <c r="C238" s="47">
        <f t="shared" ref="C238:I238" si="111">IF(C$179,C226/C$179,0)</f>
        <v>38.124451715808526</v>
      </c>
      <c r="D238" s="47">
        <f t="shared" si="111"/>
        <v>36.603240379737727</v>
      </c>
      <c r="E238" s="47">
        <f t="shared" si="111"/>
        <v>109.51375333648889</v>
      </c>
      <c r="F238" s="47">
        <f t="shared" si="111"/>
        <v>0</v>
      </c>
      <c r="G238" s="47">
        <f t="shared" si="111"/>
        <v>784.84423703990228</v>
      </c>
      <c r="H238" s="47">
        <f t="shared" si="111"/>
        <v>387.06001656237959</v>
      </c>
      <c r="I238" s="47">
        <f t="shared" si="111"/>
        <v>0</v>
      </c>
      <c r="J238" s="47"/>
      <c r="K238" s="71" t="str">
        <f>A226&amp;"/"&amp;A$179</f>
        <v>676/629</v>
      </c>
    </row>
    <row r="239" spans="1:11">
      <c r="A239" s="50">
        <f t="shared" si="85"/>
        <v>689</v>
      </c>
      <c r="K239" s="71"/>
    </row>
    <row r="240" spans="1:11">
      <c r="A240" s="50">
        <f t="shared" si="85"/>
        <v>690</v>
      </c>
      <c r="B240" s="1" t="s">
        <v>516</v>
      </c>
      <c r="K240" s="71"/>
    </row>
    <row r="241" spans="1:11">
      <c r="A241" s="50">
        <f t="shared" si="85"/>
        <v>691</v>
      </c>
      <c r="B241" s="28" t="s">
        <v>464</v>
      </c>
      <c r="C241" s="2">
        <f>SUM(D241:I241)</f>
        <v>29739286.86114559</v>
      </c>
      <c r="D241" s="2">
        <f t="shared" ref="D241:I241" si="112">D509</f>
        <v>18328662.94626686</v>
      </c>
      <c r="E241" s="2">
        <f t="shared" si="112"/>
        <v>8249441.2865372822</v>
      </c>
      <c r="F241" s="2">
        <f t="shared" si="112"/>
        <v>0</v>
      </c>
      <c r="G241" s="2">
        <f t="shared" si="112"/>
        <v>308169.08366141701</v>
      </c>
      <c r="H241" s="2">
        <f t="shared" si="112"/>
        <v>2853013.5446800306</v>
      </c>
      <c r="I241" s="2">
        <f t="shared" si="112"/>
        <v>0</v>
      </c>
      <c r="J241" s="2"/>
      <c r="K241" s="71">
        <f>A509</f>
        <v>959</v>
      </c>
    </row>
    <row r="242" spans="1:11">
      <c r="A242" s="50">
        <f t="shared" si="85"/>
        <v>692</v>
      </c>
      <c r="B242" s="28" t="s">
        <v>157</v>
      </c>
      <c r="C242" s="2">
        <f>SUM(D242:I242)</f>
        <v>31937346.035758846</v>
      </c>
      <c r="D242" s="2">
        <f t="shared" ref="D242:I242" si="113">D516</f>
        <v>18055825.565004826</v>
      </c>
      <c r="E242" s="2">
        <f t="shared" si="113"/>
        <v>11143184.794076659</v>
      </c>
      <c r="F242" s="2">
        <f t="shared" si="113"/>
        <v>0</v>
      </c>
      <c r="G242" s="2">
        <f t="shared" si="113"/>
        <v>240098.57918868333</v>
      </c>
      <c r="H242" s="2">
        <f t="shared" si="113"/>
        <v>2498237.0974886795</v>
      </c>
      <c r="I242" s="2">
        <f t="shared" si="113"/>
        <v>0</v>
      </c>
      <c r="J242" s="2"/>
      <c r="K242" s="71">
        <f>A516</f>
        <v>966</v>
      </c>
    </row>
    <row r="243" spans="1:11">
      <c r="A243" s="50">
        <f t="shared" si="85"/>
        <v>693</v>
      </c>
      <c r="B243" s="28" t="s">
        <v>158</v>
      </c>
      <c r="C243" s="2">
        <f>SUM(D243:I243)</f>
        <v>81973213.537523717</v>
      </c>
      <c r="D243" s="2">
        <f t="shared" ref="D243:I243" si="114">D523</f>
        <v>77746920.253893033</v>
      </c>
      <c r="E243" s="2">
        <f t="shared" si="114"/>
        <v>3973090.0814416073</v>
      </c>
      <c r="F243" s="2">
        <f t="shared" si="114"/>
        <v>0</v>
      </c>
      <c r="G243" s="2">
        <f t="shared" si="114"/>
        <v>24303.003520830633</v>
      </c>
      <c r="H243" s="2">
        <f t="shared" si="114"/>
        <v>228900.19866823711</v>
      </c>
      <c r="I243" s="2">
        <f t="shared" si="114"/>
        <v>0</v>
      </c>
      <c r="J243" s="2"/>
      <c r="K243" s="71">
        <f>A523</f>
        <v>973</v>
      </c>
    </row>
    <row r="244" spans="1:11">
      <c r="A244" s="50">
        <f t="shared" si="85"/>
        <v>694</v>
      </c>
      <c r="B244" s="52" t="s">
        <v>490</v>
      </c>
      <c r="C244" s="4">
        <f>IF(ROUND(SUM(C241:C243),3)&lt;&gt;ROUND(SUM(D244:I244),3),#VALUE!,SUM(D244:I244))</f>
        <v>143649846.43442813</v>
      </c>
      <c r="D244" s="4">
        <f t="shared" ref="D244:I244" si="115">SUM(D240:D243)</f>
        <v>114131408.76516472</v>
      </c>
      <c r="E244" s="4">
        <f t="shared" si="115"/>
        <v>23365716.162055548</v>
      </c>
      <c r="F244" s="4">
        <f t="shared" si="115"/>
        <v>0</v>
      </c>
      <c r="G244" s="4">
        <f t="shared" si="115"/>
        <v>572570.66637093097</v>
      </c>
      <c r="H244" s="4">
        <f t="shared" si="115"/>
        <v>5580150.8408369469</v>
      </c>
      <c r="I244" s="4">
        <f t="shared" si="115"/>
        <v>0</v>
      </c>
      <c r="J244" s="5"/>
      <c r="K244" s="71" t="str">
        <f>A240&amp;":"&amp;A243</f>
        <v>690:693</v>
      </c>
    </row>
    <row r="245" spans="1:11">
      <c r="A245" s="50">
        <f t="shared" si="85"/>
        <v>695</v>
      </c>
      <c r="K245" s="71"/>
    </row>
    <row r="246" spans="1:11">
      <c r="A246" s="50">
        <f t="shared" si="85"/>
        <v>696</v>
      </c>
      <c r="B246" t="s">
        <v>517</v>
      </c>
      <c r="K246" s="71"/>
    </row>
    <row r="247" spans="1:11">
      <c r="A247" s="50">
        <f t="shared" si="85"/>
        <v>697</v>
      </c>
      <c r="B247" s="28" t="s">
        <v>464</v>
      </c>
      <c r="C247" s="44">
        <f>IF(C$177,C241/C$177,0)</f>
        <v>0.12551467502638114</v>
      </c>
      <c r="D247" s="44">
        <f t="shared" ref="D247:I247" si="116">IF(D$177,D241/D$177,0)</f>
        <v>0.13466389620440175</v>
      </c>
      <c r="E247" s="44">
        <f t="shared" si="116"/>
        <v>0.12509431668397608</v>
      </c>
      <c r="F247" s="44">
        <f t="shared" si="116"/>
        <v>0</v>
      </c>
      <c r="G247" s="44">
        <f t="shared" si="116"/>
        <v>0.11443905062553053</v>
      </c>
      <c r="H247" s="44">
        <f t="shared" si="116"/>
        <v>8.862120181458677E-2</v>
      </c>
      <c r="I247" s="44">
        <f t="shared" si="116"/>
        <v>0</v>
      </c>
      <c r="J247" s="44"/>
      <c r="K247" s="71" t="str">
        <f>A241&amp;"/"&amp;A$177</f>
        <v>691/627</v>
      </c>
    </row>
    <row r="248" spans="1:11">
      <c r="A248" s="50">
        <f t="shared" si="85"/>
        <v>698</v>
      </c>
      <c r="B248" s="28" t="s">
        <v>157</v>
      </c>
      <c r="C248" s="44">
        <f t="shared" ref="C248:I248" si="117">IF(C$177,C242/C$177,0)</f>
        <v>0.13479158486885578</v>
      </c>
      <c r="D248" s="44">
        <f t="shared" si="117"/>
        <v>0.13265931218762628</v>
      </c>
      <c r="E248" s="44">
        <f t="shared" si="117"/>
        <v>0.16897496922284355</v>
      </c>
      <c r="F248" s="44">
        <f t="shared" si="117"/>
        <v>0</v>
      </c>
      <c r="G248" s="44">
        <f t="shared" si="117"/>
        <v>8.9160966870641928E-2</v>
      </c>
      <c r="H248" s="44">
        <f t="shared" si="117"/>
        <v>7.7601024506198657E-2</v>
      </c>
      <c r="I248" s="44">
        <f t="shared" si="117"/>
        <v>0</v>
      </c>
      <c r="J248" s="47"/>
      <c r="K248" s="71" t="str">
        <f>A242&amp;"/"&amp;A$177</f>
        <v>692/627</v>
      </c>
    </row>
    <row r="249" spans="1:11">
      <c r="A249" s="50">
        <f t="shared" si="85"/>
        <v>699</v>
      </c>
      <c r="B249" s="28" t="s">
        <v>158</v>
      </c>
      <c r="C249" s="44">
        <f t="shared" ref="C249:I249" si="118">IF(C$177,C243/C$177,0)</f>
        <v>0.3459679886094652</v>
      </c>
      <c r="D249" s="44">
        <f t="shared" si="118"/>
        <v>0.5712202373940537</v>
      </c>
      <c r="E249" s="44">
        <f t="shared" si="118"/>
        <v>6.0247836380497709E-2</v>
      </c>
      <c r="F249" s="44">
        <f t="shared" si="118"/>
        <v>0</v>
      </c>
      <c r="G249" s="44">
        <f t="shared" si="118"/>
        <v>9.0249567452667656E-3</v>
      </c>
      <c r="H249" s="44">
        <f t="shared" si="118"/>
        <v>7.1101697849989993E-3</v>
      </c>
      <c r="I249" s="44">
        <f t="shared" si="118"/>
        <v>0</v>
      </c>
      <c r="J249" s="47"/>
      <c r="K249" s="71" t="str">
        <f>A243&amp;"/"&amp;A$177</f>
        <v>693/627</v>
      </c>
    </row>
    <row r="250" spans="1:11">
      <c r="A250" s="50">
        <f t="shared" si="85"/>
        <v>700</v>
      </c>
      <c r="B250" s="52" t="s">
        <v>518</v>
      </c>
      <c r="C250" s="45">
        <f t="shared" ref="C250:I250" si="119">IF(C$177,C244/C$177,0)</f>
        <v>0.60627424850470202</v>
      </c>
      <c r="D250" s="45">
        <f t="shared" si="119"/>
        <v>0.83854344578608175</v>
      </c>
      <c r="E250" s="45">
        <f t="shared" si="119"/>
        <v>0.35431712228731732</v>
      </c>
      <c r="F250" s="45">
        <f t="shared" si="119"/>
        <v>0</v>
      </c>
      <c r="G250" s="45">
        <f t="shared" si="119"/>
        <v>0.21262497424143922</v>
      </c>
      <c r="H250" s="45">
        <f t="shared" si="119"/>
        <v>0.17333239610578441</v>
      </c>
      <c r="I250" s="45">
        <f t="shared" si="119"/>
        <v>0</v>
      </c>
      <c r="K250" s="71" t="str">
        <f>A244&amp;"/"&amp;A$177</f>
        <v>694/627</v>
      </c>
    </row>
    <row r="251" spans="1:11">
      <c r="A251" s="50">
        <f t="shared" si="85"/>
        <v>701</v>
      </c>
      <c r="B251" s="52"/>
      <c r="K251" s="71"/>
    </row>
    <row r="252" spans="1:11">
      <c r="A252" s="50">
        <f t="shared" si="85"/>
        <v>702</v>
      </c>
      <c r="B252" t="s">
        <v>519</v>
      </c>
      <c r="K252" s="71"/>
    </row>
    <row r="253" spans="1:11">
      <c r="A253" s="50">
        <f t="shared" si="85"/>
        <v>703</v>
      </c>
      <c r="B253" s="28" t="s">
        <v>464</v>
      </c>
      <c r="C253" s="44">
        <f>C247</f>
        <v>0.12551467502638114</v>
      </c>
      <c r="D253" s="44">
        <f t="shared" ref="D253:I253" si="120">D247</f>
        <v>0.13466389620440175</v>
      </c>
      <c r="E253" s="44">
        <f t="shared" si="120"/>
        <v>0.12509431668397608</v>
      </c>
      <c r="F253" s="44">
        <f t="shared" si="120"/>
        <v>0</v>
      </c>
      <c r="G253" s="44">
        <f t="shared" si="120"/>
        <v>0.11443905062553053</v>
      </c>
      <c r="H253" s="44">
        <f t="shared" si="120"/>
        <v>8.862120181458677E-2</v>
      </c>
      <c r="I253" s="44">
        <f t="shared" si="120"/>
        <v>0</v>
      </c>
      <c r="J253" s="44"/>
      <c r="K253" s="71">
        <f>A247</f>
        <v>697</v>
      </c>
    </row>
    <row r="254" spans="1:11">
      <c r="A254" s="50">
        <f t="shared" si="85"/>
        <v>704</v>
      </c>
      <c r="B254" s="28" t="s">
        <v>157</v>
      </c>
      <c r="C254" s="47">
        <f t="shared" ref="C254:I254" si="121">IF(C$178,C242/C$178,0)</f>
        <v>17.952537223449152</v>
      </c>
      <c r="D254" s="47">
        <f t="shared" si="121"/>
        <v>17.952537223449152</v>
      </c>
      <c r="E254" s="47">
        <f t="shared" si="121"/>
        <v>17.952537223449156</v>
      </c>
      <c r="F254" s="47">
        <f t="shared" si="121"/>
        <v>0</v>
      </c>
      <c r="G254" s="47">
        <f t="shared" si="121"/>
        <v>17.952537223449156</v>
      </c>
      <c r="H254" s="47">
        <f t="shared" si="121"/>
        <v>17.952537223449148</v>
      </c>
      <c r="I254" s="47">
        <f t="shared" si="121"/>
        <v>0</v>
      </c>
      <c r="J254" s="47"/>
      <c r="K254" s="71" t="str">
        <f>A242&amp;"/"&amp;A$178</f>
        <v>692/628</v>
      </c>
    </row>
    <row r="255" spans="1:11">
      <c r="A255" s="50">
        <f t="shared" si="85"/>
        <v>705</v>
      </c>
      <c r="B255" s="28" t="s">
        <v>158</v>
      </c>
      <c r="C255" s="47">
        <f>IF(C$179,C243/C$179,0)</f>
        <v>38.677738948823169</v>
      </c>
      <c r="D255" s="47">
        <f t="shared" ref="D255:I255" si="122">IF(D$179,D243/D$179,0)</f>
        <v>37.426801951129505</v>
      </c>
      <c r="E255" s="47">
        <f t="shared" si="122"/>
        <v>95.55521011668408</v>
      </c>
      <c r="F255" s="47">
        <f t="shared" si="122"/>
        <v>0</v>
      </c>
      <c r="G255" s="47">
        <f t="shared" si="122"/>
        <v>623.15393643155471</v>
      </c>
      <c r="H255" s="47">
        <f t="shared" si="122"/>
        <v>491.20214306488651</v>
      </c>
      <c r="I255" s="47">
        <f t="shared" si="122"/>
        <v>0</v>
      </c>
      <c r="J255" s="47"/>
      <c r="K255" s="71" t="str">
        <f>A243&amp;"/"&amp;A$179</f>
        <v>693/629</v>
      </c>
    </row>
    <row r="256" spans="1:11">
      <c r="A256" s="50">
        <f t="shared" si="85"/>
        <v>706</v>
      </c>
      <c r="B256" s="52"/>
      <c r="K256" s="71"/>
    </row>
    <row r="257" spans="1:11">
      <c r="A257" s="50">
        <f t="shared" si="85"/>
        <v>707</v>
      </c>
      <c r="B257" s="1" t="s">
        <v>1024</v>
      </c>
      <c r="C257" s="88">
        <f t="shared" ref="C257:I257" si="123">IF(C244,C227/C244,0)</f>
        <v>0.99997470292063551</v>
      </c>
      <c r="D257" s="88">
        <f t="shared" si="123"/>
        <v>0.97473094828275164</v>
      </c>
      <c r="E257" s="88">
        <f t="shared" si="123"/>
        <v>1.1722812016090685</v>
      </c>
      <c r="F257" s="88">
        <f t="shared" si="123"/>
        <v>0</v>
      </c>
      <c r="G257" s="88">
        <f t="shared" si="123"/>
        <v>1.2858486163641452</v>
      </c>
      <c r="H257" s="88">
        <f t="shared" si="123"/>
        <v>0.76545730073337948</v>
      </c>
      <c r="I257" s="88">
        <f t="shared" si="123"/>
        <v>0</v>
      </c>
      <c r="J257" s="35"/>
      <c r="K257" s="71" t="str">
        <f>A227&amp;"/"&amp;A244</f>
        <v>677/694</v>
      </c>
    </row>
    <row r="258" spans="1:11">
      <c r="A258" s="50">
        <f t="shared" si="85"/>
        <v>708</v>
      </c>
      <c r="B258" s="1"/>
      <c r="C258" s="35"/>
      <c r="D258" s="35"/>
      <c r="E258" s="35"/>
      <c r="F258" s="35"/>
      <c r="G258" s="35"/>
      <c r="H258" s="35"/>
      <c r="I258" s="35"/>
      <c r="J258" s="35"/>
      <c r="K258" s="71"/>
    </row>
    <row r="259" spans="1:11">
      <c r="A259" s="50">
        <f t="shared" si="85"/>
        <v>709</v>
      </c>
      <c r="K259" s="71"/>
    </row>
    <row r="260" spans="1:11">
      <c r="A260" s="50">
        <f t="shared" si="85"/>
        <v>710</v>
      </c>
      <c r="B260" s="1"/>
      <c r="K260" s="71"/>
    </row>
    <row r="261" spans="1:11">
      <c r="A261" s="50">
        <f t="shared" si="85"/>
        <v>711</v>
      </c>
      <c r="B261" s="1"/>
      <c r="K261" s="71"/>
    </row>
    <row r="262" spans="1:11">
      <c r="A262" s="50">
        <f t="shared" ref="A262:A325" si="124">Pg1Row+ROW(A262)</f>
        <v>712</v>
      </c>
      <c r="B262" s="1"/>
      <c r="K262" s="71"/>
    </row>
    <row r="263" spans="1:11">
      <c r="A263" s="50">
        <f t="shared" si="124"/>
        <v>713</v>
      </c>
      <c r="B263" s="1"/>
      <c r="K263" s="71"/>
    </row>
    <row r="264" spans="1:11">
      <c r="A264" s="50">
        <f t="shared" si="124"/>
        <v>714</v>
      </c>
      <c r="B264" s="1"/>
      <c r="K264" s="71"/>
    </row>
    <row r="265" spans="1:11">
      <c r="A265" s="50">
        <f t="shared" si="124"/>
        <v>715</v>
      </c>
      <c r="B265" s="1"/>
      <c r="K265" s="71"/>
    </row>
    <row r="266" spans="1:11">
      <c r="A266" s="50">
        <f t="shared" si="124"/>
        <v>716</v>
      </c>
      <c r="B266" s="1"/>
      <c r="K266" s="71"/>
    </row>
    <row r="267" spans="1:11">
      <c r="A267" s="50">
        <f t="shared" si="124"/>
        <v>717</v>
      </c>
      <c r="B267" s="1"/>
      <c r="K267" s="71"/>
    </row>
    <row r="268" spans="1:11">
      <c r="A268" s="50">
        <f t="shared" si="124"/>
        <v>718</v>
      </c>
      <c r="B268" s="1"/>
      <c r="K268" s="71"/>
    </row>
    <row r="269" spans="1:11">
      <c r="A269" s="50">
        <f t="shared" si="124"/>
        <v>719</v>
      </c>
      <c r="B269" t="s">
        <v>459</v>
      </c>
      <c r="C269" s="21">
        <f>SUM(D269:I269)</f>
        <v>40025875.865386233</v>
      </c>
      <c r="D269" s="2">
        <f>Detail!I$150</f>
        <v>28576155.634971958</v>
      </c>
      <c r="E269" s="2">
        <f>Detail!J$150</f>
        <v>10656916.174763726</v>
      </c>
      <c r="F269" s="2">
        <f>Detail!K$150</f>
        <v>0</v>
      </c>
      <c r="G269" s="2">
        <f>Detail!L$150</f>
        <v>290187.59552068159</v>
      </c>
      <c r="H269" s="2">
        <f>Detail!M$150</f>
        <v>502616.46012986451</v>
      </c>
      <c r="I269" s="2">
        <f>Detail!N$150</f>
        <v>0</v>
      </c>
      <c r="J269" s="2"/>
      <c r="K269" s="71">
        <f>Detail!$A150</f>
        <v>150</v>
      </c>
    </row>
    <row r="270" spans="1:11">
      <c r="A270" s="50">
        <f t="shared" si="124"/>
        <v>720</v>
      </c>
      <c r="B270" t="s">
        <v>166</v>
      </c>
      <c r="C270" s="21">
        <f>SUM(D270:I270)</f>
        <v>451535374.70068562</v>
      </c>
      <c r="D270" s="2">
        <f>SUM(Detail!I$151:I$152)</f>
        <v>335794908.84121764</v>
      </c>
      <c r="E270" s="2">
        <f>SUM(Detail!J$151:J$152)</f>
        <v>89172244.672130466</v>
      </c>
      <c r="F270" s="2">
        <f>SUM(Detail!K$151:K$152)</f>
        <v>0</v>
      </c>
      <c r="G270" s="2">
        <f>SUM(Detail!L$151:L$152)</f>
        <v>2198712.1581894225</v>
      </c>
      <c r="H270" s="2">
        <f>SUM(Detail!M$151:M$152)</f>
        <v>24369509.029148076</v>
      </c>
      <c r="I270" s="2">
        <f>SUM(Detail!N$151:N$152)</f>
        <v>0</v>
      </c>
      <c r="J270" s="2"/>
      <c r="K270" s="71" t="str">
        <f>Detail!A151&amp;":"&amp;Detail!A152</f>
        <v>151:152</v>
      </c>
    </row>
    <row r="271" spans="1:11">
      <c r="A271" s="50">
        <f t="shared" si="124"/>
        <v>721</v>
      </c>
      <c r="B271" t="s">
        <v>169</v>
      </c>
      <c r="C271" s="2">
        <f>SUM(D271:I271)</f>
        <v>106462749.43392818</v>
      </c>
      <c r="D271" s="2">
        <f>Detail!I$153</f>
        <v>88507820.818817645</v>
      </c>
      <c r="E271" s="2">
        <f>Detail!J$153</f>
        <v>14365204.039213171</v>
      </c>
      <c r="F271" s="2">
        <f>Detail!K$153</f>
        <v>0</v>
      </c>
      <c r="G271" s="2">
        <f>Detail!L$153</f>
        <v>349173.35452790029</v>
      </c>
      <c r="H271" s="2">
        <f>Detail!M$153</f>
        <v>3240551.2213694658</v>
      </c>
      <c r="I271" s="2">
        <f>Detail!N$153</f>
        <v>0</v>
      </c>
      <c r="J271" s="2"/>
      <c r="K271" s="71">
        <f>Detail!$A153</f>
        <v>153</v>
      </c>
    </row>
    <row r="272" spans="1:11">
      <c r="A272" s="50">
        <f t="shared" si="124"/>
        <v>722</v>
      </c>
      <c r="B272" s="28" t="s">
        <v>110</v>
      </c>
      <c r="C272" s="4">
        <f>IF(ROUND(SUM(C269:C271),3)&lt;&gt;ROUND(SUM(D272:I272),3),#VALUE!,SUM(D272:I272))</f>
        <v>598024000</v>
      </c>
      <c r="D272" s="4">
        <f t="shared" ref="D272:I272" si="125">SUM(D269:D271)</f>
        <v>452878885.29500723</v>
      </c>
      <c r="E272" s="4">
        <f t="shared" si="125"/>
        <v>114194364.88610736</v>
      </c>
      <c r="F272" s="4">
        <f t="shared" si="125"/>
        <v>0</v>
      </c>
      <c r="G272" s="4">
        <f t="shared" si="125"/>
        <v>2838073.1082380046</v>
      </c>
      <c r="H272" s="4">
        <f t="shared" si="125"/>
        <v>28112676.710647404</v>
      </c>
      <c r="I272" s="4">
        <f t="shared" si="125"/>
        <v>0</v>
      </c>
      <c r="J272" s="2"/>
      <c r="K272" s="71" t="str">
        <f>A269&amp;":"&amp;A271</f>
        <v>719:721</v>
      </c>
    </row>
    <row r="273" spans="1:12">
      <c r="A273" s="50">
        <f t="shared" si="124"/>
        <v>723</v>
      </c>
      <c r="C273" s="43"/>
      <c r="D273" s="43"/>
      <c r="E273" s="43"/>
      <c r="F273" s="43"/>
      <c r="G273" s="43"/>
      <c r="H273" s="43"/>
      <c r="I273" s="43"/>
      <c r="J273" s="43"/>
      <c r="K273" s="71"/>
    </row>
    <row r="274" spans="1:12">
      <c r="A274" s="50">
        <f t="shared" si="124"/>
        <v>724</v>
      </c>
      <c r="B274" s="30" t="s">
        <v>145</v>
      </c>
      <c r="C274" s="43"/>
      <c r="D274" s="43"/>
      <c r="E274" s="43"/>
      <c r="F274" s="43"/>
      <c r="G274" s="43"/>
      <c r="H274" s="43"/>
      <c r="I274" s="43"/>
      <c r="J274" s="43"/>
      <c r="K274" s="71"/>
    </row>
    <row r="275" spans="1:12">
      <c r="A275" s="50">
        <f t="shared" si="124"/>
        <v>725</v>
      </c>
      <c r="B275" s="30" t="str">
        <f>"Line "&amp;A109</f>
        <v>Line 559</v>
      </c>
      <c r="K275" s="71"/>
    </row>
    <row r="276" spans="1:12">
      <c r="A276" s="50">
        <f t="shared" si="124"/>
        <v>726</v>
      </c>
      <c r="B276" t="s">
        <v>471</v>
      </c>
      <c r="C276" s="21">
        <f>SUM(D276:I276)</f>
        <v>0</v>
      </c>
      <c r="D276" s="21">
        <f>Detail!AT177</f>
        <v>0</v>
      </c>
      <c r="E276" s="21">
        <f>Detail!AU177</f>
        <v>0</v>
      </c>
      <c r="F276" s="21">
        <f>Detail!AV177</f>
        <v>0</v>
      </c>
      <c r="G276" s="21">
        <f>Detail!AW177</f>
        <v>0</v>
      </c>
      <c r="H276" s="21">
        <f>Detail!AX177</f>
        <v>0</v>
      </c>
      <c r="I276" s="21">
        <f>Detail!AY177</f>
        <v>0</v>
      </c>
      <c r="J276" s="2"/>
      <c r="K276" s="71" t="str">
        <f>Detail!AY$1&amp;Detail!A177</f>
        <v>AY177</v>
      </c>
    </row>
    <row r="277" spans="1:12">
      <c r="A277" s="50">
        <f t="shared" si="124"/>
        <v>727</v>
      </c>
      <c r="B277" t="s">
        <v>472</v>
      </c>
      <c r="C277" s="21">
        <f>SUM(D277:I277)</f>
        <v>0</v>
      </c>
      <c r="D277" s="21">
        <f>Detail!BB177</f>
        <v>0</v>
      </c>
      <c r="E277" s="21">
        <f>Detail!BC177</f>
        <v>0</v>
      </c>
      <c r="F277" s="21">
        <f>Detail!BD177</f>
        <v>0</v>
      </c>
      <c r="G277" s="21">
        <f>Detail!BE177</f>
        <v>0</v>
      </c>
      <c r="H277" s="21">
        <f>Detail!BF177</f>
        <v>0</v>
      </c>
      <c r="I277" s="21">
        <f>Detail!BG177</f>
        <v>0</v>
      </c>
      <c r="J277" s="2"/>
      <c r="K277" s="71" t="str">
        <f>Detail!BG$1&amp;Detail!A177</f>
        <v>BG177</v>
      </c>
    </row>
    <row r="278" spans="1:12">
      <c r="A278" s="50">
        <f t="shared" si="124"/>
        <v>728</v>
      </c>
      <c r="B278" t="s">
        <v>473</v>
      </c>
      <c r="C278" s="21">
        <f>SUM(D278:I278)</f>
        <v>954000</v>
      </c>
      <c r="D278" s="21">
        <f>SUMIF(Detail!$C$174:$C$435,$L278,Detail!I$174:I$435)-D276-D277</f>
        <v>622132.43609979271</v>
      </c>
      <c r="E278" s="21">
        <f>SUMIF(Detail!$C$174:$C$435,$L278,Detail!J$174:J$435)-E276-E277</f>
        <v>295549.25864193542</v>
      </c>
      <c r="F278" s="21">
        <f>SUMIF(Detail!$C$174:$C$435,$L278,Detail!K$174:K$435)-F276-F277</f>
        <v>0</v>
      </c>
      <c r="G278" s="21">
        <f>SUMIF(Detail!$C$174:$C$435,$L278,Detail!L$174:L$435)-G276-G277</f>
        <v>11801.686954390076</v>
      </c>
      <c r="H278" s="21">
        <f>SUMIF(Detail!$C$174:$C$435,$L278,Detail!M$174:M$435)-H276-H277</f>
        <v>24516.618303881845</v>
      </c>
      <c r="I278" s="21">
        <f>SUMIF(Detail!$C$174:$C$435,$L278,Detail!N$174:N$435)-I276-I277</f>
        <v>0</v>
      </c>
      <c r="J278" s="2"/>
      <c r="K278" s="71" t="str">
        <f>Detail!A$174&amp;":"&amp;Detail!A$435&amp;", col "&amp;Detail!C$1&amp;"= "</f>
        <v xml:space="preserve">174:435, col C= </v>
      </c>
      <c r="L278" s="11" t="s">
        <v>153</v>
      </c>
    </row>
    <row r="279" spans="1:12">
      <c r="A279" s="50">
        <f t="shared" si="124"/>
        <v>729</v>
      </c>
      <c r="B279" s="28" t="s">
        <v>176</v>
      </c>
      <c r="C279" s="48">
        <f t="shared" ref="C279:I279" si="126">SUM(C276:C278)</f>
        <v>954000</v>
      </c>
      <c r="D279" s="48">
        <f t="shared" si="126"/>
        <v>622132.43609979271</v>
      </c>
      <c r="E279" s="4">
        <f t="shared" si="126"/>
        <v>295549.25864193542</v>
      </c>
      <c r="F279" s="4">
        <f t="shared" si="126"/>
        <v>0</v>
      </c>
      <c r="G279" s="4">
        <f t="shared" si="126"/>
        <v>11801.686954390076</v>
      </c>
      <c r="H279" s="4">
        <f t="shared" si="126"/>
        <v>24516.618303881845</v>
      </c>
      <c r="I279" s="4">
        <f t="shared" si="126"/>
        <v>0</v>
      </c>
      <c r="J279" s="5"/>
      <c r="K279" s="71" t="str">
        <f>A276&amp;":"&amp;A278</f>
        <v>726:728</v>
      </c>
    </row>
    <row r="280" spans="1:12">
      <c r="A280" s="50">
        <f t="shared" si="124"/>
        <v>730</v>
      </c>
      <c r="B280" t="s">
        <v>161</v>
      </c>
      <c r="C280" s="21">
        <f>SUM(D280:I280)</f>
        <v>3305.7631860336351</v>
      </c>
      <c r="D280" s="21">
        <f t="shared" ref="D280:I280" si="127">D279*D$93</f>
        <v>2155.7887883607104</v>
      </c>
      <c r="E280" s="21">
        <f t="shared" si="127"/>
        <v>1024.1256382369422</v>
      </c>
      <c r="F280" s="21">
        <f t="shared" si="127"/>
        <v>0</v>
      </c>
      <c r="G280" s="21">
        <f t="shared" si="127"/>
        <v>40.894740321715012</v>
      </c>
      <c r="H280" s="21">
        <f t="shared" si="127"/>
        <v>84.954019114267254</v>
      </c>
      <c r="I280" s="21">
        <f t="shared" si="127"/>
        <v>0</v>
      </c>
      <c r="J280" s="2"/>
      <c r="K280" s="71" t="str">
        <f>A279&amp;"*"&amp;A$93</f>
        <v>729*543</v>
      </c>
    </row>
    <row r="281" spans="1:12">
      <c r="A281" s="50">
        <f t="shared" si="124"/>
        <v>731</v>
      </c>
      <c r="B281" s="28" t="s">
        <v>163</v>
      </c>
      <c r="C281" s="48">
        <f>IF(ROUND(SUM(C279:C280),3)&lt;&gt;ROUND(SUM(D281:I281),3),#VALUE!,SUM(C279:C280))</f>
        <v>957305.76318603358</v>
      </c>
      <c r="D281" s="48">
        <f t="shared" ref="D281:I281" si="128">SUM(D279:D280)</f>
        <v>624288.22488815337</v>
      </c>
      <c r="E281" s="4">
        <f t="shared" si="128"/>
        <v>296573.38428017235</v>
      </c>
      <c r="F281" s="4">
        <f t="shared" si="128"/>
        <v>0</v>
      </c>
      <c r="G281" s="4">
        <f t="shared" si="128"/>
        <v>11842.581694711791</v>
      </c>
      <c r="H281" s="4">
        <f t="shared" si="128"/>
        <v>24601.572322996111</v>
      </c>
      <c r="I281" s="4">
        <f t="shared" si="128"/>
        <v>0</v>
      </c>
      <c r="J281" s="5"/>
      <c r="K281" s="71" t="str">
        <f>A279&amp;":"&amp;A280</f>
        <v>729:730</v>
      </c>
    </row>
    <row r="282" spans="1:12">
      <c r="A282" s="50">
        <f t="shared" si="124"/>
        <v>732</v>
      </c>
      <c r="C282" s="21"/>
      <c r="D282" s="21"/>
      <c r="E282" s="2"/>
      <c r="F282" s="2"/>
      <c r="G282" s="2"/>
      <c r="H282" s="2"/>
      <c r="I282" s="2"/>
      <c r="J282" s="2"/>
      <c r="K282" s="71"/>
    </row>
    <row r="283" spans="1:12">
      <c r="A283" s="50">
        <f t="shared" si="124"/>
        <v>733</v>
      </c>
      <c r="B283" s="30" t="str">
        <f>"Line "&amp;A110</f>
        <v>Line 560</v>
      </c>
      <c r="C283" s="49"/>
      <c r="D283" s="49"/>
      <c r="K283" s="71"/>
    </row>
    <row r="284" spans="1:12">
      <c r="A284" s="50">
        <f t="shared" si="124"/>
        <v>734</v>
      </c>
      <c r="B284" t="s">
        <v>460</v>
      </c>
      <c r="C284" s="21">
        <f t="shared" ref="C284:C289" si="129">SUM(D284:I284)</f>
        <v>1455000.0000000005</v>
      </c>
      <c r="D284" s="21">
        <f>SUMIF(Detail!$C$174:$C$435,$L284,Detail!I$174:I$435)</f>
        <v>1038785.6742652946</v>
      </c>
      <c r="E284" s="21">
        <f>SUMIF(Detail!$C$174:$C$435,$L284,Detail!J$174:J$435)</f>
        <v>387394.721515399</v>
      </c>
      <c r="F284" s="21">
        <f>SUMIF(Detail!$C$174:$C$435,$L284,Detail!K$174:K$435)</f>
        <v>0</v>
      </c>
      <c r="G284" s="21">
        <f>SUMIF(Detail!$C$174:$C$435,$L284,Detail!L$174:L$435)</f>
        <v>10548.74983629587</v>
      </c>
      <c r="H284" s="21">
        <f>SUMIF(Detail!$C$174:$C$435,$L284,Detail!M$174:M$435)</f>
        <v>18270.854383011174</v>
      </c>
      <c r="I284" s="21">
        <f>SUMIF(Detail!$C$174:$C$435,$L284,Detail!N$174:N$435)</f>
        <v>0</v>
      </c>
      <c r="J284" s="2"/>
      <c r="K284" s="71" t="str">
        <f>Detail!A$174&amp;":"&amp;Detail!A$435&amp;", col "&amp;Detail!C$1&amp;"= "</f>
        <v xml:space="preserve">174:435, col C= </v>
      </c>
      <c r="L284" s="11" t="s">
        <v>394</v>
      </c>
    </row>
    <row r="285" spans="1:12">
      <c r="A285" s="50">
        <f t="shared" si="124"/>
        <v>735</v>
      </c>
      <c r="B285" t="s">
        <v>477</v>
      </c>
      <c r="C285" s="21">
        <f t="shared" si="129"/>
        <v>-47858.141729524104</v>
      </c>
      <c r="D285" s="21">
        <f>Detail!I442</f>
        <v>-34158.532696499438</v>
      </c>
      <c r="E285" s="21">
        <f>Detail!J442</f>
        <v>-12751.328283661929</v>
      </c>
      <c r="F285" s="21">
        <f>Detail!K442</f>
        <v>0</v>
      </c>
      <c r="G285" s="21">
        <f>Detail!L442</f>
        <v>-347.24234482570358</v>
      </c>
      <c r="H285" s="21">
        <f>Detail!M442</f>
        <v>-601.0384045370356</v>
      </c>
      <c r="I285" s="21">
        <f>Detail!N442</f>
        <v>0</v>
      </c>
      <c r="J285" s="2"/>
      <c r="K285" s="71">
        <f>Detail!A442</f>
        <v>442</v>
      </c>
      <c r="L285" s="11"/>
    </row>
    <row r="286" spans="1:12">
      <c r="A286" s="50">
        <f t="shared" si="124"/>
        <v>736</v>
      </c>
      <c r="B286" s="28" t="s">
        <v>461</v>
      </c>
      <c r="C286" s="48">
        <f t="shared" ref="C286:I286" si="130">SUM(C284:C285)</f>
        <v>1407141.8582704763</v>
      </c>
      <c r="D286" s="48">
        <f t="shared" si="130"/>
        <v>1004627.1415687951</v>
      </c>
      <c r="E286" s="4">
        <f t="shared" si="130"/>
        <v>374643.39323173708</v>
      </c>
      <c r="F286" s="4">
        <f t="shared" si="130"/>
        <v>0</v>
      </c>
      <c r="G286" s="4">
        <f t="shared" si="130"/>
        <v>10201.507491470167</v>
      </c>
      <c r="H286" s="4">
        <f t="shared" si="130"/>
        <v>17669.815978474137</v>
      </c>
      <c r="I286" s="4">
        <f t="shared" si="130"/>
        <v>0</v>
      </c>
      <c r="J286" s="5"/>
      <c r="K286" s="71" t="str">
        <f>A284&amp;":"&amp;A285</f>
        <v>734:735</v>
      </c>
    </row>
    <row r="287" spans="1:12">
      <c r="A287" s="50">
        <f t="shared" si="124"/>
        <v>737</v>
      </c>
      <c r="B287" t="s">
        <v>142</v>
      </c>
      <c r="C287" s="21">
        <f t="shared" si="129"/>
        <v>188636.66027399481</v>
      </c>
      <c r="D287" s="21">
        <f>Detail!I$417*IF(D$272,D269/D$272,0)</f>
        <v>99009.484115246698</v>
      </c>
      <c r="E287" s="21">
        <f>Detail!J$417*IF(E$272,E269/E$272,0)</f>
        <v>86499.806107936238</v>
      </c>
      <c r="F287" s="21">
        <f>Detail!K$417*IF(F$272,F269/F$272,0)</f>
        <v>0</v>
      </c>
      <c r="G287" s="21">
        <f>Detail!L$417*IF(G$272,G269/G$272,0)</f>
        <v>2988.5322778155678</v>
      </c>
      <c r="H287" s="21">
        <f>Detail!M$417*IF(H$272,H269/H$272,0)</f>
        <v>138.83777299630893</v>
      </c>
      <c r="I287" s="21">
        <f>Detail!N$417*IF(I$272,I269/I$272,0)</f>
        <v>0</v>
      </c>
      <c r="J287" s="2"/>
      <c r="K287" s="71" t="str">
        <f>Detail!A$417&amp;"*"&amp;A269&amp;"/"&amp;A$272</f>
        <v>417*719/722</v>
      </c>
    </row>
    <row r="288" spans="1:12">
      <c r="A288" s="50">
        <f t="shared" si="124"/>
        <v>738</v>
      </c>
      <c r="B288" t="s">
        <v>162</v>
      </c>
      <c r="C288" s="21">
        <f>SUM(D288:I288)</f>
        <v>2310160.6227715295</v>
      </c>
      <c r="D288" s="21">
        <f t="shared" ref="D288:I288" si="131">D$49*D269</f>
        <v>1363309.3454357521</v>
      </c>
      <c r="E288" s="2">
        <f t="shared" si="131"/>
        <v>905997.34362867847</v>
      </c>
      <c r="F288" s="2">
        <f t="shared" si="131"/>
        <v>0</v>
      </c>
      <c r="G288" s="2">
        <f t="shared" si="131"/>
        <v>29749.894435615166</v>
      </c>
      <c r="H288" s="2">
        <f t="shared" si="131"/>
        <v>11104.039271483567</v>
      </c>
      <c r="I288" s="2">
        <f t="shared" si="131"/>
        <v>0</v>
      </c>
      <c r="J288" s="2"/>
      <c r="K288" s="71" t="str">
        <f>A$49&amp;"*"&amp;A269</f>
        <v>499*719</v>
      </c>
    </row>
    <row r="289" spans="1:12">
      <c r="A289" s="50">
        <f t="shared" si="124"/>
        <v>739</v>
      </c>
      <c r="B289" t="s">
        <v>161</v>
      </c>
      <c r="C289" s="21">
        <f t="shared" si="129"/>
        <v>13534.706310534866</v>
      </c>
      <c r="D289" s="21">
        <f t="shared" ref="D289:I289" si="132">SUM(D286:D288)*D$93</f>
        <v>8548.3639132723383</v>
      </c>
      <c r="E289" s="2">
        <f t="shared" si="132"/>
        <v>4737.3615063719189</v>
      </c>
      <c r="F289" s="2">
        <f t="shared" si="132"/>
        <v>0</v>
      </c>
      <c r="G289" s="2">
        <f t="shared" si="132"/>
        <v>148.79376698665394</v>
      </c>
      <c r="H289" s="2">
        <f t="shared" si="132"/>
        <v>100.18712390395481</v>
      </c>
      <c r="I289" s="2">
        <f t="shared" si="132"/>
        <v>0</v>
      </c>
      <c r="J289" s="2"/>
      <c r="K289" s="71" t="str">
        <f>A286&amp;":"&amp;A288&amp;"*"&amp;A$93</f>
        <v>736:738*543</v>
      </c>
    </row>
    <row r="290" spans="1:12">
      <c r="A290" s="50">
        <f t="shared" si="124"/>
        <v>740</v>
      </c>
      <c r="B290" s="28" t="s">
        <v>462</v>
      </c>
      <c r="C290" s="48">
        <f>IF(ROUND(SUM(C286:C289),3)&lt;&gt;ROUND(SUM(D290:I290),3),#VALUE!,SUM(C286:C289))</f>
        <v>3919473.8476265352</v>
      </c>
      <c r="D290" s="48">
        <f t="shared" ref="D290:I290" si="133">SUM(D286:D289)</f>
        <v>2475494.3350330666</v>
      </c>
      <c r="E290" s="4">
        <f t="shared" si="133"/>
        <v>1371877.9044747239</v>
      </c>
      <c r="F290" s="4">
        <f t="shared" si="133"/>
        <v>0</v>
      </c>
      <c r="G290" s="4">
        <f t="shared" si="133"/>
        <v>43088.727971887551</v>
      </c>
      <c r="H290" s="4">
        <f t="shared" si="133"/>
        <v>29012.88014685797</v>
      </c>
      <c r="I290" s="4">
        <f t="shared" si="133"/>
        <v>0</v>
      </c>
      <c r="J290" s="5"/>
      <c r="K290" s="71" t="str">
        <f>A286&amp;":"&amp;A289</f>
        <v>736:739</v>
      </c>
    </row>
    <row r="291" spans="1:12">
      <c r="A291" s="50">
        <f t="shared" si="124"/>
        <v>741</v>
      </c>
      <c r="C291" s="21"/>
      <c r="D291" s="21"/>
      <c r="E291" s="2"/>
      <c r="F291" s="2"/>
      <c r="G291" s="2"/>
      <c r="H291" s="2"/>
      <c r="I291" s="2"/>
      <c r="J291" s="2"/>
      <c r="K291" s="71"/>
    </row>
    <row r="292" spans="1:12">
      <c r="A292" s="50">
        <f t="shared" si="124"/>
        <v>742</v>
      </c>
      <c r="B292" s="30" t="str">
        <f>"Line "&amp;A111</f>
        <v>Line 561</v>
      </c>
      <c r="C292" s="49"/>
      <c r="D292" s="49"/>
      <c r="K292" s="71"/>
    </row>
    <row r="293" spans="1:12">
      <c r="A293" s="50">
        <f t="shared" si="124"/>
        <v>743</v>
      </c>
      <c r="B293" t="s">
        <v>164</v>
      </c>
      <c r="C293" s="21">
        <f t="shared" ref="C293:C300" si="134">SUM(D293:I293)</f>
        <v>41614000</v>
      </c>
      <c r="D293" s="21">
        <f>SUMIF(Detail!$C$174:$C$435,$L293,Detail!I$174:I$435)</f>
        <v>32029761.501546673</v>
      </c>
      <c r="E293" s="21">
        <f>SUMIF(Detail!$C$174:$C$435,$L293,Detail!J$174:J$435)</f>
        <v>7445169.1244883053</v>
      </c>
      <c r="F293" s="21">
        <f>SUMIF(Detail!$C$174:$C$435,$L293,Detail!K$174:K$435)</f>
        <v>0</v>
      </c>
      <c r="G293" s="21">
        <f>SUMIF(Detail!$C$174:$C$435,$L293,Detail!L$174:L$435)</f>
        <v>177538.71081424682</v>
      </c>
      <c r="H293" s="21">
        <f>SUMIF(Detail!$C$174:$C$435,$L293,Detail!M$174:M$435)</f>
        <v>1961530.6631507813</v>
      </c>
      <c r="I293" s="21">
        <f>SUMIF(Detail!$C$174:$C$435,$L293,Detail!N$174:N$435)</f>
        <v>0</v>
      </c>
      <c r="J293" s="2"/>
      <c r="K293" s="71" t="str">
        <f>Detail!A$174&amp;":"&amp;Detail!A$435&amp;", col "&amp;Detail!C$1&amp;"= "</f>
        <v xml:space="preserve">174:435, col C= </v>
      </c>
      <c r="L293" s="11" t="s">
        <v>154</v>
      </c>
    </row>
    <row r="294" spans="1:12">
      <c r="A294" s="50">
        <f t="shared" si="124"/>
        <v>744</v>
      </c>
      <c r="B294" t="s">
        <v>481</v>
      </c>
      <c r="C294" s="21">
        <f t="shared" si="134"/>
        <v>5340000</v>
      </c>
      <c r="D294" s="21">
        <f>SUMIF(Detail!$C$174:$C$435,$L294,Detail!I$174:I$435)</f>
        <v>5233965.4523235457</v>
      </c>
      <c r="E294" s="21">
        <f>SUMIF(Detail!$C$174:$C$435,$L294,Detail!J$174:J$435)</f>
        <v>104762.15326107983</v>
      </c>
      <c r="F294" s="21">
        <f>SUMIF(Detail!$C$174:$C$435,$L294,Detail!K$174:K$435)</f>
        <v>0</v>
      </c>
      <c r="G294" s="21">
        <f>SUMIF(Detail!$C$174:$C$435,$L294,Detail!L$174:L$435)</f>
        <v>98.264123167515194</v>
      </c>
      <c r="H294" s="21">
        <f>SUMIF(Detail!$C$174:$C$435,$L294,Detail!M$174:M$435)</f>
        <v>1174.1302922067198</v>
      </c>
      <c r="I294" s="21">
        <f>SUMIF(Detail!$C$174:$C$435,$L294,Detail!N$174:N$435)</f>
        <v>0</v>
      </c>
      <c r="J294" s="2"/>
      <c r="K294" s="71" t="str">
        <f>Detail!A$174&amp;":"&amp;Detail!A$435&amp;", col "&amp;Detail!C$1&amp;"= "</f>
        <v xml:space="preserve">174:435, col C= </v>
      </c>
      <c r="L294" s="11" t="s">
        <v>156</v>
      </c>
    </row>
    <row r="295" spans="1:12">
      <c r="A295" s="50">
        <f t="shared" si="124"/>
        <v>745</v>
      </c>
      <c r="B295" t="s">
        <v>480</v>
      </c>
      <c r="C295" s="21">
        <f>SUM(D295:I295)</f>
        <v>0</v>
      </c>
      <c r="D295" s="21">
        <f>SUMIF(Detail!$C$174:$C$435,$L295,Detail!I$174:I$435)</f>
        <v>0</v>
      </c>
      <c r="E295" s="21">
        <f>SUMIF(Detail!$C$174:$C$435,$L295,Detail!J$174:J$435)</f>
        <v>0</v>
      </c>
      <c r="F295" s="21">
        <f>SUMIF(Detail!$C$174:$C$435,$L295,Detail!K$174:K$435)</f>
        <v>0</v>
      </c>
      <c r="G295" s="21">
        <f>SUMIF(Detail!$C$174:$C$435,$L295,Detail!L$174:L$435)</f>
        <v>0</v>
      </c>
      <c r="H295" s="21">
        <f>SUMIF(Detail!$C$174:$C$435,$L295,Detail!M$174:M$435)</f>
        <v>0</v>
      </c>
      <c r="I295" s="21">
        <f>SUMIF(Detail!$C$174:$C$435,$L295,Detail!N$174:N$435)</f>
        <v>0</v>
      </c>
      <c r="J295" s="2"/>
      <c r="K295" s="71" t="str">
        <f>Detail!A$174&amp;":"&amp;Detail!A$435&amp;", col "&amp;Detail!C$1&amp;"= "</f>
        <v xml:space="preserve">174:435, col C= </v>
      </c>
      <c r="L295" s="11" t="s">
        <v>465</v>
      </c>
    </row>
    <row r="296" spans="1:12">
      <c r="A296" s="50">
        <f t="shared" si="124"/>
        <v>746</v>
      </c>
      <c r="B296" t="s">
        <v>482</v>
      </c>
      <c r="C296" s="21">
        <f t="shared" si="134"/>
        <v>-539862.60936394916</v>
      </c>
      <c r="D296" s="21">
        <f>Detail!I443</f>
        <v>-401392.73873961164</v>
      </c>
      <c r="E296" s="21">
        <f>Detail!J443</f>
        <v>-106697.33597961502</v>
      </c>
      <c r="F296" s="21">
        <f>Detail!K443</f>
        <v>0</v>
      </c>
      <c r="G296" s="21">
        <f>Detail!L443</f>
        <v>-2631.0082759966385</v>
      </c>
      <c r="H296" s="21">
        <f>Detail!M443</f>
        <v>-29141.526368725754</v>
      </c>
      <c r="I296" s="21">
        <f>Detail!N443</f>
        <v>0</v>
      </c>
      <c r="J296" s="2"/>
      <c r="K296" s="71">
        <f>Detail!A443</f>
        <v>443</v>
      </c>
      <c r="L296" s="11"/>
    </row>
    <row r="297" spans="1:12">
      <c r="A297" s="50">
        <f t="shared" si="124"/>
        <v>747</v>
      </c>
      <c r="B297" s="28" t="s">
        <v>177</v>
      </c>
      <c r="C297" s="48">
        <f t="shared" ref="C297:I297" si="135">SUM(C293:C296)</f>
        <v>46414137.390636049</v>
      </c>
      <c r="D297" s="48">
        <f t="shared" si="135"/>
        <v>36862334.215130612</v>
      </c>
      <c r="E297" s="4">
        <f t="shared" si="135"/>
        <v>7443233.9417697694</v>
      </c>
      <c r="F297" s="4">
        <f t="shared" si="135"/>
        <v>0</v>
      </c>
      <c r="G297" s="4">
        <f t="shared" si="135"/>
        <v>175005.96666141771</v>
      </c>
      <c r="H297" s="4">
        <f t="shared" si="135"/>
        <v>1933563.2670742623</v>
      </c>
      <c r="I297" s="4">
        <f t="shared" si="135"/>
        <v>0</v>
      </c>
      <c r="J297" s="5"/>
      <c r="K297" s="71" t="str">
        <f>A293&amp;":"&amp;A296</f>
        <v>743:746</v>
      </c>
    </row>
    <row r="298" spans="1:12">
      <c r="A298" s="50">
        <f t="shared" si="124"/>
        <v>748</v>
      </c>
      <c r="B298" t="s">
        <v>142</v>
      </c>
      <c r="C298" s="21">
        <f t="shared" si="134"/>
        <v>1916614.8050865128</v>
      </c>
      <c r="D298" s="21">
        <f>Detail!I$417*IF(D$272,D270/D$272,0)</f>
        <v>1163448.3349540266</v>
      </c>
      <c r="E298" s="21">
        <f>Detail!J$417*IF(E$272,E270/E$272,0)</f>
        <v>723791.1744688889</v>
      </c>
      <c r="F298" s="21">
        <f>Detail!K$417*IF(F$272,F270/F$272,0)</f>
        <v>0</v>
      </c>
      <c r="G298" s="21">
        <f>Detail!L$417*IF(G$272,G270/G$272,0)</f>
        <v>22643.704816480724</v>
      </c>
      <c r="H298" s="21">
        <f>Detail!M$417*IF(H$272,H270/H$272,0)</f>
        <v>6731.5908471166385</v>
      </c>
      <c r="I298" s="21">
        <f>Detail!N$417*IF(I$272,I270/I$272,0)</f>
        <v>0</v>
      </c>
      <c r="J298" s="2"/>
      <c r="K298" s="71" t="str">
        <f>Detail!A$417&amp;"*"&amp;A270&amp;"/"&amp;A$22</f>
        <v>417*720/472</v>
      </c>
    </row>
    <row r="299" spans="1:12">
      <c r="A299" s="50">
        <f t="shared" si="124"/>
        <v>749</v>
      </c>
      <c r="B299" t="s">
        <v>162</v>
      </c>
      <c r="C299" s="21">
        <f>SUM(D299:I299)</f>
        <v>24364850.072617605</v>
      </c>
      <c r="D299" s="21">
        <f t="shared" ref="D299:I299" si="136">D$49*D270</f>
        <v>16020081.330069635</v>
      </c>
      <c r="E299" s="2">
        <f t="shared" si="136"/>
        <v>7580975.1595562268</v>
      </c>
      <c r="F299" s="2">
        <f t="shared" si="136"/>
        <v>0</v>
      </c>
      <c r="G299" s="2">
        <f t="shared" si="136"/>
        <v>225410.92593248721</v>
      </c>
      <c r="H299" s="2">
        <f t="shared" si="136"/>
        <v>538382.65705925506</v>
      </c>
      <c r="I299" s="2">
        <f t="shared" si="136"/>
        <v>0</v>
      </c>
      <c r="J299" s="2"/>
      <c r="K299" s="71" t="str">
        <f>A$49&amp;"*"&amp;A270</f>
        <v>499*720</v>
      </c>
    </row>
    <row r="300" spans="1:12">
      <c r="A300" s="50">
        <f t="shared" si="124"/>
        <v>750</v>
      </c>
      <c r="B300" t="s">
        <v>161</v>
      </c>
      <c r="C300" s="21">
        <f t="shared" si="134"/>
        <v>251901.9347643838</v>
      </c>
      <c r="D300" s="21">
        <f t="shared" ref="D300:I300" si="137">SUM(D297:D299)*D$93</f>
        <v>187277.59661677037</v>
      </c>
      <c r="E300" s="2">
        <f t="shared" si="137"/>
        <v>54569.34964923506</v>
      </c>
      <c r="F300" s="2">
        <f t="shared" si="137"/>
        <v>0</v>
      </c>
      <c r="G300" s="2">
        <f t="shared" si="137"/>
        <v>1465.9729018665087</v>
      </c>
      <c r="H300" s="2">
        <f t="shared" si="137"/>
        <v>8589.0155965118556</v>
      </c>
      <c r="I300" s="2">
        <f t="shared" si="137"/>
        <v>0</v>
      </c>
      <c r="J300" s="2"/>
      <c r="K300" s="71" t="str">
        <f>A297&amp;":"&amp;A299&amp;"*"&amp;A$93</f>
        <v>747:749*543</v>
      </c>
    </row>
    <row r="301" spans="1:12">
      <c r="A301" s="50">
        <f t="shared" si="124"/>
        <v>751</v>
      </c>
      <c r="B301" s="28" t="s">
        <v>165</v>
      </c>
      <c r="C301" s="48">
        <f>IF(ROUND(SUM(C297:C300),3)&lt;&gt;ROUND(SUM(D301:I301),3),#VALUE!,SUM(C297:C300))</f>
        <v>72947504.203104556</v>
      </c>
      <c r="D301" s="48">
        <f t="shared" ref="D301:I301" si="138">SUM(D297:D300)</f>
        <v>54233141.476771034</v>
      </c>
      <c r="E301" s="4">
        <f t="shared" si="138"/>
        <v>15802569.625444122</v>
      </c>
      <c r="F301" s="4">
        <f t="shared" si="138"/>
        <v>0</v>
      </c>
      <c r="G301" s="4">
        <f t="shared" si="138"/>
        <v>424526.57031225209</v>
      </c>
      <c r="H301" s="4">
        <f t="shared" si="138"/>
        <v>2487266.5305771455</v>
      </c>
      <c r="I301" s="4">
        <f t="shared" si="138"/>
        <v>0</v>
      </c>
      <c r="J301" s="5"/>
      <c r="K301" s="71" t="str">
        <f>A297&amp;":"&amp;A300</f>
        <v>747:750</v>
      </c>
    </row>
    <row r="302" spans="1:12">
      <c r="A302" s="50">
        <f t="shared" si="124"/>
        <v>752</v>
      </c>
      <c r="B302" s="28"/>
      <c r="C302" s="21"/>
      <c r="D302" s="2"/>
      <c r="E302" s="2"/>
      <c r="F302" s="2"/>
      <c r="G302" s="2"/>
      <c r="H302" s="2"/>
      <c r="I302" s="2"/>
      <c r="J302" s="2"/>
      <c r="K302" s="71"/>
    </row>
    <row r="303" spans="1:12">
      <c r="A303" s="50">
        <f t="shared" si="124"/>
        <v>753</v>
      </c>
      <c r="B303" s="30" t="str">
        <f>"Line "&amp;A112</f>
        <v>Line 562</v>
      </c>
      <c r="D303" s="2"/>
      <c r="K303" s="71"/>
    </row>
    <row r="304" spans="1:12">
      <c r="A304" s="50">
        <f t="shared" si="124"/>
        <v>754</v>
      </c>
      <c r="B304" t="s">
        <v>167</v>
      </c>
      <c r="C304" s="2">
        <f t="shared" ref="C304:C309" si="139">SUM(D304:I304)</f>
        <v>42117256.330443949</v>
      </c>
      <c r="D304" s="21">
        <f>SUMIF(Detail!$C$174:$C$435,$L304,Detail!I$174:I$435)</f>
        <v>35652136.708053961</v>
      </c>
      <c r="E304" s="21">
        <f>SUMIF(Detail!$C$174:$C$435,$L304,Detail!J$174:J$435)</f>
        <v>5206665.0014492106</v>
      </c>
      <c r="F304" s="21">
        <f>SUMIF(Detail!$C$174:$C$435,$L304,Detail!K$174:K$435)</f>
        <v>0</v>
      </c>
      <c r="G304" s="21">
        <f>SUMIF(Detail!$C$174:$C$435,$L304,Detail!L$174:L$435)</f>
        <v>125959.56049491692</v>
      </c>
      <c r="H304" s="21">
        <f>SUMIF(Detail!$C$174:$C$435,$L304,Detail!M$174:M$435)</f>
        <v>1132495.0604458638</v>
      </c>
      <c r="I304" s="21">
        <f>SUMIF(Detail!$C$174:$C$435,$L304,Detail!N$174:N$435)</f>
        <v>0</v>
      </c>
      <c r="J304" s="2"/>
      <c r="K304" s="71" t="str">
        <f>Detail!A$174&amp;":"&amp;Detail!A$228&amp;", col "&amp;Detail!C$1&amp;"= "</f>
        <v xml:space="preserve">174:228, col C= </v>
      </c>
      <c r="L304" s="11" t="s">
        <v>151</v>
      </c>
    </row>
    <row r="305" spans="1:12">
      <c r="A305" s="50">
        <f t="shared" si="124"/>
        <v>755</v>
      </c>
      <c r="B305" t="s">
        <v>483</v>
      </c>
      <c r="C305" s="21">
        <f t="shared" si="139"/>
        <v>-127279.24890652689</v>
      </c>
      <c r="D305" s="21">
        <f>Detail!I444</f>
        <v>-105797.90122767726</v>
      </c>
      <c r="E305" s="21">
        <f>Detail!J444</f>
        <v>-17188.408875690035</v>
      </c>
      <c r="F305" s="21">
        <f>Detail!K444</f>
        <v>0</v>
      </c>
      <c r="G305" s="21">
        <f>Detail!L444</f>
        <v>-417.82549029833876</v>
      </c>
      <c r="H305" s="21">
        <f>Detail!M444</f>
        <v>-3875.1133128612742</v>
      </c>
      <c r="I305" s="21">
        <f>Detail!N444</f>
        <v>0</v>
      </c>
      <c r="J305" s="2"/>
      <c r="K305" s="71">
        <f>Detail!A444</f>
        <v>444</v>
      </c>
      <c r="L305" s="11"/>
    </row>
    <row r="306" spans="1:12">
      <c r="A306" s="50">
        <f t="shared" si="124"/>
        <v>756</v>
      </c>
      <c r="B306" s="28" t="s">
        <v>178</v>
      </c>
      <c r="C306" s="4">
        <f t="shared" ref="C306:I306" si="140">SUM(C304:C305)</f>
        <v>41989977.081537418</v>
      </c>
      <c r="D306" s="4">
        <f t="shared" si="140"/>
        <v>35546338.806826286</v>
      </c>
      <c r="E306" s="4">
        <f t="shared" si="140"/>
        <v>5189476.5925735207</v>
      </c>
      <c r="F306" s="4">
        <f t="shared" si="140"/>
        <v>0</v>
      </c>
      <c r="G306" s="4">
        <f t="shared" si="140"/>
        <v>125541.73500461859</v>
      </c>
      <c r="H306" s="4">
        <f t="shared" si="140"/>
        <v>1128619.9471330026</v>
      </c>
      <c r="I306" s="4">
        <f t="shared" si="140"/>
        <v>0</v>
      </c>
      <c r="J306" s="5"/>
      <c r="K306" s="71" t="str">
        <f>A304&amp;":"&amp;A305</f>
        <v>754:755</v>
      </c>
    </row>
    <row r="307" spans="1:12">
      <c r="A307" s="50">
        <f t="shared" si="124"/>
        <v>757</v>
      </c>
      <c r="B307" t="s">
        <v>142</v>
      </c>
      <c r="C307" s="2">
        <f t="shared" si="139"/>
        <v>436433.76103971683</v>
      </c>
      <c r="D307" s="2">
        <f>Detail!I$417*IF(D$22,D271/D$22,0)</f>
        <v>312971.94945365266</v>
      </c>
      <c r="E307" s="2">
        <f>Detail!J$417*IF(E$22,E271/E$22,0)</f>
        <v>118882.4324373344</v>
      </c>
      <c r="F307" s="2">
        <f>Detail!K$417*IF(F$22,F271/F$22,0)</f>
        <v>0</v>
      </c>
      <c r="G307" s="2">
        <f>Detail!L$417*IF(G$22,G271/G$22,0)</f>
        <v>3666.1695184086107</v>
      </c>
      <c r="H307" s="2">
        <f>Detail!M$417*IF(H$22,H271/H$22,0)</f>
        <v>913.20963032120062</v>
      </c>
      <c r="I307" s="2">
        <f>Detail!N$417*IF(I$22,I271/I$22,0)</f>
        <v>0</v>
      </c>
      <c r="J307" s="2"/>
      <c r="K307" s="71" t="str">
        <f>Detail!A$417&amp;"*"&amp;A271&amp;"/"&amp;A$22</f>
        <v>417*721/472</v>
      </c>
    </row>
    <row r="308" spans="1:12">
      <c r="A308" s="50">
        <f t="shared" si="124"/>
        <v>758</v>
      </c>
      <c r="B308" t="s">
        <v>162</v>
      </c>
      <c r="C308" s="2">
        <f>SUM(D308:I308)</f>
        <v>5551171.4400962722</v>
      </c>
      <c r="D308" s="2">
        <f t="shared" ref="D308:I308" si="141">D$49*D271</f>
        <v>4222525.2692415053</v>
      </c>
      <c r="E308" s="2">
        <f t="shared" si="141"/>
        <v>1221257.3024672072</v>
      </c>
      <c r="F308" s="2">
        <f t="shared" si="141"/>
        <v>0</v>
      </c>
      <c r="G308" s="2">
        <f t="shared" si="141"/>
        <v>35797.086427129245</v>
      </c>
      <c r="H308" s="2">
        <f t="shared" si="141"/>
        <v>71591.781960430337</v>
      </c>
      <c r="I308" s="2">
        <f t="shared" si="141"/>
        <v>0</v>
      </c>
      <c r="J308" s="2"/>
      <c r="K308" s="71" t="str">
        <f>A$49&amp;"*"&amp;A271</f>
        <v>499*721</v>
      </c>
    </row>
    <row r="309" spans="1:12">
      <c r="A309" s="50">
        <f t="shared" si="124"/>
        <v>759</v>
      </c>
      <c r="B309" t="s">
        <v>161</v>
      </c>
      <c r="C309" s="2">
        <f t="shared" si="139"/>
        <v>166250.02648318798</v>
      </c>
      <c r="D309" s="2">
        <f t="shared" ref="D309:I309" si="142">SUM(D306:D308)*D$93</f>
        <v>138889.99786352777</v>
      </c>
      <c r="E309" s="2">
        <f t="shared" si="142"/>
        <v>22626.169050630098</v>
      </c>
      <c r="F309" s="2">
        <f t="shared" si="142"/>
        <v>0</v>
      </c>
      <c r="G309" s="2">
        <f t="shared" si="142"/>
        <v>571.76878888348028</v>
      </c>
      <c r="H309" s="2">
        <f t="shared" si="142"/>
        <v>4162.0907801466365</v>
      </c>
      <c r="I309" s="2">
        <f t="shared" si="142"/>
        <v>0</v>
      </c>
      <c r="J309" s="2"/>
      <c r="K309" s="71" t="str">
        <f>A306&amp;":"&amp;A308&amp;"*"&amp;A$93</f>
        <v>756:758*543</v>
      </c>
    </row>
    <row r="310" spans="1:12">
      <c r="A310" s="50">
        <f t="shared" si="124"/>
        <v>760</v>
      </c>
      <c r="B310" s="28" t="s">
        <v>168</v>
      </c>
      <c r="C310" s="4">
        <f>IF(ROUND(SUM(C306:C309),3)&lt;&gt;ROUND(SUM(D310:I310),3),#VALUE!,SUM(C306:C309))</f>
        <v>48143832.309156597</v>
      </c>
      <c r="D310" s="4">
        <f t="shared" ref="D310:I310" si="143">SUM(D306:D309)</f>
        <v>40220726.023384973</v>
      </c>
      <c r="E310" s="4">
        <f t="shared" si="143"/>
        <v>6552242.4965286925</v>
      </c>
      <c r="F310" s="4">
        <f t="shared" si="143"/>
        <v>0</v>
      </c>
      <c r="G310" s="4">
        <f t="shared" si="143"/>
        <v>165576.75973903993</v>
      </c>
      <c r="H310" s="4">
        <f t="shared" si="143"/>
        <v>1205287.0295039008</v>
      </c>
      <c r="I310" s="4">
        <f t="shared" si="143"/>
        <v>0</v>
      </c>
      <c r="J310" s="5"/>
      <c r="K310" s="71" t="str">
        <f>A306&amp;":"&amp;A309</f>
        <v>756:759</v>
      </c>
    </row>
    <row r="311" spans="1:12">
      <c r="A311" s="50">
        <f t="shared" si="124"/>
        <v>761</v>
      </c>
      <c r="B311" s="28"/>
      <c r="C311" s="2"/>
      <c r="D311" s="2"/>
      <c r="E311" s="2"/>
      <c r="F311" s="2"/>
      <c r="G311" s="2"/>
      <c r="H311" s="2"/>
      <c r="I311" s="2"/>
      <c r="J311" s="2"/>
      <c r="K311" s="71"/>
    </row>
    <row r="312" spans="1:12">
      <c r="A312" s="50">
        <f t="shared" si="124"/>
        <v>762</v>
      </c>
      <c r="B312" s="28"/>
      <c r="C312" s="2"/>
      <c r="D312" s="2"/>
      <c r="E312" s="2"/>
      <c r="F312" s="2"/>
      <c r="G312" s="2"/>
      <c r="H312" s="2"/>
      <c r="I312" s="2"/>
      <c r="J312" s="2"/>
      <c r="K312" s="71"/>
    </row>
    <row r="313" spans="1:12">
      <c r="A313" s="50">
        <f t="shared" si="124"/>
        <v>763</v>
      </c>
      <c r="B313" s="30" t="s">
        <v>148</v>
      </c>
      <c r="K313" s="71"/>
    </row>
    <row r="314" spans="1:12">
      <c r="A314" s="50">
        <f t="shared" si="124"/>
        <v>764</v>
      </c>
      <c r="B314" s="30" t="str">
        <f>"Line "&amp;A126</f>
        <v>Line 576</v>
      </c>
      <c r="K314" s="71"/>
    </row>
    <row r="315" spans="1:12">
      <c r="A315" s="50">
        <f t="shared" si="124"/>
        <v>765</v>
      </c>
      <c r="B315" t="s">
        <v>485</v>
      </c>
      <c r="C315" s="2">
        <f>SUM(D315:I315)</f>
        <v>1407141.8582704766</v>
      </c>
      <c r="D315" s="2">
        <f t="shared" ref="D315:I315" si="144">D$286</f>
        <v>1004627.1415687951</v>
      </c>
      <c r="E315" s="2">
        <f t="shared" si="144"/>
        <v>374643.39323173708</v>
      </c>
      <c r="F315" s="2">
        <f t="shared" si="144"/>
        <v>0</v>
      </c>
      <c r="G315" s="2">
        <f t="shared" si="144"/>
        <v>10201.507491470167</v>
      </c>
      <c r="H315" s="2">
        <f t="shared" si="144"/>
        <v>17669.815978474137</v>
      </c>
      <c r="I315" s="2">
        <f t="shared" si="144"/>
        <v>0</v>
      </c>
      <c r="J315" s="2"/>
      <c r="K315" s="71">
        <f>A$286</f>
        <v>736</v>
      </c>
    </row>
    <row r="316" spans="1:12">
      <c r="A316" s="50">
        <f t="shared" si="124"/>
        <v>766</v>
      </c>
      <c r="B316" t="s">
        <v>142</v>
      </c>
      <c r="C316" s="2">
        <f>SUM(D316:I316)</f>
        <v>172988.07605569041</v>
      </c>
      <c r="D316" s="2">
        <f t="shared" ref="D316:I316" si="145">$C$53*D317</f>
        <v>123503.46063599063</v>
      </c>
      <c r="E316" s="2">
        <f t="shared" si="145"/>
        <v>46058.190755380645</v>
      </c>
      <c r="F316" s="2">
        <f t="shared" si="145"/>
        <v>0</v>
      </c>
      <c r="G316" s="2">
        <f t="shared" si="145"/>
        <v>1254.1635319406196</v>
      </c>
      <c r="H316" s="2">
        <f t="shared" si="145"/>
        <v>2172.2611323785436</v>
      </c>
      <c r="I316" s="2">
        <f t="shared" si="145"/>
        <v>0</v>
      </c>
      <c r="J316" s="2"/>
      <c r="K316" s="71" t="str">
        <f>C$1&amp;A$53&amp;"*"&amp;A317</f>
        <v>C503*767</v>
      </c>
    </row>
    <row r="317" spans="1:12">
      <c r="A317" s="50">
        <f t="shared" si="124"/>
        <v>767</v>
      </c>
      <c r="B317" t="s">
        <v>162</v>
      </c>
      <c r="C317" s="2">
        <f>SUM(D317:I317)</f>
        <v>2157126.4560332317</v>
      </c>
      <c r="D317" s="2">
        <f t="shared" ref="D317:I317" si="146">$C$49*D$269</f>
        <v>1540063.271550505</v>
      </c>
      <c r="E317" s="2">
        <f t="shared" si="146"/>
        <v>574336.35924982338</v>
      </c>
      <c r="F317" s="2">
        <f t="shared" si="146"/>
        <v>0</v>
      </c>
      <c r="G317" s="2">
        <f t="shared" si="146"/>
        <v>15639.166563539544</v>
      </c>
      <c r="H317" s="2">
        <f t="shared" si="146"/>
        <v>27087.658669363653</v>
      </c>
      <c r="I317" s="2">
        <f t="shared" si="146"/>
        <v>0</v>
      </c>
      <c r="J317" s="2"/>
      <c r="K317" s="71" t="str">
        <f>C$1&amp;$A$49&amp;"*"&amp;A$269</f>
        <v>C499*719</v>
      </c>
    </row>
    <row r="318" spans="1:12">
      <c r="A318" s="50">
        <f t="shared" si="124"/>
        <v>768</v>
      </c>
      <c r="B318" t="s">
        <v>161</v>
      </c>
      <c r="C318" s="2">
        <f>SUM(D318:I318)</f>
        <v>12950.193492682434</v>
      </c>
      <c r="D318" s="2">
        <f t="shared" ref="D318:I318" si="147">SUM(D315:D317)*$C$93</f>
        <v>9245.720210755464</v>
      </c>
      <c r="E318" s="2">
        <f t="shared" si="147"/>
        <v>3447.9662489091243</v>
      </c>
      <c r="F318" s="2">
        <f t="shared" si="147"/>
        <v>0</v>
      </c>
      <c r="G318" s="2">
        <f t="shared" si="147"/>
        <v>93.887962920860346</v>
      </c>
      <c r="H318" s="2">
        <f t="shared" si="147"/>
        <v>162.61907009698592</v>
      </c>
      <c r="I318" s="2">
        <f t="shared" si="147"/>
        <v>0</v>
      </c>
      <c r="J318" s="2"/>
      <c r="K318" s="71" t="str">
        <f>A315&amp;":"&amp;A317&amp;"*"&amp;C$1&amp;A$93</f>
        <v>765:767*C543</v>
      </c>
    </row>
    <row r="319" spans="1:12">
      <c r="A319" s="50">
        <f t="shared" si="124"/>
        <v>769</v>
      </c>
      <c r="B319" s="28" t="s">
        <v>462</v>
      </c>
      <c r="C319" s="4">
        <f>IF(ROUND(SUM(C315:C318),3)&lt;&gt;ROUND(SUM(D319:I319),3),#VALUE!,SUM(C315:C318))</f>
        <v>3750206.5838520816</v>
      </c>
      <c r="D319" s="4">
        <f t="shared" ref="D319:I319" si="148">SUM(D315:D318)</f>
        <v>2677439.5939660459</v>
      </c>
      <c r="E319" s="4">
        <f t="shared" si="148"/>
        <v>998485.90948585025</v>
      </c>
      <c r="F319" s="4">
        <f t="shared" si="148"/>
        <v>0</v>
      </c>
      <c r="G319" s="4">
        <f t="shared" si="148"/>
        <v>27188.725549871189</v>
      </c>
      <c r="H319" s="4">
        <f t="shared" si="148"/>
        <v>47092.354850313321</v>
      </c>
      <c r="I319" s="4">
        <f t="shared" si="148"/>
        <v>0</v>
      </c>
      <c r="J319" s="5"/>
      <c r="K319" s="71" t="str">
        <f>A315&amp;":"&amp;A318</f>
        <v>765:768</v>
      </c>
    </row>
    <row r="320" spans="1:12">
      <c r="A320" s="50">
        <f t="shared" si="124"/>
        <v>770</v>
      </c>
      <c r="B320" s="28"/>
      <c r="C320" s="2"/>
      <c r="D320" s="2"/>
      <c r="E320" s="2"/>
      <c r="F320" s="2"/>
      <c r="G320" s="2"/>
      <c r="H320" s="2"/>
      <c r="I320" s="2"/>
      <c r="J320" s="2"/>
      <c r="K320" s="71"/>
    </row>
    <row r="321" spans="1:11">
      <c r="A321" s="50">
        <f t="shared" si="124"/>
        <v>771</v>
      </c>
      <c r="B321" s="30" t="str">
        <f>"Line "&amp;A127</f>
        <v>Line 577</v>
      </c>
      <c r="K321" s="71"/>
    </row>
    <row r="322" spans="1:11">
      <c r="A322" s="50">
        <f t="shared" si="124"/>
        <v>772</v>
      </c>
      <c r="B322" t="s">
        <v>179</v>
      </c>
      <c r="C322" s="2">
        <f>SUM(D322:I322)</f>
        <v>46414137.390636064</v>
      </c>
      <c r="D322" s="2">
        <f t="shared" ref="D322:I322" si="149">D$297</f>
        <v>36862334.215130612</v>
      </c>
      <c r="E322" s="2">
        <f t="shared" si="149"/>
        <v>7443233.9417697694</v>
      </c>
      <c r="F322" s="2">
        <f t="shared" si="149"/>
        <v>0</v>
      </c>
      <c r="G322" s="2">
        <f t="shared" si="149"/>
        <v>175005.96666141771</v>
      </c>
      <c r="H322" s="2">
        <f t="shared" si="149"/>
        <v>1933563.2670742623</v>
      </c>
      <c r="I322" s="2">
        <f t="shared" si="149"/>
        <v>0</v>
      </c>
      <c r="J322" s="2"/>
      <c r="K322" s="71">
        <f>A$297</f>
        <v>747</v>
      </c>
    </row>
    <row r="323" spans="1:11">
      <c r="A323" s="50">
        <f t="shared" si="124"/>
        <v>773</v>
      </c>
      <c r="B323" t="s">
        <v>142</v>
      </c>
      <c r="C323" s="2">
        <f>SUM(D323:I323)</f>
        <v>1951493.4789498367</v>
      </c>
      <c r="D323" s="2">
        <f t="shared" ref="D323:I323" si="150">$C$53*D324</f>
        <v>1451274.0564403804</v>
      </c>
      <c r="E323" s="2">
        <f t="shared" si="150"/>
        <v>385394.06596069224</v>
      </c>
      <c r="F323" s="2">
        <f t="shared" si="150"/>
        <v>0</v>
      </c>
      <c r="G323" s="2">
        <f t="shared" si="150"/>
        <v>9502.6274334290047</v>
      </c>
      <c r="H323" s="2">
        <f t="shared" si="150"/>
        <v>105322.72911533508</v>
      </c>
      <c r="I323" s="2">
        <f t="shared" si="150"/>
        <v>0</v>
      </c>
      <c r="J323" s="2"/>
      <c r="K323" s="71" t="str">
        <f>C$1&amp;A$53&amp;"*"&amp;A324</f>
        <v>C503*774</v>
      </c>
    </row>
    <row r="324" spans="1:11">
      <c r="A324" s="50">
        <f t="shared" si="124"/>
        <v>774</v>
      </c>
      <c r="B324" t="s">
        <v>162</v>
      </c>
      <c r="C324" s="2">
        <f>SUM(D324:I324)</f>
        <v>24334730.509771157</v>
      </c>
      <c r="D324" s="2">
        <f t="shared" ref="D324:I324" si="151">$C$49*D$270</f>
        <v>18097095.09165461</v>
      </c>
      <c r="E324" s="2">
        <f t="shared" si="151"/>
        <v>4805786.3561323686</v>
      </c>
      <c r="F324" s="2">
        <f t="shared" si="151"/>
        <v>0</v>
      </c>
      <c r="G324" s="2">
        <f t="shared" si="151"/>
        <v>118495.84957449776</v>
      </c>
      <c r="H324" s="2">
        <f t="shared" si="151"/>
        <v>1313353.2124096784</v>
      </c>
      <c r="I324" s="2">
        <f t="shared" si="151"/>
        <v>0</v>
      </c>
      <c r="J324" s="2"/>
      <c r="K324" s="71" t="str">
        <f>C$1&amp;A$49&amp;"*"&amp;A$270</f>
        <v>C499*720</v>
      </c>
    </row>
    <row r="325" spans="1:11">
      <c r="A325" s="50">
        <f t="shared" si="124"/>
        <v>775</v>
      </c>
      <c r="B325" t="s">
        <v>161</v>
      </c>
      <c r="C325" s="2">
        <f>SUM(D325:I325)</f>
        <v>251918.42584823896</v>
      </c>
      <c r="D325" s="2">
        <f t="shared" ref="D325:I325" si="152">SUM(D322:D324)*$C$93</f>
        <v>195472.14515347476</v>
      </c>
      <c r="E325" s="2">
        <f t="shared" si="152"/>
        <v>43780.274508545386</v>
      </c>
      <c r="F325" s="2">
        <f t="shared" si="152"/>
        <v>0</v>
      </c>
      <c r="G325" s="2">
        <f t="shared" si="152"/>
        <v>1049.959051453586</v>
      </c>
      <c r="H325" s="2">
        <f t="shared" si="152"/>
        <v>11616.047134765209</v>
      </c>
      <c r="I325" s="2">
        <f t="shared" si="152"/>
        <v>0</v>
      </c>
      <c r="J325" s="2"/>
      <c r="K325" s="71" t="str">
        <f>A322&amp;":"&amp;A324&amp;"*"&amp;C$1&amp;A$93</f>
        <v>772:774*C543</v>
      </c>
    </row>
    <row r="326" spans="1:11">
      <c r="A326" s="50">
        <f t="shared" ref="A326:A389" si="153">Pg1Row+ROW(A326)</f>
        <v>776</v>
      </c>
      <c r="B326" s="28" t="s">
        <v>165</v>
      </c>
      <c r="C326" s="4">
        <f>IF(ROUND(SUM(C322:C325),3)&lt;&gt;ROUND(SUM(D326:I326),3),#VALUE!,SUM(C322:C325))</f>
        <v>72952279.8052053</v>
      </c>
      <c r="D326" s="4">
        <f t="shared" ref="D326:I326" si="154">SUM(D322:D325)</f>
        <v>56606175.508379087</v>
      </c>
      <c r="E326" s="4">
        <f t="shared" si="154"/>
        <v>12678194.638371376</v>
      </c>
      <c r="F326" s="4">
        <f t="shared" si="154"/>
        <v>0</v>
      </c>
      <c r="G326" s="4">
        <f t="shared" si="154"/>
        <v>304054.40272079804</v>
      </c>
      <c r="H326" s="4">
        <f t="shared" si="154"/>
        <v>3363855.2557340413</v>
      </c>
      <c r="I326" s="4">
        <f t="shared" si="154"/>
        <v>0</v>
      </c>
      <c r="J326" s="5"/>
      <c r="K326" s="71" t="str">
        <f>A322&amp;":"&amp;A325</f>
        <v>772:775</v>
      </c>
    </row>
    <row r="327" spans="1:11">
      <c r="A327" s="50">
        <f t="shared" si="153"/>
        <v>777</v>
      </c>
      <c r="B327" s="28"/>
      <c r="C327" s="2"/>
      <c r="D327" s="2"/>
      <c r="E327" s="2"/>
      <c r="F327" s="2"/>
      <c r="G327" s="2"/>
      <c r="H327" s="2"/>
      <c r="I327" s="2"/>
      <c r="J327" s="2"/>
      <c r="K327" s="71"/>
    </row>
    <row r="328" spans="1:11">
      <c r="A328" s="50">
        <f t="shared" si="153"/>
        <v>778</v>
      </c>
      <c r="B328" s="30" t="str">
        <f>"Line "&amp;A128</f>
        <v>Line 578</v>
      </c>
      <c r="K328" s="71"/>
    </row>
    <row r="329" spans="1:11">
      <c r="A329" s="50">
        <f t="shared" si="153"/>
        <v>779</v>
      </c>
      <c r="B329" t="s">
        <v>167</v>
      </c>
      <c r="C329" s="2">
        <f>SUM(D329:I329)</f>
        <v>41989977.081537433</v>
      </c>
      <c r="D329" s="2">
        <f t="shared" ref="D329:I329" si="155">D$306</f>
        <v>35546338.806826286</v>
      </c>
      <c r="E329" s="2">
        <f t="shared" si="155"/>
        <v>5189476.5925735207</v>
      </c>
      <c r="F329" s="2">
        <f t="shared" si="155"/>
        <v>0</v>
      </c>
      <c r="G329" s="2">
        <f t="shared" si="155"/>
        <v>125541.73500461859</v>
      </c>
      <c r="H329" s="2">
        <f t="shared" si="155"/>
        <v>1128619.9471330026</v>
      </c>
      <c r="I329" s="2">
        <f t="shared" si="155"/>
        <v>0</v>
      </c>
      <c r="J329" s="2"/>
      <c r="K329" s="71">
        <f>A$306</f>
        <v>756</v>
      </c>
    </row>
    <row r="330" spans="1:11">
      <c r="A330" s="50">
        <f t="shared" si="153"/>
        <v>780</v>
      </c>
      <c r="B330" t="s">
        <v>142</v>
      </c>
      <c r="C330" s="2">
        <f>SUM(D330:I330)</f>
        <v>460122.00352874323</v>
      </c>
      <c r="D330" s="2">
        <f t="shared" ref="D330:I330" si="156">$C$53*D331</f>
        <v>382522.48847275303</v>
      </c>
      <c r="E330" s="2">
        <f t="shared" si="156"/>
        <v>62085.062604211933</v>
      </c>
      <c r="F330" s="2">
        <f t="shared" si="156"/>
        <v>0</v>
      </c>
      <c r="G330" s="2">
        <f t="shared" si="156"/>
        <v>1509.0944421263353</v>
      </c>
      <c r="H330" s="2">
        <f t="shared" si="156"/>
        <v>14005.358009651949</v>
      </c>
      <c r="I330" s="2">
        <f t="shared" si="156"/>
        <v>0</v>
      </c>
      <c r="J330" s="2"/>
      <c r="K330" s="71" t="str">
        <f>C$1&amp;A$53&amp;"*"&amp;A331</f>
        <v>C503*781</v>
      </c>
    </row>
    <row r="331" spans="1:11">
      <c r="A331" s="50">
        <f t="shared" si="153"/>
        <v>781</v>
      </c>
      <c r="B331" t="s">
        <v>162</v>
      </c>
      <c r="C331" s="2">
        <f>SUM(D331:I331)</f>
        <v>5737628.6819638181</v>
      </c>
      <c r="D331" s="2">
        <f t="shared" ref="D331:I331" si="157">$C$49*D$271</f>
        <v>4769978.3634023434</v>
      </c>
      <c r="E331" s="2">
        <f t="shared" si="157"/>
        <v>774188.22222700552</v>
      </c>
      <c r="F331" s="2">
        <f t="shared" si="157"/>
        <v>0</v>
      </c>
      <c r="G331" s="2">
        <f t="shared" si="157"/>
        <v>18818.103651927082</v>
      </c>
      <c r="H331" s="2">
        <f t="shared" si="157"/>
        <v>174643.99268254271</v>
      </c>
      <c r="I331" s="2">
        <f t="shared" si="157"/>
        <v>0</v>
      </c>
      <c r="J331" s="2"/>
      <c r="K331" s="71" t="str">
        <f>C$1&amp;$A$49&amp;"*"&amp;A$271</f>
        <v>C499*721</v>
      </c>
    </row>
    <row r="332" spans="1:11">
      <c r="A332" s="50">
        <f t="shared" si="153"/>
        <v>782</v>
      </c>
      <c r="B332" t="s">
        <v>161</v>
      </c>
      <c r="C332" s="2">
        <f>SUM(D332:I332)</f>
        <v>166978.2143300403</v>
      </c>
      <c r="D332" s="2">
        <f t="shared" ref="D332:I332" si="158">SUM(D329:D331)*$C$93</f>
        <v>141028.01452622714</v>
      </c>
      <c r="E332" s="2">
        <f t="shared" si="158"/>
        <v>20880.190894099858</v>
      </c>
      <c r="F332" s="2">
        <f t="shared" si="158"/>
        <v>0</v>
      </c>
      <c r="G332" s="2">
        <f t="shared" si="158"/>
        <v>505.45927570607233</v>
      </c>
      <c r="H332" s="2">
        <f t="shared" si="158"/>
        <v>4564.549634007245</v>
      </c>
      <c r="I332" s="2">
        <f t="shared" si="158"/>
        <v>0</v>
      </c>
      <c r="J332" s="2"/>
      <c r="K332" s="71" t="str">
        <f>A329&amp;":"&amp;A331&amp;"*"&amp;C$1&amp;A$93</f>
        <v>779:781*C543</v>
      </c>
    </row>
    <row r="333" spans="1:11">
      <c r="A333" s="50">
        <f t="shared" si="153"/>
        <v>783</v>
      </c>
      <c r="B333" s="28" t="s">
        <v>168</v>
      </c>
      <c r="C333" s="4">
        <f>IF(ROUND(SUM(C329:C332),3)&lt;&gt;ROUND(SUM(D333:I333),3),#VALUE!,SUM(C329:C332))</f>
        <v>48354705.981360033</v>
      </c>
      <c r="D333" s="4">
        <f t="shared" ref="D333:I333" si="159">SUM(D329:D332)</f>
        <v>40839867.673227608</v>
      </c>
      <c r="E333" s="4">
        <f t="shared" si="159"/>
        <v>6046630.0682988381</v>
      </c>
      <c r="F333" s="4">
        <f t="shared" si="159"/>
        <v>0</v>
      </c>
      <c r="G333" s="4">
        <f t="shared" si="159"/>
        <v>146374.39237437808</v>
      </c>
      <c r="H333" s="4">
        <f t="shared" si="159"/>
        <v>1321833.8474592045</v>
      </c>
      <c r="I333" s="4">
        <f t="shared" si="159"/>
        <v>0</v>
      </c>
      <c r="J333" s="5"/>
      <c r="K333" s="71" t="str">
        <f>A329&amp;":"&amp;A332</f>
        <v>779:782</v>
      </c>
    </row>
    <row r="334" spans="1:11">
      <c r="A334" s="50">
        <f t="shared" si="153"/>
        <v>784</v>
      </c>
      <c r="B334" s="28"/>
      <c r="C334" s="2"/>
      <c r="D334" s="2"/>
      <c r="E334" s="2"/>
      <c r="F334" s="2"/>
      <c r="G334" s="2"/>
      <c r="H334" s="2"/>
      <c r="I334" s="2"/>
      <c r="J334" s="2"/>
      <c r="K334" s="71"/>
    </row>
    <row r="335" spans="1:11">
      <c r="A335" s="50">
        <f t="shared" si="153"/>
        <v>785</v>
      </c>
      <c r="K335" s="71"/>
    </row>
    <row r="336" spans="1:11">
      <c r="A336" s="50">
        <f t="shared" si="153"/>
        <v>786</v>
      </c>
      <c r="B336" s="30" t="s">
        <v>149</v>
      </c>
      <c r="K336" s="71"/>
    </row>
    <row r="337" spans="1:11">
      <c r="A337" s="50">
        <f t="shared" si="153"/>
        <v>787</v>
      </c>
      <c r="B337" s="30" t="str">
        <f>"Line "&amp;A144</f>
        <v>Line 594</v>
      </c>
      <c r="K337" s="71"/>
    </row>
    <row r="338" spans="1:11">
      <c r="A338" s="50">
        <f t="shared" si="153"/>
        <v>788</v>
      </c>
      <c r="B338" t="s">
        <v>471</v>
      </c>
      <c r="C338" s="21">
        <f>SUM(D338:I338)</f>
        <v>0</v>
      </c>
      <c r="D338" s="21">
        <f t="shared" ref="D338:I338" si="160">D276</f>
        <v>0</v>
      </c>
      <c r="E338" s="21">
        <f t="shared" si="160"/>
        <v>0</v>
      </c>
      <c r="F338" s="21">
        <f t="shared" si="160"/>
        <v>0</v>
      </c>
      <c r="G338" s="21">
        <f t="shared" si="160"/>
        <v>0</v>
      </c>
      <c r="H338" s="21">
        <f t="shared" si="160"/>
        <v>0</v>
      </c>
      <c r="I338" s="21">
        <f t="shared" si="160"/>
        <v>0</v>
      </c>
      <c r="J338" s="2"/>
      <c r="K338" s="71">
        <f>A276</f>
        <v>726</v>
      </c>
    </row>
    <row r="339" spans="1:11">
      <c r="A339" s="50">
        <f t="shared" si="153"/>
        <v>789</v>
      </c>
      <c r="B339" t="s">
        <v>472</v>
      </c>
      <c r="C339" s="21">
        <f>SUM(D339:I339)</f>
        <v>0</v>
      </c>
      <c r="D339" s="21">
        <f t="shared" ref="D339:I340" si="161">D277</f>
        <v>0</v>
      </c>
      <c r="E339" s="21">
        <f t="shared" si="161"/>
        <v>0</v>
      </c>
      <c r="F339" s="21">
        <f t="shared" si="161"/>
        <v>0</v>
      </c>
      <c r="G339" s="21">
        <f t="shared" si="161"/>
        <v>0</v>
      </c>
      <c r="H339" s="21">
        <f t="shared" si="161"/>
        <v>0</v>
      </c>
      <c r="I339" s="21">
        <f t="shared" si="161"/>
        <v>0</v>
      </c>
      <c r="J339" s="2"/>
      <c r="K339" s="71">
        <f>A277</f>
        <v>727</v>
      </c>
    </row>
    <row r="340" spans="1:11">
      <c r="A340" s="50">
        <f t="shared" si="153"/>
        <v>790</v>
      </c>
      <c r="B340" t="s">
        <v>473</v>
      </c>
      <c r="C340" s="21">
        <f>SUM(D340:I340)</f>
        <v>954000</v>
      </c>
      <c r="D340" s="21">
        <f t="shared" si="161"/>
        <v>622132.43609979271</v>
      </c>
      <c r="E340" s="21">
        <f t="shared" si="161"/>
        <v>295549.25864193542</v>
      </c>
      <c r="F340" s="21">
        <f t="shared" si="161"/>
        <v>0</v>
      </c>
      <c r="G340" s="21">
        <f t="shared" si="161"/>
        <v>11801.686954390076</v>
      </c>
      <c r="H340" s="21">
        <f t="shared" si="161"/>
        <v>24516.618303881845</v>
      </c>
      <c r="I340" s="21">
        <f t="shared" si="161"/>
        <v>0</v>
      </c>
      <c r="J340" s="2"/>
      <c r="K340" s="71">
        <f>A278</f>
        <v>728</v>
      </c>
    </row>
    <row r="341" spans="1:11">
      <c r="A341" s="50">
        <f t="shared" si="153"/>
        <v>791</v>
      </c>
      <c r="B341" t="s">
        <v>161</v>
      </c>
      <c r="C341" s="2">
        <f>SUM(D341:I341)</f>
        <v>8440.9737979945239</v>
      </c>
      <c r="D341" s="2">
        <f t="shared" ref="D341:I341" si="162">SUM(D338:D340)*D$97</f>
        <v>5504.6159245291956</v>
      </c>
      <c r="E341" s="2">
        <f t="shared" si="162"/>
        <v>2615.0142014814292</v>
      </c>
      <c r="F341" s="2">
        <f t="shared" si="162"/>
        <v>0</v>
      </c>
      <c r="G341" s="2">
        <f t="shared" si="162"/>
        <v>104.42110100014717</v>
      </c>
      <c r="H341" s="2">
        <f t="shared" si="162"/>
        <v>216.92257098375217</v>
      </c>
      <c r="I341" s="2">
        <f t="shared" si="162"/>
        <v>0</v>
      </c>
      <c r="J341" s="2"/>
      <c r="K341" s="71" t="str">
        <f>A338&amp;":"&amp;A340&amp;"*"&amp;A$97</f>
        <v>788:790*547</v>
      </c>
    </row>
    <row r="342" spans="1:11">
      <c r="A342" s="50">
        <f t="shared" si="153"/>
        <v>792</v>
      </c>
      <c r="B342" s="28" t="s">
        <v>163</v>
      </c>
      <c r="C342" s="4">
        <f>IF(ROUND(SUM(C338:C341),3)&lt;&gt;ROUND(SUM(D342:I342),3),#VALUE!,SUM(C338:C341))</f>
        <v>962440.97379799455</v>
      </c>
      <c r="D342" s="4">
        <f t="shared" ref="D342:I342" si="163">SUM(D338:D341)</f>
        <v>627637.05202432186</v>
      </c>
      <c r="E342" s="4">
        <f t="shared" si="163"/>
        <v>298164.27284341684</v>
      </c>
      <c r="F342" s="4">
        <f t="shared" si="163"/>
        <v>0</v>
      </c>
      <c r="G342" s="4">
        <f t="shared" si="163"/>
        <v>11906.108055390223</v>
      </c>
      <c r="H342" s="4">
        <f t="shared" si="163"/>
        <v>24733.540874865597</v>
      </c>
      <c r="I342" s="4">
        <f t="shared" si="163"/>
        <v>0</v>
      </c>
      <c r="J342" s="5"/>
      <c r="K342" s="71" t="str">
        <f>A338&amp;":"&amp;A341</f>
        <v>788:791</v>
      </c>
    </row>
    <row r="343" spans="1:11">
      <c r="A343" s="50">
        <f t="shared" si="153"/>
        <v>793</v>
      </c>
      <c r="J343" s="2"/>
      <c r="K343" s="71"/>
    </row>
    <row r="344" spans="1:11">
      <c r="A344" s="50">
        <f t="shared" si="153"/>
        <v>794</v>
      </c>
      <c r="B344" s="30" t="str">
        <f>"Line "&amp;A145</f>
        <v>Line 595</v>
      </c>
      <c r="K344" s="71"/>
    </row>
    <row r="345" spans="1:11">
      <c r="A345" s="50">
        <f t="shared" si="153"/>
        <v>795</v>
      </c>
      <c r="B345" t="s">
        <v>485</v>
      </c>
      <c r="C345" s="2">
        <f>SUM(D345:I345)</f>
        <v>1407141.8582704766</v>
      </c>
      <c r="D345" s="2">
        <f t="shared" ref="D345:I345" si="164">D$286</f>
        <v>1004627.1415687951</v>
      </c>
      <c r="E345" s="2">
        <f t="shared" si="164"/>
        <v>374643.39323173708</v>
      </c>
      <c r="F345" s="2">
        <f t="shared" si="164"/>
        <v>0</v>
      </c>
      <c r="G345" s="2">
        <f t="shared" si="164"/>
        <v>10201.507491470167</v>
      </c>
      <c r="H345" s="2">
        <f t="shared" si="164"/>
        <v>17669.815978474137</v>
      </c>
      <c r="I345" s="2">
        <f t="shared" si="164"/>
        <v>0</v>
      </c>
      <c r="J345" s="2"/>
      <c r="K345" s="107">
        <f>A$286</f>
        <v>736</v>
      </c>
    </row>
    <row r="346" spans="1:11">
      <c r="A346" s="50">
        <f t="shared" si="153"/>
        <v>796</v>
      </c>
      <c r="B346" t="s">
        <v>142</v>
      </c>
      <c r="C346" s="2">
        <f>SUM(D346:I346)</f>
        <v>437811.64494260424</v>
      </c>
      <c r="D346" s="2">
        <f t="shared" ref="D346:I346" si="165">D$100*D347</f>
        <v>264448.4499266342</v>
      </c>
      <c r="E346" s="2">
        <f t="shared" si="165"/>
        <v>166272.9131998216</v>
      </c>
      <c r="F346" s="2">
        <f t="shared" si="165"/>
        <v>0</v>
      </c>
      <c r="G346" s="2">
        <f t="shared" si="165"/>
        <v>5519.8734256591379</v>
      </c>
      <c r="H346" s="2">
        <f t="shared" si="165"/>
        <v>1570.4083904892968</v>
      </c>
      <c r="I346" s="2">
        <f t="shared" si="165"/>
        <v>0</v>
      </c>
      <c r="J346" s="2"/>
      <c r="K346" s="71" t="str">
        <f>A$100&amp;"*"&amp;A347</f>
        <v>550*797</v>
      </c>
    </row>
    <row r="347" spans="1:11">
      <c r="A347" s="50">
        <f t="shared" si="153"/>
        <v>797</v>
      </c>
      <c r="B347" t="s">
        <v>162</v>
      </c>
      <c r="C347" s="2">
        <f>SUM(D347:I347)</f>
        <v>3202828.699025122</v>
      </c>
      <c r="D347" s="2">
        <f t="shared" ref="D347:I347" si="166">D$83*D$269</f>
        <v>2022022.0264818566</v>
      </c>
      <c r="E347" s="2">
        <f t="shared" si="166"/>
        <v>1126063.7661011345</v>
      </c>
      <c r="F347" s="2">
        <f t="shared" si="166"/>
        <v>0</v>
      </c>
      <c r="G347" s="2">
        <f t="shared" si="166"/>
        <v>36118.745336366221</v>
      </c>
      <c r="H347" s="2">
        <f t="shared" si="166"/>
        <v>18624.1611057644</v>
      </c>
      <c r="I347" s="2">
        <f t="shared" si="166"/>
        <v>0</v>
      </c>
      <c r="J347" s="2"/>
      <c r="K347" s="71" t="str">
        <f>A83&amp;"*"&amp;A$269</f>
        <v>533*719</v>
      </c>
    </row>
    <row r="348" spans="1:11">
      <c r="A348" s="50">
        <f t="shared" si="153"/>
        <v>798</v>
      </c>
      <c r="B348" t="s">
        <v>161</v>
      </c>
      <c r="C348" s="2">
        <f>SUM(D348:I348)</f>
        <v>44662.68061538339</v>
      </c>
      <c r="D348" s="2">
        <f t="shared" ref="D348:I348" si="167">SUM(D345:D347)*D$97</f>
        <v>29119.568930805512</v>
      </c>
      <c r="E348" s="2">
        <f t="shared" si="167"/>
        <v>14749.40787633907</v>
      </c>
      <c r="F348" s="2">
        <f t="shared" si="167"/>
        <v>0</v>
      </c>
      <c r="G348" s="2">
        <f t="shared" si="167"/>
        <v>458.6804479984105</v>
      </c>
      <c r="H348" s="2">
        <f t="shared" si="167"/>
        <v>335.02336024040045</v>
      </c>
      <c r="I348" s="2">
        <f t="shared" si="167"/>
        <v>0</v>
      </c>
      <c r="J348" s="2"/>
      <c r="K348" s="71" t="str">
        <f>A345&amp;":"&amp;A347&amp;"*"&amp;A$97</f>
        <v>795:797*547</v>
      </c>
    </row>
    <row r="349" spans="1:11">
      <c r="A349" s="50">
        <f t="shared" si="153"/>
        <v>799</v>
      </c>
      <c r="B349" s="28" t="s">
        <v>462</v>
      </c>
      <c r="C349" s="4">
        <f>IF(ROUND(SUM(C345:C348),3)&lt;&gt;ROUND(SUM(D349:I349),3),#VALUE!,SUM(C345:C348))</f>
        <v>5092444.8828535862</v>
      </c>
      <c r="D349" s="4">
        <f t="shared" ref="D349:I349" si="168">SUM(D345:D348)</f>
        <v>3320217.1869080914</v>
      </c>
      <c r="E349" s="4">
        <f t="shared" si="168"/>
        <v>1681729.4804090322</v>
      </c>
      <c r="F349" s="4">
        <f t="shared" si="168"/>
        <v>0</v>
      </c>
      <c r="G349" s="4">
        <f t="shared" si="168"/>
        <v>52298.806701493937</v>
      </c>
      <c r="H349" s="4">
        <f t="shared" si="168"/>
        <v>38199.408834968235</v>
      </c>
      <c r="I349" s="4">
        <f t="shared" si="168"/>
        <v>0</v>
      </c>
      <c r="J349" s="5"/>
      <c r="K349" s="71" t="str">
        <f>A345&amp;":"&amp;A348</f>
        <v>795:798</v>
      </c>
    </row>
    <row r="350" spans="1:11">
      <c r="A350" s="50">
        <f t="shared" si="153"/>
        <v>800</v>
      </c>
      <c r="B350" s="28"/>
      <c r="C350" s="2"/>
      <c r="D350" s="2"/>
      <c r="E350" s="2"/>
      <c r="F350" s="2"/>
      <c r="G350" s="2"/>
      <c r="H350" s="2"/>
      <c r="I350" s="2"/>
      <c r="J350" s="2"/>
      <c r="K350" s="71"/>
    </row>
    <row r="351" spans="1:11">
      <c r="A351" s="50">
        <f t="shared" si="153"/>
        <v>801</v>
      </c>
      <c r="B351" s="30" t="str">
        <f>"Line "&amp;A146</f>
        <v>Line 596</v>
      </c>
      <c r="K351" s="71"/>
    </row>
    <row r="352" spans="1:11">
      <c r="A352" s="50">
        <f t="shared" si="153"/>
        <v>802</v>
      </c>
      <c r="B352" t="s">
        <v>179</v>
      </c>
      <c r="C352" s="2">
        <f>SUM(D352:I352)</f>
        <v>46414137.390636064</v>
      </c>
      <c r="D352" s="2">
        <f t="shared" ref="D352:I352" si="169">D$297-D$60</f>
        <v>36862334.215130612</v>
      </c>
      <c r="E352" s="2">
        <f t="shared" si="169"/>
        <v>7443233.9417697694</v>
      </c>
      <c r="F352" s="2">
        <f t="shared" si="169"/>
        <v>0</v>
      </c>
      <c r="G352" s="2">
        <f t="shared" si="169"/>
        <v>175005.96666141771</v>
      </c>
      <c r="H352" s="2">
        <f t="shared" si="169"/>
        <v>1933563.2670742623</v>
      </c>
      <c r="I352" s="2">
        <f t="shared" si="169"/>
        <v>0</v>
      </c>
      <c r="J352" s="2"/>
      <c r="K352" s="71" t="str">
        <f>A$297&amp;"-"&amp;A$60</f>
        <v>747-510</v>
      </c>
    </row>
    <row r="353" spans="1:11">
      <c r="A353" s="50">
        <f t="shared" si="153"/>
        <v>803</v>
      </c>
      <c r="B353" t="s">
        <v>142</v>
      </c>
      <c r="C353" s="2">
        <f>SUM(D353:I353)</f>
        <v>4616762.8161501866</v>
      </c>
      <c r="D353" s="2">
        <f t="shared" ref="D353:I353" si="170">D$100*D354</f>
        <v>3107501.3822937068</v>
      </c>
      <c r="E353" s="2">
        <f t="shared" si="170"/>
        <v>1391296.3802149012</v>
      </c>
      <c r="F353" s="2">
        <f t="shared" si="170"/>
        <v>0</v>
      </c>
      <c r="G353" s="2">
        <f t="shared" si="170"/>
        <v>41823.334284454177</v>
      </c>
      <c r="H353" s="2">
        <f t="shared" si="170"/>
        <v>76141.719357123147</v>
      </c>
      <c r="I353" s="2">
        <f t="shared" si="170"/>
        <v>0</v>
      </c>
      <c r="J353" s="2"/>
      <c r="K353" s="71" t="str">
        <f>A$100&amp;"*"&amp;A354</f>
        <v>550*804</v>
      </c>
    </row>
    <row r="354" spans="1:11">
      <c r="A354" s="50">
        <f t="shared" si="153"/>
        <v>804</v>
      </c>
      <c r="B354" t="s">
        <v>162</v>
      </c>
      <c r="C354" s="2">
        <f>SUM(D354:I354)</f>
        <v>34359589.558617257</v>
      </c>
      <c r="D354" s="2">
        <f t="shared" ref="D354:I354" si="171">D$83*D$270</f>
        <v>23760533.457707547</v>
      </c>
      <c r="E354" s="2">
        <f t="shared" si="171"/>
        <v>9422391.2453188952</v>
      </c>
      <c r="F354" s="2">
        <f t="shared" si="171"/>
        <v>0</v>
      </c>
      <c r="G354" s="2">
        <f t="shared" si="171"/>
        <v>273666.84770630056</v>
      </c>
      <c r="H354" s="2">
        <f t="shared" si="171"/>
        <v>902998.00788451417</v>
      </c>
      <c r="I354" s="2">
        <f t="shared" si="171"/>
        <v>0</v>
      </c>
      <c r="J354" s="2"/>
      <c r="K354" s="71" t="str">
        <f>A83&amp;"*"&amp;A$270</f>
        <v>533*720</v>
      </c>
    </row>
    <row r="355" spans="1:11">
      <c r="A355" s="50">
        <f t="shared" si="153"/>
        <v>805</v>
      </c>
      <c r="B355" t="s">
        <v>161</v>
      </c>
      <c r="C355" s="2">
        <f>SUM(D355:I355)</f>
        <v>755533.42422189785</v>
      </c>
      <c r="D355" s="2">
        <f t="shared" ref="D355:I355" si="172">SUM(D352:D354)*D$97</f>
        <v>563885.08944537642</v>
      </c>
      <c r="E355" s="2">
        <f t="shared" si="172"/>
        <v>161536.89369145758</v>
      </c>
      <c r="F355" s="2">
        <f t="shared" si="172"/>
        <v>0</v>
      </c>
      <c r="G355" s="2">
        <f t="shared" si="172"/>
        <v>4339.9005647696158</v>
      </c>
      <c r="H355" s="2">
        <f t="shared" si="172"/>
        <v>25771.540520294227</v>
      </c>
      <c r="I355" s="2">
        <f t="shared" si="172"/>
        <v>0</v>
      </c>
      <c r="J355" s="2"/>
      <c r="K355" s="71" t="str">
        <f>A352&amp;":"&amp;A354&amp;"*"&amp;A$97</f>
        <v>802:804*547</v>
      </c>
    </row>
    <row r="356" spans="1:11">
      <c r="A356" s="50">
        <f t="shared" si="153"/>
        <v>806</v>
      </c>
      <c r="B356" s="28" t="s">
        <v>165</v>
      </c>
      <c r="C356" s="4">
        <f>IF(ROUND(SUM(C352:C355),3)&lt;&gt;ROUND(SUM(D356:I356),3),#VALUE!,SUM(C352:C355))</f>
        <v>86146023.189625412</v>
      </c>
      <c r="D356" s="4">
        <f t="shared" ref="D356:I356" si="173">SUM(D352:D355)</f>
        <v>64294254.144577242</v>
      </c>
      <c r="E356" s="4">
        <f t="shared" si="173"/>
        <v>18418458.460995026</v>
      </c>
      <c r="F356" s="4">
        <f t="shared" si="173"/>
        <v>0</v>
      </c>
      <c r="G356" s="4">
        <f t="shared" si="173"/>
        <v>494836.04921694205</v>
      </c>
      <c r="H356" s="4">
        <f t="shared" si="173"/>
        <v>2938474.5348361935</v>
      </c>
      <c r="I356" s="4">
        <f t="shared" si="173"/>
        <v>0</v>
      </c>
      <c r="J356" s="5"/>
      <c r="K356" s="71" t="str">
        <f>A352&amp;":"&amp;A355</f>
        <v>802:805</v>
      </c>
    </row>
    <row r="357" spans="1:11">
      <c r="A357" s="50">
        <f t="shared" si="153"/>
        <v>807</v>
      </c>
      <c r="B357" s="28"/>
      <c r="C357" s="2"/>
      <c r="D357" s="2"/>
      <c r="E357" s="2"/>
      <c r="F357" s="2"/>
      <c r="G357" s="2"/>
      <c r="H357" s="2"/>
      <c r="I357" s="2"/>
      <c r="J357" s="2"/>
      <c r="K357" s="71"/>
    </row>
    <row r="358" spans="1:11">
      <c r="A358" s="50">
        <f t="shared" si="153"/>
        <v>808</v>
      </c>
      <c r="B358" s="30" t="str">
        <f>"Line "&amp;A147</f>
        <v>Line 597</v>
      </c>
      <c r="K358" s="71"/>
    </row>
    <row r="359" spans="1:11">
      <c r="A359" s="50">
        <f t="shared" si="153"/>
        <v>809</v>
      </c>
      <c r="B359" t="s">
        <v>167</v>
      </c>
      <c r="C359" s="2">
        <f>SUM(D359:I359)</f>
        <v>41989977.081537433</v>
      </c>
      <c r="D359" s="2">
        <f t="shared" ref="D359:I359" si="174">D$306</f>
        <v>35546338.806826286</v>
      </c>
      <c r="E359" s="2">
        <f t="shared" si="174"/>
        <v>5189476.5925735207</v>
      </c>
      <c r="F359" s="2">
        <f t="shared" si="174"/>
        <v>0</v>
      </c>
      <c r="G359" s="2">
        <f t="shared" si="174"/>
        <v>125541.73500461859</v>
      </c>
      <c r="H359" s="2">
        <f t="shared" si="174"/>
        <v>1128619.9471330026</v>
      </c>
      <c r="I359" s="2">
        <f t="shared" si="174"/>
        <v>0</v>
      </c>
      <c r="J359" s="2"/>
      <c r="K359" s="71">
        <f>A$306</f>
        <v>756</v>
      </c>
    </row>
    <row r="360" spans="1:11">
      <c r="A360" s="50">
        <f t="shared" si="153"/>
        <v>810</v>
      </c>
      <c r="B360" t="s">
        <v>142</v>
      </c>
      <c r="C360" s="2">
        <f>SUM(D360:I360)</f>
        <v>1059963.7386327134</v>
      </c>
      <c r="D360" s="2">
        <f t="shared" ref="D360:I360" si="175">D$100*D361</f>
        <v>819065.94857974083</v>
      </c>
      <c r="E360" s="2">
        <f t="shared" si="175"/>
        <v>224130.91040033207</v>
      </c>
      <c r="F360" s="2">
        <f t="shared" si="175"/>
        <v>0</v>
      </c>
      <c r="G360" s="2">
        <f t="shared" si="175"/>
        <v>6641.8852850980975</v>
      </c>
      <c r="H360" s="2">
        <f t="shared" si="175"/>
        <v>10124.994367542342</v>
      </c>
      <c r="I360" s="2">
        <f t="shared" si="175"/>
        <v>0</v>
      </c>
      <c r="J360" s="2"/>
      <c r="K360" s="71" t="str">
        <f>A$100&amp;"*"&amp;A361</f>
        <v>550*811</v>
      </c>
    </row>
    <row r="361" spans="1:11">
      <c r="A361" s="50">
        <f t="shared" si="153"/>
        <v>811</v>
      </c>
      <c r="B361" t="s">
        <v>162</v>
      </c>
      <c r="C361" s="2">
        <f>SUM(D361:I361)</f>
        <v>7944168.0772095621</v>
      </c>
      <c r="D361" s="2">
        <f t="shared" ref="D361:I361" si="176">D$83*D$271</f>
        <v>6262730.5610184586</v>
      </c>
      <c r="E361" s="2">
        <f t="shared" si="176"/>
        <v>1517900.2533128448</v>
      </c>
      <c r="F361" s="2">
        <f t="shared" si="176"/>
        <v>0</v>
      </c>
      <c r="G361" s="2">
        <f t="shared" si="176"/>
        <v>43460.518868178551</v>
      </c>
      <c r="H361" s="2">
        <f t="shared" si="176"/>
        <v>120076.74401008042</v>
      </c>
      <c r="I361" s="2">
        <f t="shared" si="176"/>
        <v>0</v>
      </c>
      <c r="J361" s="2"/>
      <c r="K361" s="71" t="str">
        <f>A83&amp;"*"&amp;A$271</f>
        <v>533*721</v>
      </c>
    </row>
    <row r="362" spans="1:11">
      <c r="A362" s="50">
        <f t="shared" si="153"/>
        <v>812</v>
      </c>
      <c r="B362" t="s">
        <v>161</v>
      </c>
      <c r="C362" s="2">
        <f>SUM(D362:I362)</f>
        <v>451194.90257323009</v>
      </c>
      <c r="D362" s="2">
        <f t="shared" ref="D362:I362" si="177">SUM(D359:D361)*D$97</f>
        <v>377172.92794895609</v>
      </c>
      <c r="E362" s="2">
        <f t="shared" si="177"/>
        <v>61329.848376741953</v>
      </c>
      <c r="F362" s="2">
        <f t="shared" si="177"/>
        <v>0</v>
      </c>
      <c r="G362" s="2">
        <f t="shared" si="177"/>
        <v>1554.0959920367895</v>
      </c>
      <c r="H362" s="2">
        <f t="shared" si="177"/>
        <v>11138.030255495272</v>
      </c>
      <c r="I362" s="2">
        <f t="shared" si="177"/>
        <v>0</v>
      </c>
      <c r="J362" s="2"/>
      <c r="K362" s="71" t="str">
        <f>A359&amp;":"&amp;A361&amp;"*"&amp;A$97</f>
        <v>809:811*547</v>
      </c>
    </row>
    <row r="363" spans="1:11">
      <c r="A363" s="50">
        <f t="shared" si="153"/>
        <v>813</v>
      </c>
      <c r="B363" s="28" t="s">
        <v>168</v>
      </c>
      <c r="C363" s="4">
        <f>IF(ROUND(SUM(C359:C362),3)&lt;&gt;ROUND(SUM(D363:I363),3),#VALUE!,SUM(C359:C362))</f>
        <v>51445303.799952939</v>
      </c>
      <c r="D363" s="4">
        <f t="shared" ref="D363:I363" si="178">SUM(D359:D362)</f>
        <v>43005308.244373448</v>
      </c>
      <c r="E363" s="4">
        <f t="shared" si="178"/>
        <v>6992837.6046634391</v>
      </c>
      <c r="F363" s="4">
        <f t="shared" si="178"/>
        <v>0</v>
      </c>
      <c r="G363" s="4">
        <f t="shared" si="178"/>
        <v>177198.23514993204</v>
      </c>
      <c r="H363" s="4">
        <f t="shared" si="178"/>
        <v>1269959.7157661207</v>
      </c>
      <c r="I363" s="4">
        <f t="shared" si="178"/>
        <v>0</v>
      </c>
      <c r="J363" s="5"/>
      <c r="K363" s="71" t="str">
        <f>A359&amp;":"&amp;A362</f>
        <v>809:812</v>
      </c>
    </row>
    <row r="364" spans="1:11">
      <c r="A364" s="50">
        <f t="shared" si="153"/>
        <v>814</v>
      </c>
      <c r="B364" s="28"/>
      <c r="C364" s="2"/>
      <c r="D364" s="2"/>
      <c r="E364" s="2"/>
      <c r="F364" s="2"/>
      <c r="G364" s="2"/>
      <c r="H364" s="2"/>
      <c r="I364" s="2"/>
      <c r="J364" s="2"/>
      <c r="K364" s="71"/>
    </row>
    <row r="365" spans="1:11">
      <c r="A365" s="50">
        <f t="shared" si="153"/>
        <v>815</v>
      </c>
      <c r="K365" s="71"/>
    </row>
    <row r="366" spans="1:11">
      <c r="A366" s="50">
        <f t="shared" si="153"/>
        <v>816</v>
      </c>
      <c r="B366" s="30" t="s">
        <v>150</v>
      </c>
      <c r="K366" s="71"/>
    </row>
    <row r="367" spans="1:11">
      <c r="A367" s="50">
        <f t="shared" si="153"/>
        <v>817</v>
      </c>
      <c r="B367" s="30" t="str">
        <f>"Line "&amp;A160</f>
        <v>Line 610</v>
      </c>
      <c r="K367" s="71"/>
    </row>
    <row r="368" spans="1:11">
      <c r="A368" s="50">
        <f t="shared" si="153"/>
        <v>818</v>
      </c>
      <c r="B368" t="s">
        <v>471</v>
      </c>
      <c r="C368" s="21">
        <f>SUM(D368:I368)</f>
        <v>0</v>
      </c>
      <c r="D368" s="21">
        <f t="shared" ref="D368:I370" si="179">D276</f>
        <v>0</v>
      </c>
      <c r="E368" s="21">
        <f t="shared" si="179"/>
        <v>0</v>
      </c>
      <c r="F368" s="21">
        <f t="shared" si="179"/>
        <v>0</v>
      </c>
      <c r="G368" s="21">
        <f t="shared" si="179"/>
        <v>0</v>
      </c>
      <c r="H368" s="21">
        <f t="shared" si="179"/>
        <v>0</v>
      </c>
      <c r="I368" s="21">
        <f t="shared" si="179"/>
        <v>0</v>
      </c>
      <c r="J368" s="2"/>
      <c r="K368" s="71">
        <f>A276</f>
        <v>726</v>
      </c>
    </row>
    <row r="369" spans="1:11">
      <c r="A369" s="50">
        <f t="shared" si="153"/>
        <v>819</v>
      </c>
      <c r="B369" t="s">
        <v>472</v>
      </c>
      <c r="C369" s="21">
        <f>SUM(D369:I369)</f>
        <v>0</v>
      </c>
      <c r="D369" s="21">
        <f t="shared" si="179"/>
        <v>0</v>
      </c>
      <c r="E369" s="21">
        <f t="shared" si="179"/>
        <v>0</v>
      </c>
      <c r="F369" s="21">
        <f t="shared" si="179"/>
        <v>0</v>
      </c>
      <c r="G369" s="21">
        <f t="shared" si="179"/>
        <v>0</v>
      </c>
      <c r="H369" s="21">
        <f t="shared" si="179"/>
        <v>0</v>
      </c>
      <c r="I369" s="21">
        <f t="shared" si="179"/>
        <v>0</v>
      </c>
      <c r="J369" s="2"/>
      <c r="K369" s="71">
        <f>A277</f>
        <v>727</v>
      </c>
    </row>
    <row r="370" spans="1:11">
      <c r="A370" s="50">
        <f t="shared" si="153"/>
        <v>820</v>
      </c>
      <c r="B370" t="s">
        <v>473</v>
      </c>
      <c r="C370" s="21">
        <f>SUM(D370:I370)</f>
        <v>954000</v>
      </c>
      <c r="D370" s="21">
        <f t="shared" si="179"/>
        <v>622132.43609979271</v>
      </c>
      <c r="E370" s="21">
        <f t="shared" si="179"/>
        <v>295549.25864193542</v>
      </c>
      <c r="F370" s="21">
        <f t="shared" si="179"/>
        <v>0</v>
      </c>
      <c r="G370" s="21">
        <f t="shared" si="179"/>
        <v>11801.686954390076</v>
      </c>
      <c r="H370" s="21">
        <f t="shared" si="179"/>
        <v>24516.618303881845</v>
      </c>
      <c r="I370" s="21">
        <f t="shared" si="179"/>
        <v>0</v>
      </c>
      <c r="J370" s="2"/>
      <c r="K370" s="71">
        <f>A278</f>
        <v>728</v>
      </c>
    </row>
    <row r="371" spans="1:11">
      <c r="A371" s="50">
        <f t="shared" si="153"/>
        <v>821</v>
      </c>
      <c r="B371" s="28" t="s">
        <v>176</v>
      </c>
      <c r="C371" s="48">
        <f t="shared" ref="C371:I371" si="180">SUM(C368:C370)</f>
        <v>954000</v>
      </c>
      <c r="D371" s="48">
        <f t="shared" si="180"/>
        <v>622132.43609979271</v>
      </c>
      <c r="E371" s="4">
        <f t="shared" si="180"/>
        <v>295549.25864193542</v>
      </c>
      <c r="F371" s="4">
        <f t="shared" si="180"/>
        <v>0</v>
      </c>
      <c r="G371" s="4">
        <f t="shared" si="180"/>
        <v>11801.686954390076</v>
      </c>
      <c r="H371" s="4">
        <f t="shared" si="180"/>
        <v>24516.618303881845</v>
      </c>
      <c r="I371" s="4">
        <f t="shared" si="180"/>
        <v>0</v>
      </c>
      <c r="J371" s="5"/>
      <c r="K371" s="71" t="str">
        <f>A368&amp;":"&amp;A370</f>
        <v>818:820</v>
      </c>
    </row>
    <row r="372" spans="1:11">
      <c r="A372" s="50">
        <f t="shared" si="153"/>
        <v>822</v>
      </c>
      <c r="B372" t="s">
        <v>161</v>
      </c>
      <c r="C372" s="2">
        <f>SUM(D372:I372)</f>
        <v>8440.9737979945221</v>
      </c>
      <c r="D372" s="2">
        <f t="shared" ref="D372:I372" si="181">D371*$C$97</f>
        <v>5504.6159245291947</v>
      </c>
      <c r="E372" s="2">
        <f t="shared" si="181"/>
        <v>2615.0142014814287</v>
      </c>
      <c r="F372" s="2">
        <f t="shared" si="181"/>
        <v>0</v>
      </c>
      <c r="G372" s="2">
        <f t="shared" si="181"/>
        <v>104.42110100014717</v>
      </c>
      <c r="H372" s="2">
        <f t="shared" si="181"/>
        <v>216.92257098375217</v>
      </c>
      <c r="I372" s="2">
        <f t="shared" si="181"/>
        <v>0</v>
      </c>
      <c r="J372" s="2"/>
      <c r="K372" s="71" t="str">
        <f>A371&amp;"*"&amp;A$97</f>
        <v>821*547</v>
      </c>
    </row>
    <row r="373" spans="1:11">
      <c r="A373" s="50">
        <f t="shared" si="153"/>
        <v>823</v>
      </c>
      <c r="B373" s="28" t="s">
        <v>163</v>
      </c>
      <c r="C373" s="48">
        <f>IF(ROUND(SUM(C371:C372),3)&lt;&gt;ROUND(SUM(D373:I373),3),#VALUE!,SUM(C371:C372))</f>
        <v>962440.97379799455</v>
      </c>
      <c r="D373" s="48">
        <f t="shared" ref="D373:I373" si="182">SUM(D371:D372)</f>
        <v>627637.05202432186</v>
      </c>
      <c r="E373" s="4">
        <f t="shared" si="182"/>
        <v>298164.27284341684</v>
      </c>
      <c r="F373" s="4">
        <f t="shared" si="182"/>
        <v>0</v>
      </c>
      <c r="G373" s="4">
        <f t="shared" si="182"/>
        <v>11906.108055390223</v>
      </c>
      <c r="H373" s="4">
        <f t="shared" si="182"/>
        <v>24733.540874865597</v>
      </c>
      <c r="I373" s="4">
        <f t="shared" si="182"/>
        <v>0</v>
      </c>
      <c r="J373" s="5"/>
      <c r="K373" s="71" t="str">
        <f>A371&amp;":"&amp;A372</f>
        <v>821:822</v>
      </c>
    </row>
    <row r="374" spans="1:11">
      <c r="A374" s="50">
        <f t="shared" si="153"/>
        <v>824</v>
      </c>
      <c r="C374" s="2"/>
      <c r="D374" s="2"/>
      <c r="E374" s="2"/>
      <c r="F374" s="2"/>
      <c r="G374" s="2"/>
      <c r="H374" s="2"/>
      <c r="I374" s="2"/>
      <c r="J374" s="2"/>
      <c r="K374" s="71"/>
    </row>
    <row r="375" spans="1:11">
      <c r="A375" s="50">
        <f t="shared" si="153"/>
        <v>825</v>
      </c>
      <c r="B375" s="30" t="str">
        <f>"Line "&amp;A161</f>
        <v>Line 611</v>
      </c>
      <c r="K375" s="71"/>
    </row>
    <row r="376" spans="1:11">
      <c r="A376" s="50">
        <f t="shared" si="153"/>
        <v>826</v>
      </c>
      <c r="B376" t="s">
        <v>485</v>
      </c>
      <c r="C376" s="2">
        <f>SUM(D376:I376)</f>
        <v>1407141.8582704766</v>
      </c>
      <c r="D376" s="2">
        <f t="shared" ref="D376:I376" si="183">D345</f>
        <v>1004627.1415687951</v>
      </c>
      <c r="E376" s="2">
        <f t="shared" si="183"/>
        <v>374643.39323173708</v>
      </c>
      <c r="F376" s="2">
        <f t="shared" si="183"/>
        <v>0</v>
      </c>
      <c r="G376" s="2">
        <f t="shared" si="183"/>
        <v>10201.507491470167</v>
      </c>
      <c r="H376" s="2">
        <f t="shared" si="183"/>
        <v>17669.815978474137</v>
      </c>
      <c r="I376" s="2">
        <f t="shared" si="183"/>
        <v>0</v>
      </c>
      <c r="J376" s="2"/>
      <c r="K376" s="71">
        <f>A345</f>
        <v>795</v>
      </c>
    </row>
    <row r="377" spans="1:11">
      <c r="A377" s="50">
        <f t="shared" si="153"/>
        <v>827</v>
      </c>
      <c r="B377" t="s">
        <v>142</v>
      </c>
      <c r="C377" s="2">
        <f>SUM(D377:I377)</f>
        <v>409284.46103503875</v>
      </c>
      <c r="D377" s="2">
        <f t="shared" ref="D377:I377" si="184">$C$100*D378</f>
        <v>292205.38475779397</v>
      </c>
      <c r="E377" s="2">
        <f t="shared" si="184"/>
        <v>108972.26103316077</v>
      </c>
      <c r="F377" s="2">
        <f t="shared" si="184"/>
        <v>0</v>
      </c>
      <c r="G377" s="2">
        <f t="shared" si="184"/>
        <v>2967.3122964548502</v>
      </c>
      <c r="H377" s="2">
        <f t="shared" si="184"/>
        <v>5139.5029476291411</v>
      </c>
      <c r="I377" s="2">
        <f t="shared" si="184"/>
        <v>0</v>
      </c>
      <c r="J377" s="2"/>
      <c r="K377" s="71" t="str">
        <f>C$1&amp;$A$100&amp;"*"&amp;A378</f>
        <v>C550*828</v>
      </c>
    </row>
    <row r="378" spans="1:11">
      <c r="A378" s="50">
        <f t="shared" si="153"/>
        <v>828</v>
      </c>
      <c r="B378" t="s">
        <v>162</v>
      </c>
      <c r="C378" s="2">
        <f>SUM(D378:I378)</f>
        <v>3045969.6723884135</v>
      </c>
      <c r="D378" s="2">
        <f t="shared" ref="D378:I378" si="185">$C$83*D$269</f>
        <v>2174645.8143805056</v>
      </c>
      <c r="E378" s="2">
        <f t="shared" si="185"/>
        <v>810991.45909227501</v>
      </c>
      <c r="F378" s="2">
        <f t="shared" si="185"/>
        <v>0</v>
      </c>
      <c r="G378" s="2">
        <f t="shared" si="185"/>
        <v>22083.279782109592</v>
      </c>
      <c r="H378" s="2">
        <f t="shared" si="185"/>
        <v>38249.119133523665</v>
      </c>
      <c r="I378" s="2">
        <f t="shared" si="185"/>
        <v>0</v>
      </c>
      <c r="J378" s="2"/>
      <c r="K378" s="71" t="str">
        <f>C$1&amp;A83&amp;"*"&amp;A$269</f>
        <v>C533*719</v>
      </c>
    </row>
    <row r="379" spans="1:11">
      <c r="A379" s="50">
        <f t="shared" si="153"/>
        <v>829</v>
      </c>
      <c r="B379" t="s">
        <v>161</v>
      </c>
      <c r="C379" s="2">
        <f>SUM(D379:I379)</f>
        <v>43022.386961595432</v>
      </c>
      <c r="D379" s="2">
        <f t="shared" ref="D379:I379" si="186">SUM(D376:D378)*$C$97</f>
        <v>30715.574123914135</v>
      </c>
      <c r="E379" s="2">
        <f t="shared" si="186"/>
        <v>11454.659038307358</v>
      </c>
      <c r="F379" s="2">
        <f t="shared" si="186"/>
        <v>0</v>
      </c>
      <c r="G379" s="2">
        <f t="shared" si="186"/>
        <v>311.90990439722862</v>
      </c>
      <c r="H379" s="2">
        <f t="shared" si="186"/>
        <v>540.2438949767112</v>
      </c>
      <c r="I379" s="2">
        <f t="shared" si="186"/>
        <v>0</v>
      </c>
      <c r="J379" s="2"/>
      <c r="K379" s="71" t="str">
        <f>A376&amp;":"&amp;A378&amp;"*"&amp;C$1&amp;A$97</f>
        <v>826:828*C547</v>
      </c>
    </row>
    <row r="380" spans="1:11">
      <c r="A380" s="50">
        <f t="shared" si="153"/>
        <v>830</v>
      </c>
      <c r="B380" s="28" t="s">
        <v>462</v>
      </c>
      <c r="C380" s="4">
        <f>IF(ROUND(SUM(C376:C379),3)&lt;&gt;ROUND(SUM(D380:I380),3),#VALUE!,SUM(C376:C379))</f>
        <v>4905418.378655524</v>
      </c>
      <c r="D380" s="4">
        <f t="shared" ref="D380:I380" si="187">SUM(D376:D379)</f>
        <v>3502193.9148310088</v>
      </c>
      <c r="E380" s="4">
        <f t="shared" si="187"/>
        <v>1306061.7723954802</v>
      </c>
      <c r="F380" s="4">
        <f t="shared" si="187"/>
        <v>0</v>
      </c>
      <c r="G380" s="4">
        <f t="shared" si="187"/>
        <v>35564.009474431841</v>
      </c>
      <c r="H380" s="4">
        <f t="shared" si="187"/>
        <v>61598.681954603657</v>
      </c>
      <c r="I380" s="4">
        <f t="shared" si="187"/>
        <v>0</v>
      </c>
      <c r="J380" s="5"/>
      <c r="K380" s="71" t="str">
        <f>A376&amp;":"&amp;A379</f>
        <v>826:829</v>
      </c>
    </row>
    <row r="381" spans="1:11">
      <c r="A381" s="50">
        <f t="shared" si="153"/>
        <v>831</v>
      </c>
      <c r="B381" s="28"/>
      <c r="C381" s="2"/>
      <c r="D381" s="2"/>
      <c r="E381" s="2"/>
      <c r="F381" s="2"/>
      <c r="G381" s="2"/>
      <c r="H381" s="2"/>
      <c r="I381" s="2"/>
      <c r="J381" s="2"/>
      <c r="K381" s="71"/>
    </row>
    <row r="382" spans="1:11">
      <c r="A382" s="50">
        <f t="shared" si="153"/>
        <v>832</v>
      </c>
      <c r="B382" s="30" t="str">
        <f>"Line "&amp;A162</f>
        <v>Line 612</v>
      </c>
      <c r="K382" s="71"/>
    </row>
    <row r="383" spans="1:11">
      <c r="A383" s="50">
        <f t="shared" si="153"/>
        <v>833</v>
      </c>
      <c r="B383" t="s">
        <v>179</v>
      </c>
      <c r="C383" s="2">
        <f>SUM(D383:I383)</f>
        <v>46414137.390636064</v>
      </c>
      <c r="D383" s="2">
        <f t="shared" ref="D383:I383" si="188">D352</f>
        <v>36862334.215130612</v>
      </c>
      <c r="E383" s="2">
        <f t="shared" si="188"/>
        <v>7443233.9417697694</v>
      </c>
      <c r="F383" s="2">
        <f t="shared" si="188"/>
        <v>0</v>
      </c>
      <c r="G383" s="2">
        <f t="shared" si="188"/>
        <v>175005.96666141771</v>
      </c>
      <c r="H383" s="2">
        <f t="shared" si="188"/>
        <v>1933563.2670742623</v>
      </c>
      <c r="I383" s="2">
        <f t="shared" si="188"/>
        <v>0</v>
      </c>
      <c r="J383" s="2"/>
      <c r="K383" s="71">
        <f>A352</f>
        <v>802</v>
      </c>
    </row>
    <row r="384" spans="1:11">
      <c r="A384" s="50">
        <f t="shared" si="153"/>
        <v>834</v>
      </c>
      <c r="B384" t="s">
        <v>142</v>
      </c>
      <c r="C384" s="2">
        <f>SUM(D384:I384)</f>
        <v>4617173.4778311774</v>
      </c>
      <c r="D384" s="2">
        <f t="shared" ref="D384:I384" si="189">$C$100*D385</f>
        <v>3433669.7276933286</v>
      </c>
      <c r="E384" s="2">
        <f t="shared" si="189"/>
        <v>911830.49242101435</v>
      </c>
      <c r="F384" s="2">
        <f t="shared" si="189"/>
        <v>0</v>
      </c>
      <c r="G384" s="2">
        <f t="shared" si="189"/>
        <v>22482.923888093184</v>
      </c>
      <c r="H384" s="2">
        <f t="shared" si="189"/>
        <v>249190.33382874195</v>
      </c>
      <c r="I384" s="2">
        <f t="shared" si="189"/>
        <v>0</v>
      </c>
      <c r="J384" s="2"/>
      <c r="K384" s="71" t="str">
        <f>C$1&amp;$A$100&amp;"*"&amp;A385</f>
        <v>C550*835</v>
      </c>
    </row>
    <row r="385" spans="1:11">
      <c r="A385" s="50">
        <f t="shared" si="153"/>
        <v>835</v>
      </c>
      <c r="B385" t="s">
        <v>162</v>
      </c>
      <c r="C385" s="2">
        <f>SUM(D385:I385)</f>
        <v>34361847.869973034</v>
      </c>
      <c r="D385" s="2">
        <f t="shared" ref="D385:I385" si="190">$C$83*D$270</f>
        <v>25553996.917211775</v>
      </c>
      <c r="E385" s="2">
        <f t="shared" si="190"/>
        <v>6786008.9758834746</v>
      </c>
      <c r="F385" s="2">
        <f t="shared" si="190"/>
        <v>0</v>
      </c>
      <c r="G385" s="2">
        <f t="shared" si="190"/>
        <v>167322.02374984886</v>
      </c>
      <c r="H385" s="2">
        <f t="shared" si="190"/>
        <v>1854519.953127936</v>
      </c>
      <c r="I385" s="2">
        <f t="shared" si="190"/>
        <v>0</v>
      </c>
      <c r="J385" s="2"/>
      <c r="K385" s="71" t="str">
        <f>C$1&amp;A83&amp;"*"&amp;A$270</f>
        <v>C533*720</v>
      </c>
    </row>
    <row r="386" spans="1:11">
      <c r="A386" s="50">
        <f t="shared" si="153"/>
        <v>836</v>
      </c>
      <c r="B386" t="s">
        <v>161</v>
      </c>
      <c r="C386" s="2">
        <f>SUM(D386:I386)</f>
        <v>755557.03924440383</v>
      </c>
      <c r="D386" s="2">
        <f t="shared" ref="D386:I386" si="191">SUM(D383:D385)*$C$97</f>
        <v>582639.55121328949</v>
      </c>
      <c r="E386" s="2">
        <f t="shared" si="191"/>
        <v>133967.92864564821</v>
      </c>
      <c r="F386" s="2">
        <f t="shared" si="191"/>
        <v>0</v>
      </c>
      <c r="G386" s="2">
        <f t="shared" si="191"/>
        <v>3227.8400092487641</v>
      </c>
      <c r="H386" s="2">
        <f t="shared" si="191"/>
        <v>35721.719376217392</v>
      </c>
      <c r="I386" s="2">
        <f t="shared" si="191"/>
        <v>0</v>
      </c>
      <c r="J386" s="2"/>
      <c r="K386" s="71" t="str">
        <f>A383&amp;":"&amp;A385&amp;"*"&amp;C$1&amp;$A$97</f>
        <v>833:835*C547</v>
      </c>
    </row>
    <row r="387" spans="1:11">
      <c r="A387" s="50">
        <f t="shared" si="153"/>
        <v>837</v>
      </c>
      <c r="B387" s="28" t="s">
        <v>165</v>
      </c>
      <c r="C387" s="4">
        <f>IF(ROUND(SUM(C383:C386),3)&lt;&gt;ROUND(SUM(D387:I387),3),#VALUE!,SUM(C383:C386))</f>
        <v>86148715.777684674</v>
      </c>
      <c r="D387" s="4">
        <f t="shared" ref="D387:I387" si="192">SUM(D383:D386)</f>
        <v>66432640.411249004</v>
      </c>
      <c r="E387" s="4">
        <f t="shared" si="192"/>
        <v>15275041.338719906</v>
      </c>
      <c r="F387" s="4">
        <f t="shared" si="192"/>
        <v>0</v>
      </c>
      <c r="G387" s="4">
        <f t="shared" si="192"/>
        <v>368038.75430860854</v>
      </c>
      <c r="H387" s="4">
        <f t="shared" si="192"/>
        <v>4072995.273407158</v>
      </c>
      <c r="I387" s="4">
        <f t="shared" si="192"/>
        <v>0</v>
      </c>
      <c r="J387" s="5"/>
      <c r="K387" s="71" t="str">
        <f>A383&amp;":"&amp;A386</f>
        <v>833:836</v>
      </c>
    </row>
    <row r="388" spans="1:11">
      <c r="A388" s="50">
        <f t="shared" si="153"/>
        <v>838</v>
      </c>
      <c r="B388" s="28"/>
      <c r="C388" s="2"/>
      <c r="D388" s="2"/>
      <c r="E388" s="2"/>
      <c r="F388" s="2"/>
      <c r="G388" s="2"/>
      <c r="H388" s="2"/>
      <c r="I388" s="2"/>
      <c r="J388" s="2"/>
      <c r="K388" s="71"/>
    </row>
    <row r="389" spans="1:11">
      <c r="A389" s="50">
        <f t="shared" si="153"/>
        <v>839</v>
      </c>
      <c r="B389" s="30" t="str">
        <f>"Line "&amp;A163</f>
        <v>Line 613</v>
      </c>
      <c r="K389" s="71"/>
    </row>
    <row r="390" spans="1:11">
      <c r="A390" s="50">
        <f t="shared" ref="A390:A453" si="193">Pg1Row+ROW(A390)</f>
        <v>840</v>
      </c>
      <c r="B390" t="s">
        <v>167</v>
      </c>
      <c r="C390" s="2">
        <f>SUM(D390:I390)</f>
        <v>41989977.081537433</v>
      </c>
      <c r="D390" s="2">
        <f t="shared" ref="D390:I390" si="194">D359</f>
        <v>35546338.806826286</v>
      </c>
      <c r="E390" s="2">
        <f t="shared" si="194"/>
        <v>5189476.5925735207</v>
      </c>
      <c r="F390" s="2">
        <f t="shared" si="194"/>
        <v>0</v>
      </c>
      <c r="G390" s="2">
        <f t="shared" si="194"/>
        <v>125541.73500461859</v>
      </c>
      <c r="H390" s="2">
        <f t="shared" si="194"/>
        <v>1128619.9471330026</v>
      </c>
      <c r="I390" s="2">
        <f t="shared" si="194"/>
        <v>0</v>
      </c>
      <c r="J390" s="2"/>
      <c r="K390" s="71">
        <f>A359</f>
        <v>809</v>
      </c>
    </row>
    <row r="391" spans="1:11">
      <c r="A391" s="50">
        <f t="shared" si="193"/>
        <v>841</v>
      </c>
      <c r="B391" t="s">
        <v>142</v>
      </c>
      <c r="C391" s="2">
        <f>SUM(D391:I391)</f>
        <v>1088634.4915703745</v>
      </c>
      <c r="D391" s="2">
        <f t="shared" ref="D391:I391" si="195">$C$100*D392</f>
        <v>905036.42851054459</v>
      </c>
      <c r="E391" s="2">
        <f t="shared" si="195"/>
        <v>146891.34630360923</v>
      </c>
      <c r="F391" s="2">
        <f t="shared" si="195"/>
        <v>0</v>
      </c>
      <c r="G391" s="2">
        <f t="shared" si="195"/>
        <v>3570.4709797327787</v>
      </c>
      <c r="H391" s="2">
        <f t="shared" si="195"/>
        <v>33136.245776488016</v>
      </c>
      <c r="I391" s="2">
        <f t="shared" si="195"/>
        <v>0</v>
      </c>
      <c r="J391" s="2"/>
      <c r="K391" s="71" t="str">
        <f>C$1&amp;$A$100&amp;"*"&amp;A392</f>
        <v>C550*842</v>
      </c>
    </row>
    <row r="392" spans="1:11">
      <c r="A392" s="50">
        <f t="shared" si="193"/>
        <v>842</v>
      </c>
      <c r="B392" t="s">
        <v>162</v>
      </c>
      <c r="C392" s="2">
        <f>SUM(D392:I392)</f>
        <v>8101816.612469594</v>
      </c>
      <c r="D392" s="2">
        <f t="shared" ref="D392:I392" si="196">$C$83*D$271</f>
        <v>6735446.3120305026</v>
      </c>
      <c r="E392" s="2">
        <f t="shared" si="196"/>
        <v>1093192.2136638204</v>
      </c>
      <c r="F392" s="2">
        <f t="shared" si="196"/>
        <v>0</v>
      </c>
      <c r="G392" s="2">
        <f t="shared" si="196"/>
        <v>26572.096807452308</v>
      </c>
      <c r="H392" s="2">
        <f t="shared" si="196"/>
        <v>246605.98996781951</v>
      </c>
      <c r="I392" s="2">
        <f t="shared" si="196"/>
        <v>0</v>
      </c>
      <c r="J392" s="2"/>
      <c r="K392" s="71" t="str">
        <f>C$1&amp;A83&amp;"*"&amp;A$271</f>
        <v>C533*721</v>
      </c>
    </row>
    <row r="393" spans="1:11">
      <c r="A393" s="50">
        <f t="shared" si="193"/>
        <v>843</v>
      </c>
      <c r="B393" t="s">
        <v>161</v>
      </c>
      <c r="C393" s="2">
        <f>SUM(D393:I393)</f>
        <v>452843.45208029257</v>
      </c>
      <c r="D393" s="2">
        <f t="shared" ref="D393:I393" si="197">SUM(D390:D392)*$C$97</f>
        <v>382116.17306078918</v>
      </c>
      <c r="E393" s="2">
        <f t="shared" si="197"/>
        <v>56888.625555794359</v>
      </c>
      <c r="F393" s="2">
        <f t="shared" si="197"/>
        <v>0</v>
      </c>
      <c r="G393" s="2">
        <f t="shared" si="197"/>
        <v>1377.4917406967088</v>
      </c>
      <c r="H393" s="2">
        <f t="shared" si="197"/>
        <v>12461.16172301231</v>
      </c>
      <c r="I393" s="2">
        <f t="shared" si="197"/>
        <v>0</v>
      </c>
      <c r="J393" s="2"/>
      <c r="K393" s="71" t="str">
        <f>A390&amp;":"&amp;A392&amp;"*"&amp;C$1&amp;$A$97</f>
        <v>840:842*C547</v>
      </c>
    </row>
    <row r="394" spans="1:11">
      <c r="A394" s="50">
        <f t="shared" si="193"/>
        <v>844</v>
      </c>
      <c r="B394" s="28" t="s">
        <v>168</v>
      </c>
      <c r="C394" s="4">
        <f>IF(ROUND(SUM(C390:C393),3)&lt;&gt;ROUND(SUM(D394:I394),3),#VALUE!,SUM(C390:C393))</f>
        <v>51633271.637657695</v>
      </c>
      <c r="D394" s="4">
        <f t="shared" ref="D394:I394" si="198">SUM(D390:D393)</f>
        <v>43568937.720428124</v>
      </c>
      <c r="E394" s="4">
        <f t="shared" si="198"/>
        <v>6486448.7780967448</v>
      </c>
      <c r="F394" s="4">
        <f t="shared" si="198"/>
        <v>0</v>
      </c>
      <c r="G394" s="4">
        <f t="shared" si="198"/>
        <v>157061.79453250038</v>
      </c>
      <c r="H394" s="4">
        <f t="shared" si="198"/>
        <v>1420823.3446003224</v>
      </c>
      <c r="I394" s="4">
        <f t="shared" si="198"/>
        <v>0</v>
      </c>
      <c r="J394" s="5"/>
      <c r="K394" s="71" t="str">
        <f>A390&amp;":"&amp;A393</f>
        <v>840:843</v>
      </c>
    </row>
    <row r="395" spans="1:11">
      <c r="A395" s="50">
        <f t="shared" si="193"/>
        <v>845</v>
      </c>
      <c r="B395" s="28"/>
      <c r="C395" s="2"/>
      <c r="D395" s="2"/>
      <c r="E395" s="2"/>
      <c r="F395" s="2"/>
      <c r="G395" s="2"/>
      <c r="H395" s="2"/>
      <c r="I395" s="2"/>
      <c r="J395" s="2"/>
      <c r="K395" s="71"/>
    </row>
    <row r="396" spans="1:11">
      <c r="A396" s="50">
        <f t="shared" si="193"/>
        <v>846</v>
      </c>
      <c r="B396" s="28"/>
      <c r="C396" s="2"/>
      <c r="D396" s="2"/>
      <c r="E396" s="2"/>
      <c r="F396" s="2"/>
      <c r="G396" s="2"/>
      <c r="H396" s="2"/>
      <c r="I396" s="2"/>
      <c r="J396" s="2"/>
      <c r="K396" s="71"/>
    </row>
    <row r="397" spans="1:11">
      <c r="A397" s="50">
        <f t="shared" si="193"/>
        <v>847</v>
      </c>
      <c r="K397" s="71"/>
    </row>
    <row r="398" spans="1:11">
      <c r="A398" s="50">
        <f t="shared" si="193"/>
        <v>848</v>
      </c>
      <c r="B398" t="s">
        <v>524</v>
      </c>
      <c r="C398" s="21">
        <f>SUM(D398:I398)</f>
        <v>149315110.20820913</v>
      </c>
      <c r="D398" s="2">
        <f>Detail!AT$141</f>
        <v>92392201.282235801</v>
      </c>
      <c r="E398" s="2">
        <f>Detail!AU$141</f>
        <v>41052052.070087157</v>
      </c>
      <c r="F398" s="2">
        <f>Detail!AV$141</f>
        <v>0</v>
      </c>
      <c r="G398" s="2">
        <f>Detail!AW$141</f>
        <v>1507502.1885130994</v>
      </c>
      <c r="H398" s="2">
        <f>Detail!AX$141</f>
        <v>14363354.667373052</v>
      </c>
      <c r="I398" s="2">
        <f>Detail!AY$141</f>
        <v>0</v>
      </c>
      <c r="J398" s="2"/>
      <c r="K398" s="71" t="str">
        <f>Detail!AY$1&amp;Detail!A$141</f>
        <v>AY141</v>
      </c>
    </row>
    <row r="399" spans="1:11">
      <c r="A399" s="50">
        <f t="shared" si="193"/>
        <v>849</v>
      </c>
      <c r="B399" t="s">
        <v>191</v>
      </c>
      <c r="C399" s="21">
        <f>SUM(D399:I399)</f>
        <v>162444318.9068146</v>
      </c>
      <c r="D399" s="2">
        <f>Detail!BB$141</f>
        <v>91838134.669156119</v>
      </c>
      <c r="E399" s="2">
        <f>Detail!BC$141</f>
        <v>56678067.811264388</v>
      </c>
      <c r="F399" s="2">
        <f>Detail!BD$141</f>
        <v>0</v>
      </c>
      <c r="G399" s="2">
        <f>Detail!BE$141</f>
        <v>1221223.8964104906</v>
      </c>
      <c r="H399" s="2">
        <f>Detail!BF$141</f>
        <v>12706892.529983621</v>
      </c>
      <c r="I399" s="2">
        <f>Detail!BG$141</f>
        <v>0</v>
      </c>
      <c r="J399" s="2"/>
      <c r="K399" s="71" t="str">
        <f>Detail!BG$1&amp;Detail!A$141</f>
        <v>BG141</v>
      </c>
    </row>
    <row r="400" spans="1:11">
      <c r="A400" s="50">
        <f t="shared" si="193"/>
        <v>850</v>
      </c>
      <c r="B400" t="s">
        <v>193</v>
      </c>
      <c r="C400" s="21">
        <f>SUM(D400:I400)</f>
        <v>286264570.88497615</v>
      </c>
      <c r="D400" s="2">
        <f>Detail!BJ$141</f>
        <v>268648549.34361523</v>
      </c>
      <c r="E400" s="2">
        <f>Detail!BK$141</f>
        <v>16464245.004755786</v>
      </c>
      <c r="F400" s="2">
        <f>Detail!BL$141</f>
        <v>0</v>
      </c>
      <c r="G400" s="2">
        <f>Detail!BM$141</f>
        <v>109347.02331441402</v>
      </c>
      <c r="H400" s="2">
        <f>Detail!BN$141</f>
        <v>1042429.5132907275</v>
      </c>
      <c r="I400" s="2">
        <f>Detail!BO$141</f>
        <v>0</v>
      </c>
      <c r="J400" s="2"/>
      <c r="K400" s="71" t="str">
        <f>Detail!BO$1&amp;Detail!A$141</f>
        <v>BO141</v>
      </c>
    </row>
    <row r="401" spans="1:12">
      <c r="A401" s="50">
        <f t="shared" si="193"/>
        <v>851</v>
      </c>
      <c r="C401" s="21"/>
      <c r="D401" s="2"/>
      <c r="E401" s="2"/>
      <c r="F401" s="2"/>
      <c r="G401" s="2"/>
      <c r="H401" s="2"/>
      <c r="I401" s="2"/>
      <c r="J401" s="2"/>
      <c r="K401" s="71"/>
    </row>
    <row r="402" spans="1:12">
      <c r="A402" s="50">
        <f t="shared" si="193"/>
        <v>852</v>
      </c>
      <c r="B402" s="30" t="s">
        <v>186</v>
      </c>
      <c r="C402" s="21"/>
      <c r="D402" s="2"/>
      <c r="E402" s="2"/>
      <c r="F402" s="2"/>
      <c r="G402" s="2"/>
      <c r="H402" s="2"/>
      <c r="I402" s="2"/>
      <c r="J402" s="2"/>
      <c r="K402" s="71"/>
    </row>
    <row r="403" spans="1:12">
      <c r="A403" s="50">
        <f t="shared" si="193"/>
        <v>853</v>
      </c>
      <c r="B403" s="30" t="str">
        <f>"Line "&amp;A187</f>
        <v>Line 637</v>
      </c>
      <c r="K403" s="71"/>
    </row>
    <row r="404" spans="1:12">
      <c r="A404" s="50">
        <f t="shared" si="193"/>
        <v>854</v>
      </c>
      <c r="B404" t="s">
        <v>527</v>
      </c>
      <c r="C404" s="21">
        <f>SUM(D404:I404)</f>
        <v>18427237.03855297</v>
      </c>
      <c r="D404" s="2">
        <f>SUMIF(Detail!$C$174:$C$409,"*",Detail!AT$174:AT$409)-SUMIF(Detail!$C$174:$C$409,$L404,Detail!AT$174:AT$409)</f>
        <v>11487605.174387971</v>
      </c>
      <c r="E404" s="2">
        <f>SUMIF(Detail!$C$174:$C$409,"*",Detail!AU$174:AU$409)-SUMIF(Detail!$C$174:$C$409,$L404,Detail!AU$174:AU$409)</f>
        <v>5124304.381935847</v>
      </c>
      <c r="F404" s="2">
        <f>SUMIF(Detail!$C$174:$C$409,"*",Detail!AV$174:AV$409)-SUMIF(Detail!$C$174:$C$409,$L404,Detail!AV$174:AV$409)</f>
        <v>0</v>
      </c>
      <c r="G404" s="2">
        <f>SUMIF(Detail!$C$174:$C$409,"*",Detail!AW$174:AW$409)-SUMIF(Detail!$C$174:$C$409,$L404,Detail!AW$174:AW$409)</f>
        <v>189169.86253828049</v>
      </c>
      <c r="H404" s="2">
        <f>SUMIF(Detail!$C$174:$C$409,"*",Detail!AX$174:AX$409)-SUMIF(Detail!$C$174:$C$409,$L404,Detail!AX$174:AX$409)</f>
        <v>1626157.6196908681</v>
      </c>
      <c r="I404" s="2">
        <f>SUMIF(Detail!$C$174:$C$409,"*",Detail!AY$174:AY$409)-SUMIF(Detail!$C$174:$C$409,$L404,Detail!AY$174:AY$409)</f>
        <v>0</v>
      </c>
      <c r="J404" s="2"/>
      <c r="K404" s="71" t="str">
        <f>Detail!A$174&amp;":"&amp;Detail!A$409&amp;", col "&amp;Detail!C$1&amp;"&lt;&gt; "</f>
        <v xml:space="preserve">174:409, col C&lt;&gt; </v>
      </c>
      <c r="L404" s="11" t="s">
        <v>155</v>
      </c>
    </row>
    <row r="405" spans="1:12">
      <c r="A405" s="50">
        <f t="shared" si="193"/>
        <v>855</v>
      </c>
      <c r="B405" t="s">
        <v>532</v>
      </c>
      <c r="C405" s="21">
        <f>SUM(D405:I405)</f>
        <v>-1838478.0344250309</v>
      </c>
      <c r="D405" s="2">
        <f>SUMIF(Detail!$C$421:$C$434,"*",Detail!AT$421:AT$434)-SUMIF(Detail!$C$421:$C$434,$L405,Detail!AT$421:AT$434)</f>
        <v>-1295495.4446932725</v>
      </c>
      <c r="E405" s="2">
        <f>SUMIF(Detail!$C$421:$C$434,"*",Detail!AU$421:AU$434)-SUMIF(Detail!$C$421:$C$434,$L405,Detail!AU$421:AU$434)</f>
        <v>-491053.15381711134</v>
      </c>
      <c r="F405" s="2">
        <f>SUMIF(Detail!$C$421:$C$434,"*",Detail!AV$421:AV$434)-SUMIF(Detail!$C$421:$C$434,$L405,Detail!AV$421:AV$434)</f>
        <v>0</v>
      </c>
      <c r="G405" s="2">
        <f>SUMIF(Detail!$C$421:$C$434,"*",Detail!AW$421:AW$434)-SUMIF(Detail!$C$421:$C$434,$L405,Detail!AW$421:AW$434)</f>
        <v>-13839.433806410072</v>
      </c>
      <c r="H405" s="2">
        <f>SUMIF(Detail!$C$421:$C$434,"*",Detail!AX$421:AX$434)-SUMIF(Detail!$C$421:$C$434,$L405,Detail!AX$421:AX$434)</f>
        <v>-38090.002108236964</v>
      </c>
      <c r="I405" s="2">
        <f>SUMIF(Detail!$C$421:$C$434,"*",Detail!AY$421:AY$434)-SUMIF(Detail!$C$421:$C$434,$L405,Detail!AY$421:AY$434)</f>
        <v>0</v>
      </c>
      <c r="J405" s="2"/>
      <c r="K405" s="71" t="str">
        <f>Detail!A$421&amp;":"&amp;Detail!A$434&amp;", col "&amp;Detail!C$1&amp;"&lt;&gt; "</f>
        <v xml:space="preserve">421:434, col C&lt;&gt; </v>
      </c>
      <c r="L405" s="11" t="s">
        <v>155</v>
      </c>
    </row>
    <row r="406" spans="1:12">
      <c r="A406" s="50">
        <f t="shared" si="193"/>
        <v>856</v>
      </c>
      <c r="B406" s="28" t="s">
        <v>525</v>
      </c>
      <c r="C406" s="48">
        <f t="shared" ref="C406:I406" si="199">SUM(C404:C405)</f>
        <v>16588759.004127938</v>
      </c>
      <c r="D406" s="4">
        <f t="shared" si="199"/>
        <v>10192109.729694698</v>
      </c>
      <c r="E406" s="4">
        <f t="shared" si="199"/>
        <v>4633251.2281187354</v>
      </c>
      <c r="F406" s="4">
        <f t="shared" si="199"/>
        <v>0</v>
      </c>
      <c r="G406" s="4">
        <f t="shared" si="199"/>
        <v>175330.42873187043</v>
      </c>
      <c r="H406" s="4">
        <f t="shared" si="199"/>
        <v>1588067.6175826311</v>
      </c>
      <c r="I406" s="4">
        <f t="shared" si="199"/>
        <v>0</v>
      </c>
      <c r="J406" s="5"/>
      <c r="K406" s="71" t="str">
        <f>A404&amp;":"&amp;A405</f>
        <v>854:855</v>
      </c>
    </row>
    <row r="407" spans="1:12">
      <c r="A407" s="50">
        <f t="shared" si="193"/>
        <v>857</v>
      </c>
      <c r="B407" t="s">
        <v>142</v>
      </c>
      <c r="C407" s="21">
        <f>SUM(D407:I407)</f>
        <v>686318.66017510032</v>
      </c>
      <c r="D407" s="2">
        <f>Detail!I$417*IF(D$22,D398/D$22,0)</f>
        <v>326707.48282018199</v>
      </c>
      <c r="E407" s="2">
        <f>Detail!J$417*IF(E$22,E398/E$22,0)</f>
        <v>339735.36284719448</v>
      </c>
      <c r="F407" s="2">
        <f>Detail!K$417*IF(F$22,F398/F$22,0)</f>
        <v>0</v>
      </c>
      <c r="G407" s="2">
        <f>Detail!L$417*IF(G$22,G398/G$22,0)</f>
        <v>15828.122337494648</v>
      </c>
      <c r="H407" s="2">
        <f>Detail!M$417*IF(H$22,H398/H$22,0)</f>
        <v>4047.6921702292548</v>
      </c>
      <c r="I407" s="2">
        <f>Detail!N$417*IF(I$22,I398/I$22,0)</f>
        <v>0</v>
      </c>
      <c r="J407" s="2"/>
      <c r="K407" s="71" t="str">
        <f>Detail!A$417&amp;"*"&amp;A398&amp;"/"&amp;A$22</f>
        <v>417*848/472</v>
      </c>
    </row>
    <row r="408" spans="1:12">
      <c r="A408" s="50">
        <f t="shared" si="193"/>
        <v>858</v>
      </c>
      <c r="B408" t="s">
        <v>162</v>
      </c>
      <c r="C408" s="21">
        <f>SUM(D408:I408)</f>
        <v>8369750.1557308026</v>
      </c>
      <c r="D408" s="21">
        <f t="shared" ref="D408:I408" si="200">D$49*D398</f>
        <v>4407841.0358075704</v>
      </c>
      <c r="E408" s="2">
        <f t="shared" si="200"/>
        <v>3490038.7237802176</v>
      </c>
      <c r="F408" s="2">
        <f t="shared" si="200"/>
        <v>0</v>
      </c>
      <c r="G408" s="2">
        <f t="shared" si="200"/>
        <v>154548.40820901745</v>
      </c>
      <c r="H408" s="2">
        <f t="shared" si="200"/>
        <v>317321.98793399701</v>
      </c>
      <c r="I408" s="2">
        <f t="shared" si="200"/>
        <v>0</v>
      </c>
      <c r="J408" s="2"/>
      <c r="K408" s="71" t="str">
        <f>A$49&amp;"*"&amp;A398</f>
        <v>499*848</v>
      </c>
    </row>
    <row r="409" spans="1:12">
      <c r="A409" s="50">
        <f t="shared" si="193"/>
        <v>859</v>
      </c>
      <c r="B409" t="s">
        <v>161</v>
      </c>
      <c r="C409" s="21">
        <f>SUM(D409:I409)</f>
        <v>88863.446247001091</v>
      </c>
      <c r="D409" s="2">
        <f t="shared" ref="D409:I409" si="201">SUM(D406:D408)*D$93</f>
        <v>51723.267639213482</v>
      </c>
      <c r="E409" s="2">
        <f t="shared" si="201"/>
        <v>29325.741643562389</v>
      </c>
      <c r="F409" s="2">
        <f t="shared" si="201"/>
        <v>0</v>
      </c>
      <c r="G409" s="2">
        <f t="shared" si="201"/>
        <v>1197.9301248827105</v>
      </c>
      <c r="H409" s="2">
        <f t="shared" si="201"/>
        <v>6616.5068393425145</v>
      </c>
      <c r="I409" s="2">
        <f t="shared" si="201"/>
        <v>0</v>
      </c>
      <c r="J409" s="2"/>
      <c r="K409" s="71" t="str">
        <f>A406&amp;":"&amp;A408&amp;"*"&amp;A$93</f>
        <v>856:858*543</v>
      </c>
    </row>
    <row r="410" spans="1:12">
      <c r="A410" s="50">
        <f t="shared" si="193"/>
        <v>860</v>
      </c>
      <c r="B410" s="28" t="s">
        <v>526</v>
      </c>
      <c r="C410" s="48">
        <f>IF(ROUND(SUM(C406:C409),3)&lt;&gt;ROUND(SUM(D410:I410),3),#VALUE!,SUM(C406:C409))</f>
        <v>25733691.266280841</v>
      </c>
      <c r="D410" s="4">
        <f t="shared" ref="D410:I410" si="202">SUM(D406:D409)</f>
        <v>14978381.515961664</v>
      </c>
      <c r="E410" s="4">
        <f t="shared" si="202"/>
        <v>8492351.0563897099</v>
      </c>
      <c r="F410" s="4">
        <f t="shared" si="202"/>
        <v>0</v>
      </c>
      <c r="G410" s="4">
        <f t="shared" si="202"/>
        <v>346904.88940326526</v>
      </c>
      <c r="H410" s="4">
        <f t="shared" si="202"/>
        <v>1916053.8045261998</v>
      </c>
      <c r="I410" s="4">
        <f t="shared" si="202"/>
        <v>0</v>
      </c>
      <c r="J410" s="5"/>
      <c r="K410" s="71" t="str">
        <f>A406&amp;":"&amp;A409</f>
        <v>856:859</v>
      </c>
    </row>
    <row r="411" spans="1:12">
      <c r="A411" s="50">
        <f t="shared" si="193"/>
        <v>861</v>
      </c>
      <c r="C411" s="21"/>
      <c r="D411" s="2"/>
      <c r="E411" s="2"/>
      <c r="F411" s="2"/>
      <c r="G411" s="2"/>
      <c r="H411" s="2"/>
      <c r="I411" s="2"/>
      <c r="J411" s="2"/>
      <c r="K411" s="71"/>
    </row>
    <row r="412" spans="1:12">
      <c r="A412" s="50">
        <f t="shared" si="193"/>
        <v>862</v>
      </c>
      <c r="B412" s="30" t="str">
        <f>"Line "&amp;A188</f>
        <v>Line 638</v>
      </c>
      <c r="K412" s="71"/>
    </row>
    <row r="413" spans="1:12">
      <c r="A413" s="50">
        <f t="shared" si="193"/>
        <v>863</v>
      </c>
      <c r="B413" t="s">
        <v>528</v>
      </c>
      <c r="C413" s="21">
        <f>SUM(D413:I413)</f>
        <v>17829321.624614019</v>
      </c>
      <c r="D413" s="2">
        <f>SUMIF(Detail!$C$174:$C$409,"*",Detail!BB$174:BB$409)-SUMIF(Detail!$C$174:$C$409,$L413,Detail!BB$174:BB$409)</f>
        <v>10079833.209558364</v>
      </c>
      <c r="E413" s="2">
        <f>SUMIF(Detail!$C$174:$C$409,"*",Detail!BC$174:BC$409)-SUMIF(Detail!$C$174:$C$409,$L413,Detail!BC$174:BC$409)</f>
        <v>6220786.9556115577</v>
      </c>
      <c r="F413" s="2">
        <f>SUMIF(Detail!$C$174:$C$409,"*",Detail!BD$174:BD$409)-SUMIF(Detail!$C$174:$C$409,$L413,Detail!BD$174:BD$409)</f>
        <v>0</v>
      </c>
      <c r="G413" s="2">
        <f>SUMIF(Detail!$C$174:$C$409,"*",Detail!BE$174:BE$409)-SUMIF(Detail!$C$174:$C$409,$L413,Detail!BE$174:BE$409)</f>
        <v>134037.27364117466</v>
      </c>
      <c r="H413" s="2">
        <f>SUMIF(Detail!$C$174:$C$409,"*",Detail!BF$174:BF$409)-SUMIF(Detail!$C$174:$C$409,$L413,Detail!BF$174:BF$409)</f>
        <v>1394664.1858029244</v>
      </c>
      <c r="I413" s="2">
        <f>SUMIF(Detail!$C$174:$C$409,"*",Detail!BG$174:BG$409)-SUMIF(Detail!$C$174:$C$409,$L413,Detail!BG$174:BG$409)</f>
        <v>0</v>
      </c>
      <c r="J413" s="2"/>
      <c r="K413" s="71" t="str">
        <f>Detail!A$174&amp;":"&amp;Detail!A$409&amp;", col "&amp;Detail!C$1&amp;"&lt;&gt; "</f>
        <v xml:space="preserve">174:409, col C&lt;&gt; </v>
      </c>
      <c r="L413" s="11" t="s">
        <v>155</v>
      </c>
    </row>
    <row r="414" spans="1:12">
      <c r="A414" s="50">
        <f t="shared" si="193"/>
        <v>864</v>
      </c>
      <c r="B414" t="s">
        <v>531</v>
      </c>
      <c r="C414" s="21">
        <f>SUM(D414:I414)</f>
        <v>-195166.8940239886</v>
      </c>
      <c r="D414" s="2">
        <f>SUMIF(Detail!$C$421:$C$434,"*",Detail!BB$421:BB$434)-SUMIF(Detail!$C$421:$C$434,$L414,Detail!BB$421:BB$434)</f>
        <v>-110337.89065050567</v>
      </c>
      <c r="E414" s="2">
        <f>SUMIF(Detail!$C$421:$C$434,"*",Detail!BC$421:BC$434)-SUMIF(Detail!$C$421:$C$434,$L414,Detail!BC$421:BC$434)</f>
        <v>-68095.225049704299</v>
      </c>
      <c r="F414" s="2">
        <f>SUMIF(Detail!$C$421:$C$434,"*",Detail!BD$421:BD$434)-SUMIF(Detail!$C$421:$C$434,$L414,Detail!BD$421:BD$434)</f>
        <v>0</v>
      </c>
      <c r="G414" s="2">
        <f>SUMIF(Detail!$C$421:$C$434,"*",Detail!BE$421:BE$434)-SUMIF(Detail!$C$421:$C$434,$L414,Detail!BE$421:BE$434)</f>
        <v>-1467.2256707668096</v>
      </c>
      <c r="H414" s="2">
        <f>SUMIF(Detail!$C$421:$C$434,"*",Detail!BF$421:BF$434)-SUMIF(Detail!$C$421:$C$434,$L414,Detail!BF$421:BF$434)</f>
        <v>-15266.552653011797</v>
      </c>
      <c r="I414" s="2">
        <f>SUMIF(Detail!$C$421:$C$434,"*",Detail!BG$421:BG$434)-SUMIF(Detail!$C$421:$C$434,$L414,Detail!BG$421:BG$434)</f>
        <v>0</v>
      </c>
      <c r="J414" s="2"/>
      <c r="K414" s="71" t="str">
        <f>Detail!A$421&amp;":"&amp;Detail!A$434&amp;", col "&amp;Detail!C$1&amp;"&lt;&gt; "</f>
        <v xml:space="preserve">421:434, col C&lt;&gt; </v>
      </c>
      <c r="L414" s="11" t="s">
        <v>155</v>
      </c>
    </row>
    <row r="415" spans="1:12">
      <c r="A415" s="50">
        <f t="shared" si="193"/>
        <v>865</v>
      </c>
      <c r="B415" s="28" t="s">
        <v>190</v>
      </c>
      <c r="C415" s="48">
        <f t="shared" ref="C415:I415" si="203">SUM(C413:C414)</f>
        <v>17634154.730590031</v>
      </c>
      <c r="D415" s="4">
        <f t="shared" si="203"/>
        <v>9969495.3189078588</v>
      </c>
      <c r="E415" s="4">
        <f t="shared" si="203"/>
        <v>6152691.7305618534</v>
      </c>
      <c r="F415" s="4">
        <f t="shared" si="203"/>
        <v>0</v>
      </c>
      <c r="G415" s="4">
        <f t="shared" si="203"/>
        <v>132570.04797040785</v>
      </c>
      <c r="H415" s="4">
        <f t="shared" si="203"/>
        <v>1379397.6331499126</v>
      </c>
      <c r="I415" s="4">
        <f t="shared" si="203"/>
        <v>0</v>
      </c>
      <c r="J415" s="5"/>
      <c r="K415" s="71" t="str">
        <f>A413&amp;":"&amp;A414</f>
        <v>863:864</v>
      </c>
    </row>
    <row r="416" spans="1:12">
      <c r="A416" s="50">
        <f t="shared" si="193"/>
        <v>866</v>
      </c>
      <c r="B416" t="s">
        <v>142</v>
      </c>
      <c r="C416" s="21">
        <f>SUM(D416:I416)</f>
        <v>810203.38711089385</v>
      </c>
      <c r="D416" s="2">
        <f>Detail!I$417*IF(D$22,D399/D$22,0)</f>
        <v>324748.25134867494</v>
      </c>
      <c r="E416" s="2">
        <f>Detail!J$417*IF(E$22,E399/E$22,0)</f>
        <v>469051.92219047382</v>
      </c>
      <c r="F416" s="2">
        <f>Detail!K$417*IF(F$22,F399/F$22,0)</f>
        <v>0</v>
      </c>
      <c r="G416" s="2">
        <f>Detail!L$417*IF(G$22,G399/G$22,0)</f>
        <v>12822.323828877925</v>
      </c>
      <c r="H416" s="2">
        <f>Detail!M$417*IF(H$22,H399/H$22,0)</f>
        <v>3580.8897428671598</v>
      </c>
      <c r="I416" s="2">
        <f>Detail!N$417*IF(I$22,I399/I$22,0)</f>
        <v>0</v>
      </c>
      <c r="J416" s="2"/>
      <c r="K416" s="71" t="str">
        <f>Detail!A$417&amp;"*"&amp;A399&amp;"/"&amp;A$22</f>
        <v>417*849/472</v>
      </c>
    </row>
    <row r="417" spans="1:12">
      <c r="A417" s="50">
        <f t="shared" si="193"/>
        <v>867</v>
      </c>
      <c r="B417" t="s">
        <v>162</v>
      </c>
      <c r="C417" s="21">
        <f>SUM(D417:I417)</f>
        <v>9605817.4908602387</v>
      </c>
      <c r="D417" s="2">
        <f t="shared" ref="D417:I417" si="204">D$49*D399</f>
        <v>4381407.6624296261</v>
      </c>
      <c r="E417" s="2">
        <f t="shared" si="204"/>
        <v>4818483.8875445249</v>
      </c>
      <c r="F417" s="2">
        <f t="shared" si="204"/>
        <v>0</v>
      </c>
      <c r="G417" s="2">
        <f t="shared" si="204"/>
        <v>125199.29370266073</v>
      </c>
      <c r="H417" s="2">
        <f t="shared" si="204"/>
        <v>280726.64718342666</v>
      </c>
      <c r="I417" s="2">
        <f t="shared" si="204"/>
        <v>0</v>
      </c>
      <c r="J417" s="2"/>
      <c r="K417" s="71" t="str">
        <f>A$49&amp;"*"&amp;A399</f>
        <v>499*849</v>
      </c>
    </row>
    <row r="418" spans="1:12">
      <c r="A418" s="50">
        <f t="shared" si="193"/>
        <v>868</v>
      </c>
      <c r="B418" t="s">
        <v>161</v>
      </c>
      <c r="C418" s="21">
        <f>SUM(D418:I418)</f>
        <v>97198.362566624826</v>
      </c>
      <c r="D418" s="2">
        <f t="shared" ref="D418:I418" si="205">SUM(D415:D417)*D$93</f>
        <v>50853.488025244274</v>
      </c>
      <c r="E418" s="2">
        <f t="shared" si="205"/>
        <v>39642.225411489984</v>
      </c>
      <c r="F418" s="2">
        <f t="shared" si="205"/>
        <v>0</v>
      </c>
      <c r="G418" s="2">
        <f t="shared" si="205"/>
        <v>937.64357050719298</v>
      </c>
      <c r="H418" s="2">
        <f t="shared" si="205"/>
        <v>5765.0055593833849</v>
      </c>
      <c r="I418" s="2">
        <f t="shared" si="205"/>
        <v>0</v>
      </c>
      <c r="J418" s="2"/>
      <c r="K418" s="71" t="str">
        <f>A415&amp;":"&amp;A417&amp;"*"&amp;A$93</f>
        <v>865:867*543</v>
      </c>
    </row>
    <row r="419" spans="1:12">
      <c r="A419" s="50">
        <f t="shared" si="193"/>
        <v>869</v>
      </c>
      <c r="B419" s="28" t="s">
        <v>195</v>
      </c>
      <c r="C419" s="48">
        <f>IF(ROUND(SUM(C415:C418),3)&lt;&gt;ROUND(SUM(D419:I419),3),#VALUE!,SUM(C415:C418))</f>
        <v>28147373.971127786</v>
      </c>
      <c r="D419" s="4">
        <f t="shared" ref="D419:I419" si="206">SUM(D415:D418)</f>
        <v>14726504.720711403</v>
      </c>
      <c r="E419" s="4">
        <f t="shared" si="206"/>
        <v>11479869.765708342</v>
      </c>
      <c r="F419" s="4">
        <f t="shared" si="206"/>
        <v>0</v>
      </c>
      <c r="G419" s="4">
        <f t="shared" si="206"/>
        <v>271529.30907245365</v>
      </c>
      <c r="H419" s="4">
        <f t="shared" si="206"/>
        <v>1669470.1756355898</v>
      </c>
      <c r="I419" s="4">
        <f t="shared" si="206"/>
        <v>0</v>
      </c>
      <c r="J419" s="5"/>
      <c r="K419" s="71" t="str">
        <f>A415&amp;":"&amp;A418</f>
        <v>865:868</v>
      </c>
    </row>
    <row r="420" spans="1:12">
      <c r="A420" s="50">
        <f t="shared" si="193"/>
        <v>870</v>
      </c>
      <c r="C420" s="21"/>
      <c r="D420" s="2"/>
      <c r="E420" s="2"/>
      <c r="F420" s="2"/>
      <c r="G420" s="2"/>
      <c r="H420" s="2"/>
      <c r="I420" s="2"/>
      <c r="J420" s="2"/>
      <c r="K420" s="71"/>
    </row>
    <row r="421" spans="1:12">
      <c r="A421" s="50">
        <f t="shared" si="193"/>
        <v>871</v>
      </c>
      <c r="B421" s="30" t="str">
        <f>"Line "&amp;A189</f>
        <v>Line 639</v>
      </c>
      <c r="K421" s="71"/>
    </row>
    <row r="422" spans="1:12">
      <c r="A422" s="50">
        <f t="shared" si="193"/>
        <v>872</v>
      </c>
      <c r="B422" t="s">
        <v>529</v>
      </c>
      <c r="C422" s="21">
        <f>SUM(D422:I422)</f>
        <v>56885697.336833015</v>
      </c>
      <c r="D422" s="2">
        <f>SUMIF(Detail!$C$174:$C$409,"*",Detail!BJ$174:BJ$409)-SUMIF(Detail!$C$174:$C$409,$L422,Detail!BJ$174:BJ$409)</f>
        <v>54196024.799723573</v>
      </c>
      <c r="E422" s="2">
        <f>SUMIF(Detail!$C$174:$C$409,"*",Detail!BK$174:BK$409)-SUMIF(Detail!$C$174:$C$409,$L422,Detail!BK$174:BK$409)</f>
        <v>2536734.7508611982</v>
      </c>
      <c r="F422" s="2">
        <f>SUMIF(Detail!$C$174:$C$409,"*",Detail!BL$174:BL$409)-SUMIF(Detail!$C$174:$C$409,$L422,Detail!BL$174:BL$409)</f>
        <v>0</v>
      </c>
      <c r="G422" s="2">
        <f>SUMIF(Detail!$C$174:$C$409,"*",Detail!BM$174:BM$409)-SUMIF(Detail!$C$174:$C$409,$L422,Detail!BM$174:BM$409)</f>
        <v>14781.803084660809</v>
      </c>
      <c r="H422" s="2">
        <f>SUMIF(Detail!$C$174:$C$409,"*",Detail!BN$174:BN$409)-SUMIF(Detail!$C$174:$C$409,$L422,Detail!BN$174:BN$409)</f>
        <v>138155.98316358268</v>
      </c>
      <c r="I422" s="2">
        <f>SUMIF(Detail!$C$174:$C$409,"*",Detail!BO$174:BO$409)-SUMIF(Detail!$C$174:$C$409,$L422,Detail!BO$174:BO$409)</f>
        <v>0</v>
      </c>
      <c r="J422" s="2"/>
      <c r="K422" s="71" t="str">
        <f>Detail!A$174&amp;":"&amp;Detail!A$409&amp;", col "&amp;Detail!C$1&amp;"&lt;&gt; "</f>
        <v xml:space="preserve">174:409, col C&lt;&gt; </v>
      </c>
      <c r="L422" s="11" t="s">
        <v>155</v>
      </c>
    </row>
    <row r="423" spans="1:12">
      <c r="A423" s="50">
        <f t="shared" si="193"/>
        <v>873</v>
      </c>
      <c r="B423" t="s">
        <v>530</v>
      </c>
      <c r="C423" s="21">
        <f>SUM(D423:I423)</f>
        <v>-343355.07155098068</v>
      </c>
      <c r="D423" s="2">
        <f>SUMIF(Detail!$C$421:$C$434,"*",Detail!BJ$421:BJ$434)-SUMIF(Detail!$C$421:$C$434,$L423,Detail!BJ$421:BJ$434)</f>
        <v>-322197.57914461021</v>
      </c>
      <c r="E423" s="2">
        <f>SUMIF(Detail!$C$421:$C$434,"*",Detail!BK$421:BK$434)-SUMIF(Detail!$C$421:$C$434,$L423,Detail!BK$421:BK$434)</f>
        <v>-19774.523324821464</v>
      </c>
      <c r="F423" s="2">
        <f>SUMIF(Detail!$C$421:$C$434,"*",Detail!BL$421:BL$434)-SUMIF(Detail!$C$421:$C$434,$L423,Detail!BL$421:BL$434)</f>
        <v>0</v>
      </c>
      <c r="G423" s="2">
        <f>SUMIF(Detail!$C$421:$C$434,"*",Detail!BM$421:BM$434)-SUMIF(Detail!$C$421:$C$434,$L423,Detail!BM$421:BM$434)</f>
        <v>-131.38367504255257</v>
      </c>
      <c r="H423" s="2">
        <f>SUMIF(Detail!$C$421:$C$434,"*",Detail!BN$421:BN$434)-SUMIF(Detail!$C$421:$C$434,$L423,Detail!BN$421:BN$434)</f>
        <v>-1251.5854065064514</v>
      </c>
      <c r="I423" s="2">
        <f>SUMIF(Detail!$C$421:$C$434,"*",Detail!BO$421:BO$434)-SUMIF(Detail!$C$421:$C$434,$L423,Detail!BO$421:BO$434)</f>
        <v>0</v>
      </c>
      <c r="J423" s="2"/>
      <c r="K423" s="71" t="str">
        <f>Detail!A$421&amp;":"&amp;Detail!A$434&amp;", col "&amp;Detail!C$1&amp;"&lt;&gt; "</f>
        <v xml:space="preserve">421:434, col C&lt;&gt; </v>
      </c>
      <c r="L423" s="11" t="s">
        <v>155</v>
      </c>
    </row>
    <row r="424" spans="1:12">
      <c r="A424" s="50">
        <f t="shared" si="193"/>
        <v>874</v>
      </c>
      <c r="B424" s="28" t="s">
        <v>192</v>
      </c>
      <c r="C424" s="48">
        <f t="shared" ref="C424:I424" si="207">SUM(C422:C423)</f>
        <v>56542342.265282035</v>
      </c>
      <c r="D424" s="4">
        <f t="shared" si="207"/>
        <v>53873827.220578961</v>
      </c>
      <c r="E424" s="4">
        <f t="shared" si="207"/>
        <v>2516960.2275363766</v>
      </c>
      <c r="F424" s="4">
        <f t="shared" si="207"/>
        <v>0</v>
      </c>
      <c r="G424" s="4">
        <f t="shared" si="207"/>
        <v>14650.419409618256</v>
      </c>
      <c r="H424" s="4">
        <f t="shared" si="207"/>
        <v>136904.39775707622</v>
      </c>
      <c r="I424" s="4">
        <f t="shared" si="207"/>
        <v>0</v>
      </c>
      <c r="J424" s="5"/>
      <c r="K424" s="71" t="str">
        <f>A422&amp;":"&amp;A423</f>
        <v>872:873</v>
      </c>
    </row>
    <row r="425" spans="1:12">
      <c r="A425" s="50">
        <f t="shared" si="193"/>
        <v>875</v>
      </c>
      <c r="B425" t="s">
        <v>142</v>
      </c>
      <c r="C425" s="21">
        <f>SUM(D425:I425)</f>
        <v>1087661.820385034</v>
      </c>
      <c r="D425" s="2">
        <f>Detail!I$417*IF(D$22,D400/D$22,0)</f>
        <v>949966.44848012039</v>
      </c>
      <c r="E425" s="2">
        <f>Detail!J$417*IF(E$22,E400/E$22,0)</f>
        <v>136253.51154544463</v>
      </c>
      <c r="F425" s="2">
        <f>Detail!K$417*IF(F$22,F400/F$22,0)</f>
        <v>0</v>
      </c>
      <c r="G425" s="2">
        <f>Detail!L$417*IF(G$22,G400/G$22,0)</f>
        <v>1148.0965503396912</v>
      </c>
      <c r="H425" s="2">
        <f>Detail!M$417*IF(H$22,H400/H$22,0)</f>
        <v>293.76380912931069</v>
      </c>
      <c r="I425" s="2">
        <f>Detail!N$417*IF(I$22,I400/I$22,0)</f>
        <v>0</v>
      </c>
      <c r="J425" s="2"/>
      <c r="K425" s="71" t="str">
        <f>Detail!A$417&amp;"*"&amp;A400&amp;"/"&amp;A$22</f>
        <v>417*850/472</v>
      </c>
    </row>
    <row r="426" spans="1:12">
      <c r="A426" s="50">
        <f t="shared" si="193"/>
        <v>876</v>
      </c>
      <c r="B426" t="s">
        <v>162</v>
      </c>
      <c r="C426" s="21">
        <f>SUM(D426:I426)</f>
        <v>14250614.488894358</v>
      </c>
      <c r="D426" s="2">
        <f t="shared" ref="D426:I426" si="208">D$49*D400</f>
        <v>12816667.246509692</v>
      </c>
      <c r="E426" s="2">
        <f t="shared" si="208"/>
        <v>1399707.1943273679</v>
      </c>
      <c r="F426" s="2">
        <f t="shared" si="208"/>
        <v>0</v>
      </c>
      <c r="G426" s="2">
        <f t="shared" si="208"/>
        <v>11210.204883553413</v>
      </c>
      <c r="H426" s="2">
        <f t="shared" si="208"/>
        <v>23029.843173745205</v>
      </c>
      <c r="I426" s="2">
        <f t="shared" si="208"/>
        <v>0</v>
      </c>
      <c r="J426" s="2"/>
      <c r="K426" s="71" t="str">
        <f>A$49&amp;"*"&amp;A400</f>
        <v>499*850</v>
      </c>
    </row>
    <row r="427" spans="1:12">
      <c r="A427" s="50">
        <f t="shared" si="193"/>
        <v>877</v>
      </c>
      <c r="B427" t="s">
        <v>161</v>
      </c>
      <c r="C427" s="21">
        <f>SUM(D427:I427)</f>
        <v>249077.88540158348</v>
      </c>
      <c r="D427" s="2">
        <f t="shared" ref="D427:I427" si="209">SUM(D424:D426)*D$93</f>
        <v>234385.05826104211</v>
      </c>
      <c r="E427" s="2">
        <f t="shared" si="209"/>
        <v>14044.021821351333</v>
      </c>
      <c r="F427" s="2">
        <f t="shared" si="209"/>
        <v>0</v>
      </c>
      <c r="G427" s="2">
        <f t="shared" si="209"/>
        <v>93.589554576875415</v>
      </c>
      <c r="H427" s="2">
        <f t="shared" si="209"/>
        <v>555.21576461315703</v>
      </c>
      <c r="I427" s="2">
        <f t="shared" si="209"/>
        <v>0</v>
      </c>
      <c r="J427" s="2"/>
      <c r="K427" s="71" t="str">
        <f>A424&amp;":"&amp;A426&amp;"*"&amp;A$93</f>
        <v>874:876*543</v>
      </c>
    </row>
    <row r="428" spans="1:12">
      <c r="A428" s="50">
        <f t="shared" si="193"/>
        <v>878</v>
      </c>
      <c r="B428" s="28" t="s">
        <v>196</v>
      </c>
      <c r="C428" s="48">
        <f>IF(ROUND(SUM(C424:C427),3)&lt;&gt;ROUND(SUM(D428:I428),3),#VALUE!,SUM(C424:C427))</f>
        <v>72129696.459962994</v>
      </c>
      <c r="D428" s="4">
        <f t="shared" ref="D428:I428" si="210">SUM(D424:D427)</f>
        <v>67874845.973829806</v>
      </c>
      <c r="E428" s="4">
        <f t="shared" si="210"/>
        <v>4066964.9552305406</v>
      </c>
      <c r="F428" s="4">
        <f t="shared" si="210"/>
        <v>0</v>
      </c>
      <c r="G428" s="4">
        <f t="shared" si="210"/>
        <v>27102.310398088237</v>
      </c>
      <c r="H428" s="4">
        <f t="shared" si="210"/>
        <v>160783.22050456388</v>
      </c>
      <c r="I428" s="4">
        <f t="shared" si="210"/>
        <v>0</v>
      </c>
      <c r="J428" s="5"/>
      <c r="K428" s="71" t="str">
        <f>A424&amp;":"&amp;A427</f>
        <v>874:877</v>
      </c>
    </row>
    <row r="429" spans="1:12">
      <c r="A429" s="50">
        <f t="shared" si="193"/>
        <v>879</v>
      </c>
      <c r="C429" s="21"/>
      <c r="D429" s="2"/>
      <c r="E429" s="2"/>
      <c r="F429" s="2"/>
      <c r="G429" s="2"/>
      <c r="H429" s="2"/>
      <c r="I429" s="2"/>
      <c r="J429" s="2"/>
      <c r="K429" s="71"/>
    </row>
    <row r="430" spans="1:12">
      <c r="A430" s="50">
        <f t="shared" si="193"/>
        <v>880</v>
      </c>
      <c r="B430" t="s">
        <v>197</v>
      </c>
      <c r="C430" s="2">
        <f>C410+C419+C428</f>
        <v>126010761.69737162</v>
      </c>
      <c r="D430" s="2">
        <f t="shared" ref="D430:H430" si="211">D410+D419+D428</f>
        <v>97579732.210502863</v>
      </c>
      <c r="E430" s="2">
        <f t="shared" si="211"/>
        <v>24039185.777328596</v>
      </c>
      <c r="F430" s="2">
        <f t="shared" si="211"/>
        <v>0</v>
      </c>
      <c r="G430" s="2">
        <f t="shared" si="211"/>
        <v>645536.50887380715</v>
      </c>
      <c r="H430" s="2">
        <f t="shared" si="211"/>
        <v>3746307.2006663536</v>
      </c>
      <c r="K430" s="71"/>
    </row>
    <row r="431" spans="1:12">
      <c r="A431" s="50">
        <f t="shared" si="193"/>
        <v>881</v>
      </c>
      <c r="C431" s="33">
        <f>ROUND(C430-Detail!E438,0)</f>
        <v>693762</v>
      </c>
      <c r="K431" s="71"/>
    </row>
    <row r="432" spans="1:12">
      <c r="A432" s="50">
        <f t="shared" si="193"/>
        <v>882</v>
      </c>
      <c r="K432" s="71"/>
    </row>
    <row r="433" spans="1:12">
      <c r="A433" s="50">
        <f t="shared" si="193"/>
        <v>883</v>
      </c>
      <c r="B433" s="30" t="s">
        <v>120</v>
      </c>
      <c r="K433" s="71"/>
    </row>
    <row r="434" spans="1:12">
      <c r="A434" s="50">
        <f t="shared" si="193"/>
        <v>884</v>
      </c>
      <c r="B434" t="s">
        <v>533</v>
      </c>
      <c r="C434" s="2">
        <f>C404+C413+C422</f>
        <v>93142256</v>
      </c>
      <c r="D434" s="2">
        <f t="shared" ref="D434:H434" si="212">D404+D413+D422</f>
        <v>75763463.18366991</v>
      </c>
      <c r="E434" s="2">
        <f t="shared" si="212"/>
        <v>13881826.088408602</v>
      </c>
      <c r="F434" s="2">
        <f t="shared" si="212"/>
        <v>0</v>
      </c>
      <c r="G434" s="2">
        <f t="shared" si="212"/>
        <v>337988.93926411594</v>
      </c>
      <c r="H434" s="2">
        <f t="shared" si="212"/>
        <v>3158977.7886573751</v>
      </c>
      <c r="K434" s="71" t="str">
        <f t="shared" ref="K434:K440" si="213">A404&amp;"+"&amp;A413&amp;"+"&amp;A422</f>
        <v>854+863+872</v>
      </c>
    </row>
    <row r="435" spans="1:12">
      <c r="A435" s="50">
        <f t="shared" si="193"/>
        <v>885</v>
      </c>
      <c r="B435" t="s">
        <v>159</v>
      </c>
      <c r="C435" s="2">
        <f t="shared" ref="C435:H440" si="214">C405+C414+C423</f>
        <v>-2377000</v>
      </c>
      <c r="D435" s="2">
        <f t="shared" si="214"/>
        <v>-1728030.9144883882</v>
      </c>
      <c r="E435" s="2">
        <f t="shared" si="214"/>
        <v>-578922.90219163708</v>
      </c>
      <c r="F435" s="2">
        <f t="shared" si="214"/>
        <v>0</v>
      </c>
      <c r="G435" s="2">
        <f t="shared" si="214"/>
        <v>-15438.043152219434</v>
      </c>
      <c r="H435" s="2">
        <f t="shared" si="214"/>
        <v>-54608.140167755206</v>
      </c>
      <c r="K435" s="71" t="str">
        <f t="shared" si="213"/>
        <v>855+864+873</v>
      </c>
    </row>
    <row r="436" spans="1:12">
      <c r="A436" s="50">
        <f t="shared" si="193"/>
        <v>886</v>
      </c>
      <c r="B436" s="28" t="s">
        <v>534</v>
      </c>
      <c r="C436" s="4">
        <f t="shared" si="214"/>
        <v>90765256</v>
      </c>
      <c r="D436" s="4">
        <f t="shared" si="214"/>
        <v>74035432.26918152</v>
      </c>
      <c r="E436" s="4">
        <f t="shared" si="214"/>
        <v>13302903.186216965</v>
      </c>
      <c r="F436" s="4">
        <f t="shared" si="214"/>
        <v>0</v>
      </c>
      <c r="G436" s="4">
        <f t="shared" si="214"/>
        <v>322550.89611189649</v>
      </c>
      <c r="H436" s="4">
        <f t="shared" si="214"/>
        <v>3104369.6484896201</v>
      </c>
      <c r="K436" s="71" t="str">
        <f t="shared" si="213"/>
        <v>856+865+874</v>
      </c>
    </row>
    <row r="437" spans="1:12">
      <c r="A437" s="50">
        <f t="shared" si="193"/>
        <v>887</v>
      </c>
      <c r="B437" t="s">
        <v>142</v>
      </c>
      <c r="C437" s="2">
        <f t="shared" si="214"/>
        <v>2584183.8676710278</v>
      </c>
      <c r="D437" s="2">
        <f t="shared" si="214"/>
        <v>1601422.1826489773</v>
      </c>
      <c r="E437" s="2">
        <f t="shared" si="214"/>
        <v>945040.79658311291</v>
      </c>
      <c r="F437" s="2">
        <f t="shared" si="214"/>
        <v>0</v>
      </c>
      <c r="G437" s="2">
        <f t="shared" si="214"/>
        <v>29798.542716712265</v>
      </c>
      <c r="H437" s="2">
        <f t="shared" si="214"/>
        <v>7922.3457222257257</v>
      </c>
      <c r="K437" s="71" t="str">
        <f t="shared" si="213"/>
        <v>857+866+875</v>
      </c>
    </row>
    <row r="438" spans="1:12">
      <c r="A438" s="50">
        <f t="shared" si="193"/>
        <v>888</v>
      </c>
      <c r="B438" t="s">
        <v>162</v>
      </c>
      <c r="C438" s="2">
        <f t="shared" si="214"/>
        <v>32226182.1354854</v>
      </c>
      <c r="D438" s="2">
        <f t="shared" si="214"/>
        <v>21605915.944746889</v>
      </c>
      <c r="E438" s="2">
        <f t="shared" si="214"/>
        <v>9708229.8056521099</v>
      </c>
      <c r="F438" s="2">
        <f t="shared" si="214"/>
        <v>0</v>
      </c>
      <c r="G438" s="2">
        <f t="shared" si="214"/>
        <v>290957.90679523163</v>
      </c>
      <c r="H438" s="2">
        <f t="shared" si="214"/>
        <v>621078.47829116893</v>
      </c>
      <c r="K438" s="71" t="str">
        <f t="shared" si="213"/>
        <v>858+867+876</v>
      </c>
    </row>
    <row r="439" spans="1:12">
      <c r="A439" s="50">
        <f t="shared" si="193"/>
        <v>889</v>
      </c>
      <c r="B439" t="s">
        <v>161</v>
      </c>
      <c r="C439" s="2">
        <f t="shared" si="214"/>
        <v>435139.6942152094</v>
      </c>
      <c r="D439" s="2">
        <f t="shared" si="214"/>
        <v>336961.81392549985</v>
      </c>
      <c r="E439" s="2">
        <f t="shared" si="214"/>
        <v>83011.988876403702</v>
      </c>
      <c r="F439" s="2">
        <f t="shared" si="214"/>
        <v>0</v>
      </c>
      <c r="G439" s="2">
        <f t="shared" si="214"/>
        <v>2229.1632499667789</v>
      </c>
      <c r="H439" s="2">
        <f t="shared" si="214"/>
        <v>12936.728163339056</v>
      </c>
      <c r="K439" s="71" t="str">
        <f t="shared" si="213"/>
        <v>859+868+877</v>
      </c>
    </row>
    <row r="440" spans="1:12">
      <c r="A440" s="50">
        <f t="shared" si="193"/>
        <v>890</v>
      </c>
      <c r="B440" s="28" t="s">
        <v>207</v>
      </c>
      <c r="C440" s="4">
        <f t="shared" si="214"/>
        <v>126010761.69737162</v>
      </c>
      <c r="D440" s="4">
        <f t="shared" si="214"/>
        <v>97579732.210502863</v>
      </c>
      <c r="E440" s="4">
        <f t="shared" si="214"/>
        <v>24039185.777328596</v>
      </c>
      <c r="F440" s="4">
        <f t="shared" si="214"/>
        <v>0</v>
      </c>
      <c r="G440" s="4">
        <f t="shared" si="214"/>
        <v>645536.50887380715</v>
      </c>
      <c r="H440" s="4">
        <f t="shared" si="214"/>
        <v>3746307.2006663536</v>
      </c>
      <c r="K440" s="71" t="str">
        <f t="shared" si="213"/>
        <v>860+869+878</v>
      </c>
    </row>
    <row r="441" spans="1:12">
      <c r="A441" s="50">
        <f t="shared" si="193"/>
        <v>891</v>
      </c>
      <c r="K441" s="71"/>
    </row>
    <row r="442" spans="1:12">
      <c r="A442" s="50">
        <f t="shared" si="193"/>
        <v>892</v>
      </c>
      <c r="K442" s="71"/>
    </row>
    <row r="443" spans="1:12">
      <c r="A443" s="50">
        <f t="shared" si="193"/>
        <v>893</v>
      </c>
      <c r="B443" s="30" t="s">
        <v>187</v>
      </c>
      <c r="K443" s="71"/>
    </row>
    <row r="444" spans="1:12">
      <c r="A444" s="50">
        <f t="shared" si="193"/>
        <v>894</v>
      </c>
      <c r="B444" s="30" t="str">
        <f>"Line "&amp;A204</f>
        <v>Line 654</v>
      </c>
      <c r="K444" s="71"/>
    </row>
    <row r="445" spans="1:12">
      <c r="A445" s="50">
        <f t="shared" si="193"/>
        <v>895</v>
      </c>
      <c r="B445" t="s">
        <v>535</v>
      </c>
      <c r="C445" s="2">
        <f>SUM(D445:I445)</f>
        <v>16588759.004127935</v>
      </c>
      <c r="D445" s="2">
        <f t="shared" ref="D445:I445" si="215">D$406</f>
        <v>10192109.729694698</v>
      </c>
      <c r="E445" s="2">
        <f t="shared" si="215"/>
        <v>4633251.2281187354</v>
      </c>
      <c r="F445" s="2">
        <f t="shared" si="215"/>
        <v>0</v>
      </c>
      <c r="G445" s="2">
        <f t="shared" si="215"/>
        <v>175330.42873187043</v>
      </c>
      <c r="H445" s="2">
        <f t="shared" si="215"/>
        <v>1588067.6175826311</v>
      </c>
      <c r="I445" s="2">
        <f t="shared" si="215"/>
        <v>0</v>
      </c>
      <c r="J445" s="2"/>
      <c r="K445" s="71">
        <f>A$406</f>
        <v>856</v>
      </c>
    </row>
    <row r="446" spans="1:12">
      <c r="A446" s="50">
        <f t="shared" si="193"/>
        <v>896</v>
      </c>
      <c r="B446" t="s">
        <v>142</v>
      </c>
      <c r="C446" s="2">
        <f>SUM(D446:I446)</f>
        <v>645325.88188279083</v>
      </c>
      <c r="D446" s="2">
        <f t="shared" ref="D446:I446" si="216">$C$53*D447</f>
        <v>399310.41599481163</v>
      </c>
      <c r="E446" s="2">
        <f t="shared" si="216"/>
        <v>177423.11322870225</v>
      </c>
      <c r="F446" s="2">
        <f t="shared" si="216"/>
        <v>0</v>
      </c>
      <c r="G446" s="2">
        <f t="shared" si="216"/>
        <v>6515.2828664554545</v>
      </c>
      <c r="H446" s="2">
        <f t="shared" si="216"/>
        <v>62077.06979282137</v>
      </c>
      <c r="I446" s="2">
        <f t="shared" si="216"/>
        <v>0</v>
      </c>
      <c r="J446" s="2"/>
      <c r="K446" s="71" t="str">
        <f>C$1&amp;$A$53&amp;"*"&amp;A447</f>
        <v>C503*897</v>
      </c>
      <c r="L446" s="49"/>
    </row>
    <row r="447" spans="1:12">
      <c r="A447" s="50">
        <f t="shared" si="193"/>
        <v>897</v>
      </c>
      <c r="B447" t="s">
        <v>162</v>
      </c>
      <c r="C447" s="2">
        <f>SUM(D447:I447)</f>
        <v>8047083.7315064343</v>
      </c>
      <c r="D447" s="2">
        <f t="shared" ref="D447:I447" si="217">$C$49*D$398</f>
        <v>4979320.4372927006</v>
      </c>
      <c r="E447" s="2">
        <f t="shared" si="217"/>
        <v>2212430.476041609</v>
      </c>
      <c r="F447" s="2">
        <f t="shared" si="217"/>
        <v>0</v>
      </c>
      <c r="G447" s="2">
        <f t="shared" si="217"/>
        <v>81244.264692825192</v>
      </c>
      <c r="H447" s="2">
        <f t="shared" si="217"/>
        <v>774088.55347929883</v>
      </c>
      <c r="I447" s="2">
        <f t="shared" si="217"/>
        <v>0</v>
      </c>
      <c r="J447" s="2"/>
      <c r="K447" s="71" t="str">
        <f>C$1&amp;$A$49&amp;"*"&amp;A$398</f>
        <v>C499*848</v>
      </c>
    </row>
    <row r="448" spans="1:12">
      <c r="A448" s="50">
        <f t="shared" si="193"/>
        <v>898</v>
      </c>
      <c r="B448" t="s">
        <v>161</v>
      </c>
      <c r="C448" s="2">
        <f>SUM(D448:I448)</f>
        <v>87603.308716663552</v>
      </c>
      <c r="D448" s="2">
        <f t="shared" ref="D448:I448" si="218">SUM(D445:D447)*$C$93</f>
        <v>53955.116350631521</v>
      </c>
      <c r="E448" s="2">
        <f t="shared" si="218"/>
        <v>24336.185908784253</v>
      </c>
      <c r="F448" s="2">
        <f t="shared" si="218"/>
        <v>0</v>
      </c>
      <c r="G448" s="2">
        <f t="shared" si="218"/>
        <v>911.64901282782887</v>
      </c>
      <c r="H448" s="2">
        <f t="shared" si="218"/>
        <v>8400.3574444199621</v>
      </c>
      <c r="I448" s="2">
        <f t="shared" si="218"/>
        <v>0</v>
      </c>
      <c r="J448" s="2"/>
      <c r="K448" s="71" t="str">
        <f>A445&amp;":"&amp;A447&amp;"*"&amp;C$1&amp;$A$93</f>
        <v>895:897*C543</v>
      </c>
    </row>
    <row r="449" spans="1:11">
      <c r="A449" s="50">
        <f t="shared" si="193"/>
        <v>899</v>
      </c>
      <c r="B449" s="28" t="s">
        <v>526</v>
      </c>
      <c r="C449" s="4">
        <f>IF(ROUND(SUM(C445:C448),3)&lt;&gt;ROUND(SUM(D449:I449),3),#VALUE!,SUM(C445:C448))</f>
        <v>25368771.926233821</v>
      </c>
      <c r="D449" s="4">
        <f t="shared" ref="D449:I449" si="219">SUM(D445:D448)</f>
        <v>15624695.699332843</v>
      </c>
      <c r="E449" s="4">
        <f t="shared" si="219"/>
        <v>7047441.0032978309</v>
      </c>
      <c r="F449" s="4">
        <f t="shared" si="219"/>
        <v>0</v>
      </c>
      <c r="G449" s="4">
        <f t="shared" si="219"/>
        <v>264001.62530397892</v>
      </c>
      <c r="H449" s="4">
        <f t="shared" si="219"/>
        <v>2432633.5982991713</v>
      </c>
      <c r="I449" s="4">
        <f t="shared" si="219"/>
        <v>0</v>
      </c>
      <c r="J449" s="5"/>
      <c r="K449" s="71" t="str">
        <f>A445&amp;":"&amp;A448</f>
        <v>895:898</v>
      </c>
    </row>
    <row r="450" spans="1:11">
      <c r="A450" s="50">
        <f t="shared" si="193"/>
        <v>900</v>
      </c>
      <c r="C450" s="2"/>
      <c r="D450" s="2"/>
      <c r="E450" s="2"/>
      <c r="F450" s="2"/>
      <c r="G450" s="2"/>
      <c r="H450" s="2"/>
      <c r="I450" s="2"/>
      <c r="J450" s="2"/>
      <c r="K450" s="71"/>
    </row>
    <row r="451" spans="1:11">
      <c r="A451" s="50">
        <f t="shared" si="193"/>
        <v>901</v>
      </c>
      <c r="B451" s="30" t="str">
        <f>"Line "&amp;A205</f>
        <v>Line 655</v>
      </c>
      <c r="K451" s="71"/>
    </row>
    <row r="452" spans="1:11">
      <c r="A452" s="50">
        <f t="shared" si="193"/>
        <v>902</v>
      </c>
      <c r="B452" t="s">
        <v>205</v>
      </c>
      <c r="C452" s="2">
        <f>SUM(D452:I452)</f>
        <v>17634154.730590034</v>
      </c>
      <c r="D452" s="2">
        <f t="shared" ref="D452:I452" si="220">D$415</f>
        <v>9969495.3189078588</v>
      </c>
      <c r="E452" s="2">
        <f t="shared" si="220"/>
        <v>6152691.7305618534</v>
      </c>
      <c r="F452" s="2">
        <f t="shared" si="220"/>
        <v>0</v>
      </c>
      <c r="G452" s="2">
        <f t="shared" si="220"/>
        <v>132570.04797040785</v>
      </c>
      <c r="H452" s="2">
        <f t="shared" si="220"/>
        <v>1379397.6331499126</v>
      </c>
      <c r="I452" s="2">
        <f t="shared" si="220"/>
        <v>0</v>
      </c>
      <c r="J452" s="2"/>
      <c r="K452" s="71">
        <f>A$415</f>
        <v>865</v>
      </c>
    </row>
    <row r="453" spans="1:11">
      <c r="A453" s="50">
        <f t="shared" si="193"/>
        <v>903</v>
      </c>
      <c r="B453" t="s">
        <v>142</v>
      </c>
      <c r="C453" s="2">
        <f>SUM(D453:I453)</f>
        <v>702069.088715886</v>
      </c>
      <c r="D453" s="2">
        <f t="shared" ref="D453:I453" si="221">$C$53*D454</f>
        <v>396915.79213384492</v>
      </c>
      <c r="E453" s="2">
        <f t="shared" si="221"/>
        <v>244957.28558693401</v>
      </c>
      <c r="F453" s="2">
        <f t="shared" si="221"/>
        <v>0</v>
      </c>
      <c r="G453" s="2">
        <f t="shared" si="221"/>
        <v>5278.0149767060211</v>
      </c>
      <c r="H453" s="2">
        <f t="shared" si="221"/>
        <v>54917.99601840094</v>
      </c>
      <c r="I453" s="2">
        <f t="shared" si="221"/>
        <v>0</v>
      </c>
      <c r="J453" s="2"/>
      <c r="K453" s="71" t="str">
        <f>C$1&amp;$A$53&amp;"*"&amp;A454</f>
        <v>C503*904</v>
      </c>
    </row>
    <row r="454" spans="1:11">
      <c r="A454" s="50">
        <f t="shared" ref="A454:A517" si="222">Pg1Row+ROW(A454)</f>
        <v>904</v>
      </c>
      <c r="B454" t="s">
        <v>162</v>
      </c>
      <c r="C454" s="2">
        <f>SUM(D454:I454)</f>
        <v>8754660.0885059163</v>
      </c>
      <c r="D454" s="2">
        <f t="shared" ref="D454:I454" si="223">$C$49*D$399</f>
        <v>4949459.9601978697</v>
      </c>
      <c r="E454" s="2">
        <f t="shared" si="223"/>
        <v>3054567.9990541828</v>
      </c>
      <c r="F454" s="2">
        <f t="shared" si="223"/>
        <v>0</v>
      </c>
      <c r="G454" s="2">
        <f t="shared" si="223"/>
        <v>65815.783383398448</v>
      </c>
      <c r="H454" s="2">
        <f t="shared" si="223"/>
        <v>684816.3458704669</v>
      </c>
      <c r="I454" s="2">
        <f t="shared" si="223"/>
        <v>0</v>
      </c>
      <c r="J454" s="2"/>
      <c r="K454" s="71" t="str">
        <f>C$1&amp;$A$49&amp;"*"&amp;A$399</f>
        <v>C499*849</v>
      </c>
    </row>
    <row r="455" spans="1:11">
      <c r="A455" s="50">
        <f t="shared" si="222"/>
        <v>905</v>
      </c>
      <c r="B455" t="s">
        <v>161</v>
      </c>
      <c r="C455" s="2">
        <f>SUM(D455:I455)</f>
        <v>93874.262787793879</v>
      </c>
      <c r="D455" s="2">
        <f t="shared" ref="D455:I455" si="224">SUM(D452:D454)*$C$93</f>
        <v>53071.95256744371</v>
      </c>
      <c r="E455" s="2">
        <f t="shared" si="224"/>
        <v>32753.449722493388</v>
      </c>
      <c r="F455" s="2">
        <f t="shared" si="224"/>
        <v>0</v>
      </c>
      <c r="G455" s="2">
        <f t="shared" si="224"/>
        <v>705.72793032014545</v>
      </c>
      <c r="H455" s="2">
        <f t="shared" si="224"/>
        <v>7343.1325675366306</v>
      </c>
      <c r="I455" s="2">
        <f t="shared" si="224"/>
        <v>0</v>
      </c>
      <c r="J455" s="2"/>
      <c r="K455" s="71" t="str">
        <f>A452&amp;":"&amp;A454&amp;"*"&amp;C$1&amp;$A$93</f>
        <v>902:904*C543</v>
      </c>
    </row>
    <row r="456" spans="1:11">
      <c r="A456" s="50">
        <f t="shared" si="222"/>
        <v>906</v>
      </c>
      <c r="B456" s="28" t="s">
        <v>195</v>
      </c>
      <c r="C456" s="4">
        <f>IF(ROUND(SUM(C452:C455),3)&lt;&gt;ROUND(SUM(D456:I456),3),#VALUE!,SUM(C452:C455))</f>
        <v>27184758.170599628</v>
      </c>
      <c r="D456" s="4">
        <f t="shared" ref="D456:I456" si="225">SUM(D452:D455)</f>
        <v>15368943.023807017</v>
      </c>
      <c r="E456" s="4">
        <f t="shared" si="225"/>
        <v>9484970.4649254624</v>
      </c>
      <c r="F456" s="4">
        <f t="shared" si="225"/>
        <v>0</v>
      </c>
      <c r="G456" s="4">
        <f t="shared" si="225"/>
        <v>204369.57426083245</v>
      </c>
      <c r="H456" s="4">
        <f t="shared" si="225"/>
        <v>2126475.1076063169</v>
      </c>
      <c r="I456" s="4">
        <f t="shared" si="225"/>
        <v>0</v>
      </c>
      <c r="J456" s="5"/>
      <c r="K456" s="71" t="str">
        <f>A452&amp;":"&amp;A455</f>
        <v>902:905</v>
      </c>
    </row>
    <row r="457" spans="1:11">
      <c r="A457" s="50">
        <f t="shared" si="222"/>
        <v>907</v>
      </c>
      <c r="B457" s="28"/>
      <c r="C457" s="2"/>
      <c r="D457" s="2"/>
      <c r="E457" s="2"/>
      <c r="F457" s="2"/>
      <c r="G457" s="2"/>
      <c r="H457" s="2"/>
      <c r="I457" s="2"/>
      <c r="J457" s="2"/>
      <c r="K457" s="71"/>
    </row>
    <row r="458" spans="1:11">
      <c r="A458" s="50">
        <f t="shared" si="222"/>
        <v>908</v>
      </c>
      <c r="B458" s="30" t="str">
        <f>"Line "&amp;A206</f>
        <v>Line 656</v>
      </c>
      <c r="K458" s="71"/>
    </row>
    <row r="459" spans="1:11">
      <c r="A459" s="50">
        <f t="shared" si="222"/>
        <v>909</v>
      </c>
      <c r="B459" t="s">
        <v>208</v>
      </c>
      <c r="C459" s="2">
        <f>SUM(D459:I459)</f>
        <v>56542342.265282027</v>
      </c>
      <c r="D459" s="2">
        <f t="shared" ref="D459:I459" si="226">D$424</f>
        <v>53873827.220578961</v>
      </c>
      <c r="E459" s="2">
        <f t="shared" si="226"/>
        <v>2516960.2275363766</v>
      </c>
      <c r="F459" s="2">
        <f t="shared" si="226"/>
        <v>0</v>
      </c>
      <c r="G459" s="2">
        <f t="shared" si="226"/>
        <v>14650.419409618256</v>
      </c>
      <c r="H459" s="2">
        <f t="shared" si="226"/>
        <v>136904.39775707622</v>
      </c>
      <c r="I459" s="2">
        <f t="shared" si="226"/>
        <v>0</v>
      </c>
      <c r="J459" s="2"/>
      <c r="K459" s="71">
        <f>A$424</f>
        <v>874</v>
      </c>
    </row>
    <row r="460" spans="1:11">
      <c r="A460" s="50">
        <f t="shared" si="222"/>
        <v>910</v>
      </c>
      <c r="B460" t="s">
        <v>142</v>
      </c>
      <c r="C460" s="2">
        <f>SUM(D460:I460)</f>
        <v>1237208.5879355934</v>
      </c>
      <c r="D460" s="2">
        <f t="shared" ref="D460:I460" si="227">$C$53*D461</f>
        <v>1161073.7974204673</v>
      </c>
      <c r="E460" s="2">
        <f t="shared" si="227"/>
        <v>71156.920504648457</v>
      </c>
      <c r="F460" s="2">
        <f t="shared" si="227"/>
        <v>0</v>
      </c>
      <c r="G460" s="2">
        <f t="shared" si="227"/>
        <v>472.58756433448207</v>
      </c>
      <c r="H460" s="2">
        <f t="shared" si="227"/>
        <v>4505.2824461432347</v>
      </c>
      <c r="I460" s="2">
        <f t="shared" si="227"/>
        <v>0</v>
      </c>
      <c r="J460" s="2"/>
      <c r="K460" s="71" t="str">
        <f>C$1&amp;$A$53&amp;"*"&amp;A461</f>
        <v>C503*911</v>
      </c>
    </row>
    <row r="461" spans="1:11">
      <c r="A461" s="50">
        <f t="shared" si="222"/>
        <v>911</v>
      </c>
      <c r="B461" t="s">
        <v>162</v>
      </c>
      <c r="C461" s="2">
        <f>SUM(D461:I461)</f>
        <v>15427741.827755848</v>
      </c>
      <c r="D461" s="2">
        <f t="shared" ref="D461:I461" si="228">$C$49*D$400</f>
        <v>14478356.329116885</v>
      </c>
      <c r="E461" s="2">
        <f t="shared" si="228"/>
        <v>887312.46251340408</v>
      </c>
      <c r="F461" s="2">
        <f t="shared" si="228"/>
        <v>0</v>
      </c>
      <c r="G461" s="2">
        <f t="shared" si="228"/>
        <v>5893.0717137407228</v>
      </c>
      <c r="H461" s="2">
        <f t="shared" si="228"/>
        <v>56179.96441181875</v>
      </c>
      <c r="I461" s="2">
        <f t="shared" si="228"/>
        <v>0</v>
      </c>
      <c r="J461" s="2"/>
      <c r="K461" s="71" t="str">
        <f>C$1&amp;$A$49&amp;"*"&amp;A$400</f>
        <v>C499*850</v>
      </c>
    </row>
    <row r="462" spans="1:11">
      <c r="A462" s="50">
        <f t="shared" si="222"/>
        <v>912</v>
      </c>
      <c r="B462" t="s">
        <v>161</v>
      </c>
      <c r="C462" s="2">
        <f>SUM(D462:I462)</f>
        <v>253675.0242074964</v>
      </c>
      <c r="D462" s="2">
        <f t="shared" ref="D462:I462" si="229">SUM(D459:D461)*$C$93</f>
        <v>240874.59861570137</v>
      </c>
      <c r="E462" s="2">
        <f t="shared" si="229"/>
        <v>12042.921658513669</v>
      </c>
      <c r="F462" s="2">
        <f t="shared" si="229"/>
        <v>0</v>
      </c>
      <c r="G462" s="2">
        <f t="shared" si="229"/>
        <v>72.824087254258998</v>
      </c>
      <c r="H462" s="2">
        <f t="shared" si="229"/>
        <v>684.67984602710919</v>
      </c>
      <c r="I462" s="2">
        <f t="shared" si="229"/>
        <v>0</v>
      </c>
      <c r="J462" s="2"/>
      <c r="K462" s="71" t="str">
        <f>A459&amp;":"&amp;A461&amp;"*"&amp;C$1&amp;$A$93</f>
        <v>909:911*C543</v>
      </c>
    </row>
    <row r="463" spans="1:11">
      <c r="A463" s="50">
        <f t="shared" si="222"/>
        <v>913</v>
      </c>
      <c r="B463" s="28" t="s">
        <v>196</v>
      </c>
      <c r="C463" s="4">
        <f>IF(ROUND(SUM(C459:C462),3)&lt;&gt;ROUND(SUM(D463:I463),3),#VALUE!,SUM(C459:C462))</f>
        <v>73460967.705180973</v>
      </c>
      <c r="D463" s="4">
        <f t="shared" ref="D463:I463" si="230">SUM(D459:D462)</f>
        <v>69754131.945732012</v>
      </c>
      <c r="E463" s="4">
        <f t="shared" si="230"/>
        <v>3487472.5322129424</v>
      </c>
      <c r="F463" s="4">
        <f t="shared" si="230"/>
        <v>0</v>
      </c>
      <c r="G463" s="4">
        <f t="shared" si="230"/>
        <v>21088.902774947721</v>
      </c>
      <c r="H463" s="4">
        <f t="shared" si="230"/>
        <v>198274.32446106532</v>
      </c>
      <c r="I463" s="4">
        <f t="shared" si="230"/>
        <v>0</v>
      </c>
      <c r="J463" s="5"/>
      <c r="K463" s="71" t="str">
        <f>A459&amp;":"&amp;A462</f>
        <v>909:912</v>
      </c>
    </row>
    <row r="464" spans="1:11">
      <c r="A464" s="50">
        <f t="shared" si="222"/>
        <v>914</v>
      </c>
      <c r="B464" s="28"/>
      <c r="C464" s="2"/>
      <c r="D464" s="2"/>
      <c r="E464" s="2"/>
      <c r="F464" s="2"/>
      <c r="G464" s="2"/>
      <c r="H464" s="2"/>
      <c r="I464" s="2"/>
      <c r="J464" s="2"/>
      <c r="K464" s="71"/>
    </row>
    <row r="465" spans="1:12">
      <c r="A465" s="50">
        <f t="shared" si="222"/>
        <v>915</v>
      </c>
      <c r="B465" s="30" t="s">
        <v>120</v>
      </c>
      <c r="C465" s="2"/>
      <c r="K465" s="71"/>
    </row>
    <row r="466" spans="1:12">
      <c r="A466" s="50">
        <f t="shared" si="222"/>
        <v>916</v>
      </c>
      <c r="B466" t="s">
        <v>206</v>
      </c>
      <c r="C466" s="2">
        <f>SUM(D466:I466)</f>
        <v>90765256</v>
      </c>
      <c r="D466" s="2">
        <f t="shared" ref="D466:I466" si="231">D445+D452+D459</f>
        <v>74035432.26918152</v>
      </c>
      <c r="E466" s="2">
        <f t="shared" si="231"/>
        <v>13302903.186216965</v>
      </c>
      <c r="F466" s="2">
        <f t="shared" si="231"/>
        <v>0</v>
      </c>
      <c r="G466" s="2">
        <f t="shared" si="231"/>
        <v>322550.89611189649</v>
      </c>
      <c r="H466" s="2">
        <f t="shared" si="231"/>
        <v>3104369.6484896201</v>
      </c>
      <c r="I466" s="2">
        <f t="shared" si="231"/>
        <v>0</v>
      </c>
      <c r="J466" s="2"/>
      <c r="K466" s="71" t="str">
        <f>A445&amp;"+"&amp;A452&amp;"+"&amp;A459</f>
        <v>895+902+909</v>
      </c>
    </row>
    <row r="467" spans="1:12">
      <c r="A467" s="50">
        <f t="shared" si="222"/>
        <v>917</v>
      </c>
      <c r="B467" t="s">
        <v>142</v>
      </c>
      <c r="C467" s="2">
        <f>SUM(D467:I467)</f>
        <v>2584603.5585342702</v>
      </c>
      <c r="D467" s="2">
        <f t="shared" ref="D467:I467" si="232">$C$53*D468</f>
        <v>1957300.005549124</v>
      </c>
      <c r="E467" s="2">
        <f t="shared" si="232"/>
        <v>493537.3193202847</v>
      </c>
      <c r="F467" s="2">
        <f t="shared" si="232"/>
        <v>0</v>
      </c>
      <c r="G467" s="2">
        <f t="shared" si="232"/>
        <v>12265.885407495958</v>
      </c>
      <c r="H467" s="2">
        <f t="shared" si="232"/>
        <v>121500.34825736555</v>
      </c>
      <c r="I467" s="2">
        <f t="shared" si="232"/>
        <v>0</v>
      </c>
      <c r="J467" s="2"/>
      <c r="K467" s="71" t="str">
        <f>C$1&amp;$A$53&amp;"*"&amp;A468</f>
        <v>C503*918</v>
      </c>
    </row>
    <row r="468" spans="1:12">
      <c r="A468" s="50">
        <f t="shared" si="222"/>
        <v>918</v>
      </c>
      <c r="B468" t="s">
        <v>162</v>
      </c>
      <c r="C468" s="2">
        <f>SUM(D468:I468)</f>
        <v>32229485.647768203</v>
      </c>
      <c r="D468" s="2">
        <f t="shared" ref="D468:I469" si="233">D447+D454+D461</f>
        <v>24407136.726607457</v>
      </c>
      <c r="E468" s="2">
        <f t="shared" si="233"/>
        <v>6154310.9376091957</v>
      </c>
      <c r="F468" s="2">
        <f t="shared" si="233"/>
        <v>0</v>
      </c>
      <c r="G468" s="2">
        <f t="shared" si="233"/>
        <v>152953.11978996437</v>
      </c>
      <c r="H468" s="2">
        <f t="shared" si="233"/>
        <v>1515084.8637615845</v>
      </c>
      <c r="I468" s="2">
        <f t="shared" si="233"/>
        <v>0</v>
      </c>
      <c r="J468" s="2"/>
      <c r="K468" s="71" t="str">
        <f>A447&amp;"+"&amp;A454&amp;"+"&amp;A461</f>
        <v>897+904+911</v>
      </c>
    </row>
    <row r="469" spans="1:12">
      <c r="A469" s="50">
        <f t="shared" si="222"/>
        <v>919</v>
      </c>
      <c r="B469" t="s">
        <v>161</v>
      </c>
      <c r="C469" s="2">
        <f>SUM(D469:I469)</f>
        <v>435152.59571195382</v>
      </c>
      <c r="D469" s="2">
        <f t="shared" si="233"/>
        <v>347901.66753377661</v>
      </c>
      <c r="E469" s="2">
        <f t="shared" si="233"/>
        <v>69132.557289791308</v>
      </c>
      <c r="F469" s="2">
        <f t="shared" si="233"/>
        <v>0</v>
      </c>
      <c r="G469" s="2">
        <f t="shared" si="233"/>
        <v>1690.2010304022333</v>
      </c>
      <c r="H469" s="2">
        <f t="shared" si="233"/>
        <v>16428.169857983703</v>
      </c>
      <c r="I469" s="2">
        <f t="shared" si="233"/>
        <v>0</v>
      </c>
      <c r="J469" s="2"/>
      <c r="K469" s="71" t="str">
        <f>A448&amp;"+"&amp;A455&amp;"+"&amp;A462</f>
        <v>898+905+912</v>
      </c>
    </row>
    <row r="470" spans="1:12">
      <c r="A470" s="50">
        <f t="shared" si="222"/>
        <v>920</v>
      </c>
      <c r="B470" s="28" t="s">
        <v>207</v>
      </c>
      <c r="C470" s="4">
        <f>IF(ROUND(SUM(C466:C469),3)&lt;&gt;ROUND(SUM(D470:I470),3),#VALUE!,SUM(C466:C469))</f>
        <v>126014497.80201441</v>
      </c>
      <c r="D470" s="4">
        <f t="shared" ref="D470:I470" si="234">SUM(D466:D469)</f>
        <v>100747770.66887186</v>
      </c>
      <c r="E470" s="4">
        <f t="shared" si="234"/>
        <v>20019884.000436235</v>
      </c>
      <c r="F470" s="4">
        <f t="shared" si="234"/>
        <v>0</v>
      </c>
      <c r="G470" s="4">
        <f t="shared" si="234"/>
        <v>489460.102339759</v>
      </c>
      <c r="H470" s="4">
        <f t="shared" si="234"/>
        <v>4757383.0303665539</v>
      </c>
      <c r="I470" s="4">
        <f t="shared" si="234"/>
        <v>0</v>
      </c>
      <c r="J470" s="5"/>
      <c r="K470" s="71" t="str">
        <f>A466&amp;":"&amp;A469</f>
        <v>916:919</v>
      </c>
    </row>
    <row r="471" spans="1:12">
      <c r="A471" s="50">
        <f t="shared" si="222"/>
        <v>921</v>
      </c>
      <c r="K471" s="71"/>
    </row>
    <row r="472" spans="1:12">
      <c r="A472" s="50">
        <f t="shared" si="222"/>
        <v>922</v>
      </c>
      <c r="K472" s="71"/>
    </row>
    <row r="473" spans="1:12">
      <c r="A473" s="50">
        <f t="shared" si="222"/>
        <v>923</v>
      </c>
      <c r="B473" s="30" t="s">
        <v>188</v>
      </c>
      <c r="K473" s="71"/>
    </row>
    <row r="474" spans="1:12">
      <c r="A474" s="50">
        <f t="shared" si="222"/>
        <v>924</v>
      </c>
      <c r="B474" s="30" t="str">
        <f>"Line "&amp;A224</f>
        <v>Line 674</v>
      </c>
      <c r="K474" s="71"/>
    </row>
    <row r="475" spans="1:12">
      <c r="A475" s="50">
        <f t="shared" si="222"/>
        <v>925</v>
      </c>
      <c r="B475" t="s">
        <v>204</v>
      </c>
      <c r="C475" s="2">
        <f>SUM(D475:I475)</f>
        <v>16588759.004127935</v>
      </c>
      <c r="D475" s="2">
        <f>D$406-D$60*Detail!AT$42</f>
        <v>10192109.729694698</v>
      </c>
      <c r="E475" s="2">
        <f>E$406-E$60*Detail!AU$42</f>
        <v>4633251.2281187354</v>
      </c>
      <c r="F475" s="2">
        <f>F$406-F$60*Detail!AV$42</f>
        <v>0</v>
      </c>
      <c r="G475" s="2">
        <f>G$406-G$60*Detail!AW$42</f>
        <v>175330.42873187043</v>
      </c>
      <c r="H475" s="2">
        <f>H$406-H$60*Detail!AX$42</f>
        <v>1588067.6175826311</v>
      </c>
      <c r="I475" s="2">
        <f>I$406-I$60*Detail!AY$42</f>
        <v>0</v>
      </c>
      <c r="J475" s="2"/>
      <c r="K475" s="71" t="str">
        <f>A$406&amp;"-"&amp;A$60&amp;"*"&amp;Detail!AY$1&amp;Detail!$A42</f>
        <v>856-510*AY42</v>
      </c>
    </row>
    <row r="476" spans="1:12">
      <c r="A476" s="50">
        <f t="shared" si="222"/>
        <v>926</v>
      </c>
      <c r="B476" t="s">
        <v>142</v>
      </c>
      <c r="C476" s="2">
        <f>SUM(D476:I476)</f>
        <v>1569074.1817411794</v>
      </c>
      <c r="D476" s="2">
        <f t="shared" ref="D476:I476" si="235">D$100*D477</f>
        <v>855012.64503526781</v>
      </c>
      <c r="E476" s="2">
        <f t="shared" si="235"/>
        <v>640508.39648041932</v>
      </c>
      <c r="F476" s="2">
        <f t="shared" si="235"/>
        <v>0</v>
      </c>
      <c r="G476" s="2">
        <f t="shared" si="235"/>
        <v>28675.31692581738</v>
      </c>
      <c r="H476" s="2">
        <f t="shared" si="235"/>
        <v>44877.823299675081</v>
      </c>
      <c r="I476" s="2">
        <f t="shared" si="235"/>
        <v>0</v>
      </c>
      <c r="J476" s="2"/>
      <c r="K476" s="71" t="str">
        <f>A$100&amp;"*"&amp;A477</f>
        <v>550*927</v>
      </c>
      <c r="L476" s="49"/>
    </row>
    <row r="477" spans="1:12">
      <c r="A477" s="50">
        <f t="shared" si="222"/>
        <v>927</v>
      </c>
      <c r="B477" t="s">
        <v>162</v>
      </c>
      <c r="C477" s="2">
        <f>SUM(D477:I477)</f>
        <v>11595213.402063847</v>
      </c>
      <c r="D477" s="2">
        <f t="shared" ref="D477:I477" si="236">D$83*D$398</f>
        <v>6537585.686970219</v>
      </c>
      <c r="E477" s="2">
        <f t="shared" si="236"/>
        <v>4337767.8497360535</v>
      </c>
      <c r="F477" s="2">
        <f t="shared" si="236"/>
        <v>0</v>
      </c>
      <c r="G477" s="2">
        <f t="shared" si="236"/>
        <v>187634.09767127282</v>
      </c>
      <c r="H477" s="2">
        <f t="shared" si="236"/>
        <v>532225.76768630208</v>
      </c>
      <c r="I477" s="2">
        <f t="shared" si="236"/>
        <v>0</v>
      </c>
      <c r="J477" s="2"/>
      <c r="K477" s="71" t="str">
        <f>A83&amp;"*"&amp;A$398</f>
        <v>533*848</v>
      </c>
    </row>
    <row r="478" spans="1:12">
      <c r="A478" s="50">
        <f t="shared" si="222"/>
        <v>928</v>
      </c>
      <c r="B478" t="s">
        <v>161</v>
      </c>
      <c r="C478" s="2">
        <f>SUM(D478:I478)</f>
        <v>263254.38853171119</v>
      </c>
      <c r="D478" s="2">
        <f t="shared" ref="D478:I478" si="237">SUM(D475:D477)*D$97</f>
        <v>155589.16141949091</v>
      </c>
      <c r="E478" s="2">
        <f t="shared" si="237"/>
        <v>85042.611708142533</v>
      </c>
      <c r="F478" s="2">
        <f t="shared" si="237"/>
        <v>0</v>
      </c>
      <c r="G478" s="2">
        <f t="shared" si="237"/>
        <v>3465.2218614155513</v>
      </c>
      <c r="H478" s="2">
        <f t="shared" si="237"/>
        <v>19157.393542662219</v>
      </c>
      <c r="I478" s="2">
        <f t="shared" si="237"/>
        <v>0</v>
      </c>
      <c r="J478" s="2"/>
      <c r="K478" s="71" t="str">
        <f>A475&amp;":"&amp;A477&amp;"*"&amp;A$97</f>
        <v>925:927*547</v>
      </c>
    </row>
    <row r="479" spans="1:12">
      <c r="A479" s="50">
        <f t="shared" si="222"/>
        <v>929</v>
      </c>
      <c r="B479" s="28" t="s">
        <v>194</v>
      </c>
      <c r="C479" s="4">
        <f>IF(ROUND(SUM(C475:C478),3)&lt;&gt;ROUND(SUM(D479:I479),3),#VALUE!,SUM(C475:C478))</f>
        <v>30016300.97646467</v>
      </c>
      <c r="D479" s="4">
        <f t="shared" ref="D479:I479" si="238">SUM(D475:D478)</f>
        <v>17740297.223119676</v>
      </c>
      <c r="E479" s="4">
        <f t="shared" si="238"/>
        <v>9696570.0860433504</v>
      </c>
      <c r="F479" s="4">
        <f t="shared" si="238"/>
        <v>0</v>
      </c>
      <c r="G479" s="4">
        <f t="shared" si="238"/>
        <v>395105.06519037613</v>
      </c>
      <c r="H479" s="4">
        <f t="shared" si="238"/>
        <v>2184328.6021112707</v>
      </c>
      <c r="I479" s="4">
        <f t="shared" si="238"/>
        <v>0</v>
      </c>
      <c r="J479" s="5"/>
      <c r="K479" s="71" t="str">
        <f>A475&amp;":"&amp;A478</f>
        <v>925:928</v>
      </c>
    </row>
    <row r="480" spans="1:12">
      <c r="A480" s="50">
        <f t="shared" si="222"/>
        <v>930</v>
      </c>
      <c r="C480" s="2"/>
      <c r="D480" s="2"/>
      <c r="E480" s="2"/>
      <c r="F480" s="2"/>
      <c r="G480" s="2"/>
      <c r="H480" s="2"/>
      <c r="I480" s="2"/>
      <c r="J480" s="2"/>
      <c r="K480" s="71"/>
    </row>
    <row r="481" spans="1:11">
      <c r="A481" s="50">
        <f t="shared" si="222"/>
        <v>931</v>
      </c>
      <c r="B481" s="30" t="str">
        <f>"Line "&amp;A225</f>
        <v>Line 675</v>
      </c>
      <c r="K481" s="71"/>
    </row>
    <row r="482" spans="1:11">
      <c r="A482" s="50">
        <f t="shared" si="222"/>
        <v>932</v>
      </c>
      <c r="B482" t="s">
        <v>205</v>
      </c>
      <c r="C482" s="2">
        <f>SUM(D482:I482)</f>
        <v>17634154.730590034</v>
      </c>
      <c r="D482" s="2">
        <f>D$415-D$60*Detail!BB$42</f>
        <v>9969495.3189078588</v>
      </c>
      <c r="E482" s="2">
        <f>E$415-E$60*Detail!BC$42</f>
        <v>6152691.7305618534</v>
      </c>
      <c r="F482" s="2">
        <f>F$415-F$60*Detail!BD$42</f>
        <v>0</v>
      </c>
      <c r="G482" s="2">
        <f>G$415-G$60*Detail!BE$42</f>
        <v>132570.04797040785</v>
      </c>
      <c r="H482" s="2">
        <f>H$415-H$60*Detail!BF$42</f>
        <v>1379397.6331499126</v>
      </c>
      <c r="I482" s="2">
        <f>I$415-I$60*Detail!BG$42</f>
        <v>0</v>
      </c>
      <c r="J482" s="2"/>
      <c r="K482" s="71" t="str">
        <f>A$415&amp;"-"&amp;A$60&amp;"*"&amp;Detail!BG$1&amp;Detail!$A42</f>
        <v>865-510*BG42</v>
      </c>
    </row>
    <row r="483" spans="1:11">
      <c r="A483" s="50">
        <f t="shared" si="222"/>
        <v>933</v>
      </c>
      <c r="B483" t="s">
        <v>142</v>
      </c>
      <c r="C483" s="2">
        <f>SUM(D483:I483)</f>
        <v>1797128.2187683973</v>
      </c>
      <c r="D483" s="2">
        <f t="shared" ref="D483:I483" si="239">D$100*D484</f>
        <v>849885.22135880566</v>
      </c>
      <c r="E483" s="2">
        <f t="shared" si="239"/>
        <v>884310.92963203357</v>
      </c>
      <c r="F483" s="2">
        <f t="shared" si="239"/>
        <v>0</v>
      </c>
      <c r="G483" s="2">
        <f t="shared" si="239"/>
        <v>23229.805259183609</v>
      </c>
      <c r="H483" s="2">
        <f t="shared" si="239"/>
        <v>39702.262518374613</v>
      </c>
      <c r="I483" s="2">
        <f t="shared" si="239"/>
        <v>0</v>
      </c>
      <c r="J483" s="2"/>
      <c r="K483" s="71" t="str">
        <f>A$100&amp;"*"&amp;A484</f>
        <v>550*934</v>
      </c>
    </row>
    <row r="484" spans="1:11">
      <c r="A484" s="50">
        <f t="shared" si="222"/>
        <v>934</v>
      </c>
      <c r="B484" t="s">
        <v>162</v>
      </c>
      <c r="C484" s="2">
        <f>SUM(D484:I484)</f>
        <v>13110120.764644869</v>
      </c>
      <c r="D484" s="2">
        <f t="shared" ref="D484:I484" si="240">D$83*D$399</f>
        <v>6498380.4520150227</v>
      </c>
      <c r="E484" s="2">
        <f t="shared" si="240"/>
        <v>5988891.8565414986</v>
      </c>
      <c r="F484" s="2">
        <f t="shared" si="240"/>
        <v>0</v>
      </c>
      <c r="G484" s="2">
        <f t="shared" si="240"/>
        <v>152001.93114385469</v>
      </c>
      <c r="H484" s="2">
        <f t="shared" si="240"/>
        <v>470846.52494449331</v>
      </c>
      <c r="I484" s="2">
        <f t="shared" si="240"/>
        <v>0</v>
      </c>
      <c r="J484" s="2"/>
      <c r="K484" s="71" t="str">
        <f>A83&amp;"*"&amp;A$399</f>
        <v>533*849</v>
      </c>
    </row>
    <row r="485" spans="1:11">
      <c r="A485" s="50">
        <f t="shared" si="222"/>
        <v>935</v>
      </c>
      <c r="B485" t="s">
        <v>161</v>
      </c>
      <c r="C485" s="2">
        <f>SUM(D485:I485)</f>
        <v>287925.71918224689</v>
      </c>
      <c r="D485" s="2">
        <f t="shared" ref="D485:I485" si="241">SUM(D482:D484)*D$97</f>
        <v>153227.2188425381</v>
      </c>
      <c r="E485" s="2">
        <f t="shared" si="241"/>
        <v>115252.86615430181</v>
      </c>
      <c r="F485" s="2">
        <f t="shared" si="241"/>
        <v>0</v>
      </c>
      <c r="G485" s="2">
        <f t="shared" si="241"/>
        <v>2723.4243153796838</v>
      </c>
      <c r="H485" s="2">
        <f t="shared" si="241"/>
        <v>16722.209870027269</v>
      </c>
      <c r="I485" s="2">
        <f t="shared" si="241"/>
        <v>0</v>
      </c>
      <c r="J485" s="2"/>
      <c r="K485" s="71" t="str">
        <f>A482&amp;":"&amp;A484&amp;"*"&amp;A$97</f>
        <v>932:934*547</v>
      </c>
    </row>
    <row r="486" spans="1:11">
      <c r="A486" s="50">
        <f t="shared" si="222"/>
        <v>936</v>
      </c>
      <c r="B486" s="28" t="s">
        <v>195</v>
      </c>
      <c r="C486" s="4">
        <f>IF(ROUND(SUM(C482:C485),3)&lt;&gt;ROUND(SUM(D486:I486),3),#VALUE!,SUM(C482:C485))</f>
        <v>32829329.433185548</v>
      </c>
      <c r="D486" s="4">
        <f t="shared" ref="D486:I486" si="242">SUM(D482:D485)</f>
        <v>17470988.211124226</v>
      </c>
      <c r="E486" s="4">
        <f t="shared" si="242"/>
        <v>13141147.382889688</v>
      </c>
      <c r="F486" s="4">
        <f t="shared" si="242"/>
        <v>0</v>
      </c>
      <c r="G486" s="4">
        <f t="shared" si="242"/>
        <v>310525.20868882583</v>
      </c>
      <c r="H486" s="4">
        <f t="shared" si="242"/>
        <v>1906668.630482808</v>
      </c>
      <c r="I486" s="4">
        <f t="shared" si="242"/>
        <v>0</v>
      </c>
      <c r="J486" s="5"/>
      <c r="K486" s="71" t="str">
        <f>A482&amp;":"&amp;A485</f>
        <v>932:935</v>
      </c>
    </row>
    <row r="487" spans="1:11">
      <c r="A487" s="50">
        <f t="shared" si="222"/>
        <v>937</v>
      </c>
      <c r="B487" s="28"/>
      <c r="C487" s="2"/>
      <c r="D487" s="2"/>
      <c r="E487" s="2"/>
      <c r="F487" s="2"/>
      <c r="G487" s="2"/>
      <c r="H487" s="2"/>
      <c r="I487" s="2"/>
      <c r="J487" s="2"/>
      <c r="K487" s="71"/>
    </row>
    <row r="488" spans="1:11">
      <c r="A488" s="50">
        <f t="shared" si="222"/>
        <v>938</v>
      </c>
      <c r="B488" s="30" t="str">
        <f>"Line "&amp;A226</f>
        <v>Line 676</v>
      </c>
      <c r="K488" s="71"/>
    </row>
    <row r="489" spans="1:11">
      <c r="A489" s="50">
        <f t="shared" si="222"/>
        <v>939</v>
      </c>
      <c r="B489" t="s">
        <v>208</v>
      </c>
      <c r="C489" s="2">
        <f>SUM(D489:I489)</f>
        <v>56542342.265282027</v>
      </c>
      <c r="D489" s="2">
        <f>D$424-D$60*Detail!BJ$42</f>
        <v>53873827.220578961</v>
      </c>
      <c r="E489" s="2">
        <f>E$424-E$60*Detail!BK$42</f>
        <v>2516960.2275363766</v>
      </c>
      <c r="F489" s="2">
        <f>F$424-F$60*Detail!BL$42</f>
        <v>0</v>
      </c>
      <c r="G489" s="2">
        <f>G$424-G$60*Detail!BM$42</f>
        <v>14650.419409618256</v>
      </c>
      <c r="H489" s="2">
        <f>H$424-H$60*Detail!BN$42</f>
        <v>136904.39775707622</v>
      </c>
      <c r="I489" s="2">
        <f>I$424-I$60*Detail!BO$42</f>
        <v>0</v>
      </c>
      <c r="J489" s="2"/>
      <c r="K489" s="71" t="str">
        <f>A$424&amp;"-"&amp;A$60&amp;"*"&amp;Detail!BO$1&amp;Detail!$A42</f>
        <v>874-510*BO42</v>
      </c>
    </row>
    <row r="490" spans="1:11">
      <c r="A490" s="50">
        <f t="shared" si="222"/>
        <v>940</v>
      </c>
      <c r="B490" t="s">
        <v>142</v>
      </c>
      <c r="C490" s="2">
        <f>SUM(D490:I490)</f>
        <v>2748335.7992159245</v>
      </c>
      <c r="D490" s="2">
        <f t="shared" ref="D490:I490" si="243">D$100*D491</f>
        <v>2486117.9144060076</v>
      </c>
      <c r="E490" s="2">
        <f t="shared" si="243"/>
        <v>256880.8777026014</v>
      </c>
      <c r="F490" s="2">
        <f t="shared" si="243"/>
        <v>0</v>
      </c>
      <c r="G490" s="2">
        <f t="shared" si="243"/>
        <v>2079.9708102104146</v>
      </c>
      <c r="H490" s="2">
        <f t="shared" si="243"/>
        <v>3257.0362971050713</v>
      </c>
      <c r="I490" s="2">
        <f t="shared" si="243"/>
        <v>0</v>
      </c>
      <c r="J490" s="2"/>
      <c r="K490" s="71" t="str">
        <f>A$100&amp;"*"&amp;A491</f>
        <v>550*941</v>
      </c>
    </row>
    <row r="491" spans="1:11">
      <c r="A491" s="50">
        <f t="shared" si="222"/>
        <v>941</v>
      </c>
      <c r="B491" t="s">
        <v>162</v>
      </c>
      <c r="C491" s="2">
        <f>SUM(D491:I491)</f>
        <v>20801252.168143217</v>
      </c>
      <c r="D491" s="2">
        <f t="shared" ref="D491:I491" si="244">D$83*D$400</f>
        <v>19009319.906222615</v>
      </c>
      <c r="E491" s="2">
        <f t="shared" si="244"/>
        <v>1739695.558455318</v>
      </c>
      <c r="F491" s="2">
        <f t="shared" si="244"/>
        <v>0</v>
      </c>
      <c r="G491" s="2">
        <f t="shared" si="244"/>
        <v>13610.08309571779</v>
      </c>
      <c r="H491" s="2">
        <f t="shared" si="244"/>
        <v>38626.620369563418</v>
      </c>
      <c r="I491" s="2">
        <f t="shared" si="244"/>
        <v>0</v>
      </c>
      <c r="J491" s="2"/>
      <c r="K491" s="71" t="str">
        <f>A83&amp;"*"&amp;A$400</f>
        <v>533*850</v>
      </c>
    </row>
    <row r="492" spans="1:11">
      <c r="A492" s="50">
        <f t="shared" si="222"/>
        <v>942</v>
      </c>
      <c r="B492" t="s">
        <v>161</v>
      </c>
      <c r="C492" s="2">
        <f>SUM(D492:I492)</f>
        <v>708651.87057078572</v>
      </c>
      <c r="D492" s="2">
        <f t="shared" ref="D492:I492" si="245">SUM(D489:D491)*D$97</f>
        <v>666865.81906387617</v>
      </c>
      <c r="E492" s="2">
        <f t="shared" si="245"/>
        <v>39935.686283575655</v>
      </c>
      <c r="F492" s="2">
        <f t="shared" si="245"/>
        <v>0</v>
      </c>
      <c r="G492" s="2">
        <f t="shared" si="245"/>
        <v>268.45192900972711</v>
      </c>
      <c r="H492" s="2">
        <f t="shared" si="245"/>
        <v>1581.9132943241591</v>
      </c>
      <c r="I492" s="2">
        <f t="shared" si="245"/>
        <v>0</v>
      </c>
      <c r="J492" s="2"/>
      <c r="K492" s="71" t="str">
        <f>A489&amp;":"&amp;A491&amp;"*"&amp;A$97</f>
        <v>939:941*547</v>
      </c>
    </row>
    <row r="493" spans="1:11">
      <c r="A493" s="50">
        <f t="shared" si="222"/>
        <v>943</v>
      </c>
      <c r="B493" s="28" t="s">
        <v>196</v>
      </c>
      <c r="C493" s="4">
        <f>IF(ROUND(SUM(C489:C492),3)&lt;&gt;ROUND(SUM(D493:I493),3),#VALUE!,SUM(C489:C492))</f>
        <v>80800582.103211954</v>
      </c>
      <c r="D493" s="4">
        <f t="shared" ref="D493:I493" si="246">SUM(D489:D492)</f>
        <v>76036130.860271454</v>
      </c>
      <c r="E493" s="4">
        <f t="shared" si="246"/>
        <v>4553472.3499778714</v>
      </c>
      <c r="F493" s="4">
        <f t="shared" si="246"/>
        <v>0</v>
      </c>
      <c r="G493" s="4">
        <f t="shared" si="246"/>
        <v>30608.925244556187</v>
      </c>
      <c r="H493" s="4">
        <f t="shared" si="246"/>
        <v>180369.96771806889</v>
      </c>
      <c r="I493" s="4">
        <f t="shared" si="246"/>
        <v>0</v>
      </c>
      <c r="J493" s="5"/>
      <c r="K493" s="71" t="str">
        <f>A489&amp;":"&amp;A492</f>
        <v>939:942</v>
      </c>
    </row>
    <row r="494" spans="1:11">
      <c r="A494" s="50">
        <f t="shared" si="222"/>
        <v>944</v>
      </c>
      <c r="B494" s="28"/>
      <c r="C494" s="2"/>
      <c r="D494" s="2"/>
      <c r="E494" s="2"/>
      <c r="F494" s="2"/>
      <c r="G494" s="2"/>
      <c r="H494" s="2"/>
      <c r="I494" s="2"/>
      <c r="J494" s="2"/>
      <c r="K494" s="71"/>
    </row>
    <row r="495" spans="1:11">
      <c r="A495" s="50">
        <f t="shared" si="222"/>
        <v>945</v>
      </c>
      <c r="B495" s="30" t="s">
        <v>120</v>
      </c>
      <c r="C495" s="2"/>
      <c r="K495" s="71"/>
    </row>
    <row r="496" spans="1:11">
      <c r="A496" s="50">
        <f t="shared" si="222"/>
        <v>946</v>
      </c>
      <c r="B496" t="s">
        <v>206</v>
      </c>
      <c r="C496" s="2">
        <f>SUM(D496:I496)</f>
        <v>90765256</v>
      </c>
      <c r="D496" s="2">
        <f t="shared" ref="D496:I496" si="247">D475+D482+D489</f>
        <v>74035432.26918152</v>
      </c>
      <c r="E496" s="2">
        <f t="shared" si="247"/>
        <v>13302903.186216965</v>
      </c>
      <c r="F496" s="2">
        <f t="shared" si="247"/>
        <v>0</v>
      </c>
      <c r="G496" s="2">
        <f t="shared" si="247"/>
        <v>322550.89611189649</v>
      </c>
      <c r="H496" s="2">
        <f t="shared" si="247"/>
        <v>3104369.6484896201</v>
      </c>
      <c r="I496" s="2">
        <f t="shared" si="247"/>
        <v>0</v>
      </c>
      <c r="J496" s="2"/>
      <c r="K496" s="71" t="str">
        <f>A475&amp;"+"&amp;A482&amp;"+"&amp;A489</f>
        <v>925+932+939</v>
      </c>
    </row>
    <row r="497" spans="1:12">
      <c r="A497" s="50">
        <f t="shared" si="222"/>
        <v>947</v>
      </c>
      <c r="B497" t="s">
        <v>142</v>
      </c>
      <c r="C497" s="2">
        <f>SUM(D497:I497)</f>
        <v>6114538.1997255022</v>
      </c>
      <c r="D497" s="2">
        <f t="shared" ref="D497:I497" si="248">D$100*D498</f>
        <v>4191015.7808000813</v>
      </c>
      <c r="E497" s="2">
        <f t="shared" si="248"/>
        <v>1781700.2038150544</v>
      </c>
      <c r="F497" s="2">
        <f t="shared" si="248"/>
        <v>0</v>
      </c>
      <c r="G497" s="2">
        <f t="shared" si="248"/>
        <v>53985.092995211402</v>
      </c>
      <c r="H497" s="2">
        <f t="shared" si="248"/>
        <v>87837.122115154765</v>
      </c>
      <c r="I497" s="2">
        <f t="shared" si="248"/>
        <v>0</v>
      </c>
      <c r="J497" s="2"/>
      <c r="K497" s="71" t="str">
        <f>A$100&amp;"*"&amp;A498</f>
        <v>550*948</v>
      </c>
    </row>
    <row r="498" spans="1:12">
      <c r="A498" s="50">
        <f t="shared" si="222"/>
        <v>948</v>
      </c>
      <c r="B498" t="s">
        <v>162</v>
      </c>
      <c r="C498" s="2">
        <f>SUM(D498:I498)</f>
        <v>45506586.334851928</v>
      </c>
      <c r="D498" s="2">
        <f t="shared" ref="D498:I498" si="249">D477+D484+D491</f>
        <v>32045286.045207858</v>
      </c>
      <c r="E498" s="2">
        <f t="shared" si="249"/>
        <v>12066355.264732871</v>
      </c>
      <c r="F498" s="2">
        <f t="shared" si="249"/>
        <v>0</v>
      </c>
      <c r="G498" s="2">
        <f t="shared" si="249"/>
        <v>353246.11191084527</v>
      </c>
      <c r="H498" s="2">
        <f t="shared" si="249"/>
        <v>1041698.9130003589</v>
      </c>
      <c r="I498" s="2">
        <f t="shared" si="249"/>
        <v>0</v>
      </c>
      <c r="J498" s="2"/>
      <c r="K498" s="71" t="str">
        <f>A477&amp;"+"&amp;A484&amp;"+"&amp;A491</f>
        <v>927+934+941</v>
      </c>
    </row>
    <row r="499" spans="1:12">
      <c r="A499" s="50">
        <f t="shared" si="222"/>
        <v>949</v>
      </c>
      <c r="B499" t="s">
        <v>161</v>
      </c>
      <c r="C499" s="2">
        <f>SUM(D499:I499)</f>
        <v>1259831.9782847438</v>
      </c>
      <c r="D499" s="2">
        <f t="shared" ref="D499:I499" si="250">D478+D485+D492</f>
        <v>975682.19932590518</v>
      </c>
      <c r="E499" s="2">
        <f t="shared" si="250"/>
        <v>240231.16414602002</v>
      </c>
      <c r="F499" s="2">
        <f t="shared" si="250"/>
        <v>0</v>
      </c>
      <c r="G499" s="2">
        <f t="shared" si="250"/>
        <v>6457.098105804962</v>
      </c>
      <c r="H499" s="2">
        <f t="shared" si="250"/>
        <v>37461.516707013645</v>
      </c>
      <c r="I499" s="2">
        <f t="shared" si="250"/>
        <v>0</v>
      </c>
      <c r="J499" s="2"/>
      <c r="K499" s="71" t="str">
        <f>A478&amp;"+"&amp;A485&amp;"+"&amp;A492</f>
        <v>928+935+942</v>
      </c>
    </row>
    <row r="500" spans="1:12">
      <c r="A500" s="50">
        <f t="shared" si="222"/>
        <v>950</v>
      </c>
      <c r="B500" s="28" t="s">
        <v>207</v>
      </c>
      <c r="C500" s="4">
        <f>IF(ROUND(SUM(C496:C499),3)&lt;&gt;ROUND(SUM(D500:I500),3),#VALUE!,SUM(C496:C499))</f>
        <v>143646212.51286218</v>
      </c>
      <c r="D500" s="4">
        <f t="shared" ref="D500:I500" si="251">SUM(D496:D499)</f>
        <v>111247416.29451536</v>
      </c>
      <c r="E500" s="4">
        <f t="shared" si="251"/>
        <v>27391189.818910912</v>
      </c>
      <c r="F500" s="4">
        <f t="shared" si="251"/>
        <v>0</v>
      </c>
      <c r="G500" s="4">
        <f t="shared" si="251"/>
        <v>736239.19912375812</v>
      </c>
      <c r="H500" s="4">
        <f t="shared" si="251"/>
        <v>4271367.2003121469</v>
      </c>
      <c r="I500" s="4">
        <f t="shared" si="251"/>
        <v>0</v>
      </c>
      <c r="J500" s="5"/>
      <c r="K500" s="71" t="str">
        <f>A496&amp;":"&amp;A499</f>
        <v>946:949</v>
      </c>
    </row>
    <row r="501" spans="1:12">
      <c r="A501" s="50">
        <f t="shared" si="222"/>
        <v>951</v>
      </c>
      <c r="K501" s="71"/>
    </row>
    <row r="502" spans="1:12">
      <c r="A502" s="50">
        <f t="shared" si="222"/>
        <v>952</v>
      </c>
      <c r="K502" s="71"/>
    </row>
    <row r="503" spans="1:12">
      <c r="A503" s="50">
        <f t="shared" si="222"/>
        <v>953</v>
      </c>
      <c r="B503" s="30" t="s">
        <v>189</v>
      </c>
      <c r="K503" s="71"/>
    </row>
    <row r="504" spans="1:12">
      <c r="A504" s="50">
        <f t="shared" si="222"/>
        <v>954</v>
      </c>
      <c r="B504" s="30" t="str">
        <f>"Line "&amp;A241</f>
        <v>Line 691</v>
      </c>
      <c r="K504" s="71"/>
    </row>
    <row r="505" spans="1:12">
      <c r="A505" s="50">
        <f t="shared" si="222"/>
        <v>955</v>
      </c>
      <c r="B505" t="s">
        <v>204</v>
      </c>
      <c r="C505" s="2">
        <f>SUM(D505:I505)</f>
        <v>16588759.004127935</v>
      </c>
      <c r="D505" s="2">
        <f>D$406-D$60*Detail!AT$42</f>
        <v>10192109.729694698</v>
      </c>
      <c r="E505" s="2">
        <f>E$406-E$60*Detail!AU$42</f>
        <v>4633251.2281187354</v>
      </c>
      <c r="F505" s="2">
        <f>F$406-F$60*Detail!AV$42</f>
        <v>0</v>
      </c>
      <c r="G505" s="2">
        <f>G$406-G$60*Detail!AW$42</f>
        <v>175330.42873187043</v>
      </c>
      <c r="H505" s="2">
        <f>H$406-H$60*Detail!AX$42</f>
        <v>1588067.6175826311</v>
      </c>
      <c r="I505" s="2">
        <f>I$406-I$60*Detail!AY$42</f>
        <v>0</v>
      </c>
      <c r="J505" s="2"/>
      <c r="K505" s="71" t="str">
        <f>A$406&amp;"-"&amp;A60&amp;"*"&amp;Detail!AY$1&amp;Detail!A42</f>
        <v>856-510*AY42</v>
      </c>
    </row>
    <row r="506" spans="1:12">
      <c r="A506" s="50">
        <f t="shared" si="222"/>
        <v>956</v>
      </c>
      <c r="B506" t="s">
        <v>142</v>
      </c>
      <c r="C506" s="2">
        <f>SUM(D506:I506)</f>
        <v>1526821.1646757068</v>
      </c>
      <c r="D506" s="2">
        <f t="shared" ref="D506:I506" si="252">$C$100*D507</f>
        <v>944756.14806826157</v>
      </c>
      <c r="E506" s="2">
        <f t="shared" si="252"/>
        <v>419777.62241595454</v>
      </c>
      <c r="F506" s="2">
        <f t="shared" si="252"/>
        <v>0</v>
      </c>
      <c r="G506" s="2">
        <f t="shared" si="252"/>
        <v>15414.958633504759</v>
      </c>
      <c r="H506" s="2">
        <f t="shared" si="252"/>
        <v>146872.435557986</v>
      </c>
      <c r="I506" s="2">
        <f t="shared" si="252"/>
        <v>0</v>
      </c>
      <c r="J506" s="2"/>
      <c r="K506" s="71" t="str">
        <f>C$1&amp;$A$100&amp;"*"&amp;A507</f>
        <v>C550*957</v>
      </c>
      <c r="L506" s="49"/>
    </row>
    <row r="507" spans="1:12">
      <c r="A507" s="50">
        <f t="shared" si="222"/>
        <v>957</v>
      </c>
      <c r="B507" t="s">
        <v>162</v>
      </c>
      <c r="C507" s="2">
        <f>SUM(D507:I507)</f>
        <v>11362881.823077125</v>
      </c>
      <c r="D507" s="2">
        <f t="shared" ref="D507:I507" si="253">$C$83*D$398</f>
        <v>7031047.7156670345</v>
      </c>
      <c r="E507" s="2">
        <f t="shared" si="253"/>
        <v>3124061.6948730168</v>
      </c>
      <c r="F507" s="2">
        <f t="shared" si="253"/>
        <v>0</v>
      </c>
      <c r="G507" s="2">
        <f t="shared" si="253"/>
        <v>114720.93609426761</v>
      </c>
      <c r="H507" s="2">
        <f t="shared" si="253"/>
        <v>1093051.4764428057</v>
      </c>
      <c r="I507" s="2">
        <f t="shared" si="253"/>
        <v>0</v>
      </c>
      <c r="J507" s="2"/>
      <c r="K507" s="71" t="str">
        <f>C$1&amp;A83&amp;"*"&amp;A$398</f>
        <v>C533*848</v>
      </c>
    </row>
    <row r="508" spans="1:12">
      <c r="A508" s="50">
        <f t="shared" si="222"/>
        <v>958</v>
      </c>
      <c r="B508" t="s">
        <v>161</v>
      </c>
      <c r="C508" s="2">
        <f>SUM(D508:I508)</f>
        <v>260824.8692648249</v>
      </c>
      <c r="D508" s="2">
        <f t="shared" ref="D508:I508" si="254">SUM(D505:D507)*$C$97</f>
        <v>160749.35283686695</v>
      </c>
      <c r="E508" s="2">
        <f t="shared" si="254"/>
        <v>72350.741129575676</v>
      </c>
      <c r="F508" s="2">
        <f t="shared" si="254"/>
        <v>0</v>
      </c>
      <c r="G508" s="2">
        <f t="shared" si="254"/>
        <v>2702.7602017741765</v>
      </c>
      <c r="H508" s="2">
        <f t="shared" si="254"/>
        <v>25022.015096608091</v>
      </c>
      <c r="I508" s="2">
        <f t="shared" si="254"/>
        <v>0</v>
      </c>
      <c r="J508" s="2"/>
      <c r="K508" s="71" t="str">
        <f>A505&amp;":"&amp;A507&amp;"*"&amp;C$1&amp;$A$97</f>
        <v>955:957*C547</v>
      </c>
    </row>
    <row r="509" spans="1:12">
      <c r="A509" s="50">
        <f t="shared" si="222"/>
        <v>959</v>
      </c>
      <c r="B509" s="28" t="s">
        <v>194</v>
      </c>
      <c r="C509" s="4">
        <f>IF(ROUND(SUM(C505:C508),3)&lt;&gt;ROUND(SUM(D509:I509),3),#VALUE!,SUM(C505:C508))</f>
        <v>29739286.861145593</v>
      </c>
      <c r="D509" s="4">
        <f t="shared" ref="D509:I509" si="255">SUM(D505:D508)</f>
        <v>18328662.94626686</v>
      </c>
      <c r="E509" s="4">
        <f t="shared" si="255"/>
        <v>8249441.2865372822</v>
      </c>
      <c r="F509" s="4">
        <f t="shared" si="255"/>
        <v>0</v>
      </c>
      <c r="G509" s="4">
        <f t="shared" si="255"/>
        <v>308169.08366141701</v>
      </c>
      <c r="H509" s="4">
        <f t="shared" si="255"/>
        <v>2853013.5446800306</v>
      </c>
      <c r="I509" s="4">
        <f t="shared" si="255"/>
        <v>0</v>
      </c>
      <c r="J509" s="5"/>
      <c r="K509" s="71" t="str">
        <f>A505&amp;":"&amp;A508</f>
        <v>955:958</v>
      </c>
    </row>
    <row r="510" spans="1:12">
      <c r="A510" s="50">
        <f t="shared" si="222"/>
        <v>960</v>
      </c>
      <c r="C510" s="2"/>
      <c r="D510" s="2"/>
      <c r="E510" s="2"/>
      <c r="F510" s="2"/>
      <c r="G510" s="2"/>
      <c r="H510" s="2"/>
      <c r="I510" s="2"/>
      <c r="J510" s="2"/>
      <c r="K510" s="71"/>
    </row>
    <row r="511" spans="1:12">
      <c r="A511" s="50">
        <f t="shared" si="222"/>
        <v>961</v>
      </c>
      <c r="B511" s="30" t="str">
        <f>"Line "&amp;A242</f>
        <v>Line 692</v>
      </c>
      <c r="K511" s="71"/>
    </row>
    <row r="512" spans="1:12">
      <c r="A512" s="50">
        <f t="shared" si="222"/>
        <v>962</v>
      </c>
      <c r="B512" t="s">
        <v>205</v>
      </c>
      <c r="C512" s="2">
        <f>SUM(D512:I512)</f>
        <v>17634154.730590034</v>
      </c>
      <c r="D512" s="2">
        <f>D$415-D$60*Detail!BB$42</f>
        <v>9969495.3189078588</v>
      </c>
      <c r="E512" s="2">
        <f>E$415-E$60*Detail!BC$42</f>
        <v>6152691.7305618534</v>
      </c>
      <c r="F512" s="2">
        <f>F$415-F$60*Detail!BD$42</f>
        <v>0</v>
      </c>
      <c r="G512" s="2">
        <f>G$415-G$60*Detail!BE$42</f>
        <v>132570.04797040785</v>
      </c>
      <c r="H512" s="2">
        <f>H$415-H$60*Detail!BF$42</f>
        <v>1379397.6331499126</v>
      </c>
      <c r="I512" s="2">
        <f>I$415-I$60*Detail!BG$42</f>
        <v>0</v>
      </c>
      <c r="J512" s="2"/>
      <c r="K512" s="71" t="str">
        <f>A$415&amp;"-"&amp;A60&amp;"*"&amp;Detail!BG$1&amp;Detail!A42</f>
        <v>865-510*BG42</v>
      </c>
    </row>
    <row r="513" spans="1:11">
      <c r="A513" s="50">
        <f t="shared" si="222"/>
        <v>963</v>
      </c>
      <c r="B513" t="s">
        <v>142</v>
      </c>
      <c r="C513" s="2">
        <f>SUM(D513:I513)</f>
        <v>1661073.8447194253</v>
      </c>
      <c r="D513" s="2">
        <f t="shared" ref="D513:I513" si="256">$C$100*D514</f>
        <v>939090.54175212514</v>
      </c>
      <c r="E513" s="2">
        <f t="shared" si="256"/>
        <v>579561.39460027462</v>
      </c>
      <c r="F513" s="2">
        <f t="shared" si="256"/>
        <v>0</v>
      </c>
      <c r="G513" s="2">
        <f t="shared" si="256"/>
        <v>12487.620906197864</v>
      </c>
      <c r="H513" s="2">
        <f t="shared" si="256"/>
        <v>129934.28746082784</v>
      </c>
      <c r="I513" s="2">
        <f t="shared" si="256"/>
        <v>0</v>
      </c>
      <c r="J513" s="2"/>
      <c r="K513" s="71" t="str">
        <f>C$1&amp;$A$100&amp;"*"&amp;A514</f>
        <v>C550*964</v>
      </c>
    </row>
    <row r="514" spans="1:11">
      <c r="A514" s="50">
        <f t="shared" si="222"/>
        <v>964</v>
      </c>
      <c r="B514" t="s">
        <v>162</v>
      </c>
      <c r="C514" s="2">
        <f>SUM(D514:I514)</f>
        <v>12362014.775293026</v>
      </c>
      <c r="D514" s="2">
        <f t="shared" ref="D514:I514" si="257">$C$83*D$399</f>
        <v>6988883.2392268544</v>
      </c>
      <c r="E514" s="2">
        <f t="shared" si="257"/>
        <v>4313201.6954057822</v>
      </c>
      <c r="F514" s="2">
        <f t="shared" si="257"/>
        <v>0</v>
      </c>
      <c r="G514" s="2">
        <f t="shared" si="257"/>
        <v>92935.154352966958</v>
      </c>
      <c r="H514" s="2">
        <f t="shared" si="257"/>
        <v>966994.68630742247</v>
      </c>
      <c r="I514" s="2">
        <f t="shared" si="257"/>
        <v>0</v>
      </c>
      <c r="J514" s="2"/>
      <c r="K514" s="71" t="str">
        <f>C$1&amp;A83&amp;"*"&amp;A$399</f>
        <v>C533*849</v>
      </c>
    </row>
    <row r="515" spans="1:11">
      <c r="A515" s="50">
        <f t="shared" si="222"/>
        <v>965</v>
      </c>
      <c r="B515" t="s">
        <v>161</v>
      </c>
      <c r="C515" s="2">
        <f>SUM(D515:I515)</f>
        <v>280102.68515636463</v>
      </c>
      <c r="D515" s="2">
        <f t="shared" ref="D515:I515" si="258">SUM(D512:D514)*$C$97</f>
        <v>158356.4651179889</v>
      </c>
      <c r="E515" s="2">
        <f t="shared" si="258"/>
        <v>97729.97350874843</v>
      </c>
      <c r="F515" s="2">
        <f t="shared" si="258"/>
        <v>0</v>
      </c>
      <c r="G515" s="2">
        <f t="shared" si="258"/>
        <v>2105.7559591106551</v>
      </c>
      <c r="H515" s="2">
        <f t="shared" si="258"/>
        <v>21910.490570516657</v>
      </c>
      <c r="I515" s="2">
        <f t="shared" si="258"/>
        <v>0</v>
      </c>
      <c r="J515" s="2"/>
      <c r="K515" s="71" t="str">
        <f>A512&amp;":"&amp;A514&amp;"*"&amp;C$1&amp;$A$97</f>
        <v>962:964*C547</v>
      </c>
    </row>
    <row r="516" spans="1:11">
      <c r="A516" s="50">
        <f t="shared" si="222"/>
        <v>966</v>
      </c>
      <c r="B516" s="28" t="s">
        <v>195</v>
      </c>
      <c r="C516" s="4">
        <f>IF(ROUND(SUM(C512:C515),3)&lt;&gt;ROUND(SUM(D516:I516),3),#VALUE!,SUM(C512:C515))</f>
        <v>31937346.035758849</v>
      </c>
      <c r="D516" s="4">
        <f t="shared" ref="D516:I516" si="259">SUM(D512:D515)</f>
        <v>18055825.565004826</v>
      </c>
      <c r="E516" s="4">
        <f t="shared" si="259"/>
        <v>11143184.794076659</v>
      </c>
      <c r="F516" s="4">
        <f t="shared" si="259"/>
        <v>0</v>
      </c>
      <c r="G516" s="4">
        <f t="shared" si="259"/>
        <v>240098.57918868333</v>
      </c>
      <c r="H516" s="4">
        <f t="shared" si="259"/>
        <v>2498237.0974886795</v>
      </c>
      <c r="I516" s="4">
        <f t="shared" si="259"/>
        <v>0</v>
      </c>
      <c r="J516" s="5"/>
      <c r="K516" s="71" t="str">
        <f>A512&amp;":"&amp;A515</f>
        <v>962:965</v>
      </c>
    </row>
    <row r="517" spans="1:11">
      <c r="A517" s="50">
        <f t="shared" si="222"/>
        <v>967</v>
      </c>
      <c r="B517" s="28"/>
      <c r="C517" s="2"/>
      <c r="D517" s="2"/>
      <c r="E517" s="2"/>
      <c r="F517" s="2"/>
      <c r="G517" s="2"/>
      <c r="H517" s="2"/>
      <c r="I517" s="2"/>
      <c r="J517" s="2"/>
      <c r="K517" s="71"/>
    </row>
    <row r="518" spans="1:11">
      <c r="A518" s="50">
        <f t="shared" ref="A518:A534" si="260">Pg1Row+ROW(A518)</f>
        <v>968</v>
      </c>
      <c r="B518" s="30" t="str">
        <f>"Line "&amp;A243</f>
        <v>Line 693</v>
      </c>
      <c r="K518" s="71"/>
    </row>
    <row r="519" spans="1:11">
      <c r="A519" s="50">
        <f t="shared" si="260"/>
        <v>969</v>
      </c>
      <c r="B519" t="s">
        <v>208</v>
      </c>
      <c r="C519" s="2">
        <f>SUM(D519:I519)</f>
        <v>56542342.265282027</v>
      </c>
      <c r="D519" s="2">
        <f>D$424-D$60*Detail!BJ$42</f>
        <v>53873827.220578961</v>
      </c>
      <c r="E519" s="2">
        <f>E$424-E$60*Detail!BK$42</f>
        <v>2516960.2275363766</v>
      </c>
      <c r="F519" s="2">
        <f>F$424-F$60*Detail!BL$42</f>
        <v>0</v>
      </c>
      <c r="G519" s="2">
        <f>G$424-G$60*Detail!BM$42</f>
        <v>14650.419409618256</v>
      </c>
      <c r="H519" s="2">
        <f>H$424-H$60*Detail!BN$42</f>
        <v>136904.39775707622</v>
      </c>
      <c r="I519" s="2">
        <f>I$424-I$60*Detail!BO$42</f>
        <v>0</v>
      </c>
      <c r="J519" s="2"/>
      <c r="K519" s="71" t="str">
        <f>A$424&amp;"-"&amp;A60&amp;"*"&amp;Detail!BO$1&amp;Detail!A42</f>
        <v>874-510*BO42</v>
      </c>
    </row>
    <row r="520" spans="1:11">
      <c r="A520" s="50">
        <f t="shared" si="260"/>
        <v>970</v>
      </c>
      <c r="B520" t="s">
        <v>142</v>
      </c>
      <c r="C520" s="2">
        <f>SUM(D520:I520)</f>
        <v>2927197.4210414579</v>
      </c>
      <c r="D520" s="2">
        <f t="shared" ref="D520:I520" si="261">$C$100*D521</f>
        <v>2747064.8511412796</v>
      </c>
      <c r="E520" s="2">
        <f t="shared" si="261"/>
        <v>168355.0827415548</v>
      </c>
      <c r="F520" s="2">
        <f t="shared" si="261"/>
        <v>0</v>
      </c>
      <c r="G520" s="2">
        <f t="shared" si="261"/>
        <v>1118.1276245781887</v>
      </c>
      <c r="H520" s="2">
        <f t="shared" si="261"/>
        <v>10659.359534045168</v>
      </c>
      <c r="I520" s="2">
        <f t="shared" si="261"/>
        <v>0</v>
      </c>
      <c r="J520" s="2"/>
      <c r="K520" s="71" t="str">
        <f>C$1&amp;$A$100&amp;"*"&amp;A521</f>
        <v>C550*971</v>
      </c>
    </row>
    <row r="521" spans="1:11">
      <c r="A521" s="50">
        <f t="shared" si="260"/>
        <v>971</v>
      </c>
      <c r="B521" t="s">
        <v>162</v>
      </c>
      <c r="C521" s="2">
        <f>SUM(D521:I521)</f>
        <v>21784737.556460883</v>
      </c>
      <c r="D521" s="2">
        <f t="shared" ref="D521:I521" si="262">$C$83*D$400</f>
        <v>20444158.088728886</v>
      </c>
      <c r="E521" s="2">
        <f t="shared" si="262"/>
        <v>1252929.2583607687</v>
      </c>
      <c r="F521" s="2">
        <f t="shared" si="262"/>
        <v>0</v>
      </c>
      <c r="G521" s="2">
        <f t="shared" si="262"/>
        <v>8321.3098921761721</v>
      </c>
      <c r="H521" s="2">
        <f t="shared" si="262"/>
        <v>79328.89947905032</v>
      </c>
      <c r="I521" s="2">
        <f t="shared" si="262"/>
        <v>0</v>
      </c>
      <c r="J521" s="2"/>
      <c r="K521" s="71" t="str">
        <f>C$1&amp;A83&amp;"*"&amp;A$400</f>
        <v>C533*850</v>
      </c>
    </row>
    <row r="522" spans="1:11">
      <c r="A522" s="50">
        <f t="shared" si="260"/>
        <v>972</v>
      </c>
      <c r="B522" t="s">
        <v>161</v>
      </c>
      <c r="C522" s="2">
        <f>SUM(D522:I522)</f>
        <v>718936.29473933496</v>
      </c>
      <c r="D522" s="2">
        <f t="shared" ref="D522:I522" si="263">SUM(D519:D521)*$C$97</f>
        <v>681870.0934439043</v>
      </c>
      <c r="E522" s="2">
        <f t="shared" si="263"/>
        <v>34845.512802907237</v>
      </c>
      <c r="F522" s="2">
        <f t="shared" si="263"/>
        <v>0</v>
      </c>
      <c r="G522" s="2">
        <f t="shared" si="263"/>
        <v>213.14659445801689</v>
      </c>
      <c r="H522" s="2">
        <f t="shared" si="263"/>
        <v>2007.5418980653919</v>
      </c>
      <c r="I522" s="2">
        <f t="shared" si="263"/>
        <v>0</v>
      </c>
      <c r="J522" s="2"/>
      <c r="K522" s="71" t="str">
        <f>A519&amp;":"&amp;A521&amp;"*"&amp;C$1&amp;$A$97</f>
        <v>969:971*C547</v>
      </c>
    </row>
    <row r="523" spans="1:11">
      <c r="A523" s="50">
        <f t="shared" si="260"/>
        <v>973</v>
      </c>
      <c r="B523" s="28" t="s">
        <v>196</v>
      </c>
      <c r="C523" s="4">
        <f>IF(ROUND(SUM(C519:C522),3)&lt;&gt;ROUND(SUM(D523:I523),3),#VALUE!,SUM(C519:C522))</f>
        <v>81973213.537523702</v>
      </c>
      <c r="D523" s="4">
        <f t="shared" ref="D523:I523" si="264">SUM(D519:D522)</f>
        <v>77746920.253893033</v>
      </c>
      <c r="E523" s="4">
        <f t="shared" si="264"/>
        <v>3973090.0814416073</v>
      </c>
      <c r="F523" s="4">
        <f t="shared" si="264"/>
        <v>0</v>
      </c>
      <c r="G523" s="4">
        <f t="shared" si="264"/>
        <v>24303.003520830633</v>
      </c>
      <c r="H523" s="4">
        <f t="shared" si="264"/>
        <v>228900.19866823711</v>
      </c>
      <c r="I523" s="4">
        <f t="shared" si="264"/>
        <v>0</v>
      </c>
      <c r="J523" s="5"/>
      <c r="K523" s="71" t="str">
        <f>A519&amp;":"&amp;A522</f>
        <v>969:972</v>
      </c>
    </row>
    <row r="524" spans="1:11">
      <c r="A524" s="50">
        <f t="shared" si="260"/>
        <v>974</v>
      </c>
      <c r="B524" s="28"/>
      <c r="C524" s="2"/>
      <c r="D524" s="2"/>
      <c r="E524" s="2"/>
      <c r="F524" s="2"/>
      <c r="G524" s="2"/>
      <c r="H524" s="2"/>
      <c r="I524" s="2"/>
      <c r="J524" s="2"/>
      <c r="K524" s="71"/>
    </row>
    <row r="525" spans="1:11">
      <c r="A525" s="50">
        <f t="shared" si="260"/>
        <v>975</v>
      </c>
      <c r="B525" s="30" t="s">
        <v>120</v>
      </c>
      <c r="C525" s="2"/>
      <c r="K525" s="71"/>
    </row>
    <row r="526" spans="1:11">
      <c r="A526" s="50">
        <f t="shared" si="260"/>
        <v>976</v>
      </c>
      <c r="B526" t="s">
        <v>206</v>
      </c>
      <c r="C526" s="2">
        <f>SUM(D526:I526)</f>
        <v>90765256</v>
      </c>
      <c r="D526" s="2">
        <f t="shared" ref="D526:I526" si="265">D505+D512+D519</f>
        <v>74035432.26918152</v>
      </c>
      <c r="E526" s="2">
        <f t="shared" si="265"/>
        <v>13302903.186216965</v>
      </c>
      <c r="F526" s="2">
        <f t="shared" si="265"/>
        <v>0</v>
      </c>
      <c r="G526" s="2">
        <f t="shared" si="265"/>
        <v>322550.89611189649</v>
      </c>
      <c r="H526" s="2">
        <f t="shared" si="265"/>
        <v>3104369.6484896201</v>
      </c>
      <c r="I526" s="2">
        <f t="shared" si="265"/>
        <v>0</v>
      </c>
      <c r="J526" s="2"/>
      <c r="K526" s="71" t="str">
        <f>A505&amp;"+"&amp;A512&amp;"+"&amp;A519</f>
        <v>955+962+969</v>
      </c>
    </row>
    <row r="527" spans="1:11">
      <c r="A527" s="50">
        <f t="shared" si="260"/>
        <v>977</v>
      </c>
      <c r="B527" t="s">
        <v>142</v>
      </c>
      <c r="C527" s="2">
        <f>SUM(D527:I527)</f>
        <v>6115092.4304365898</v>
      </c>
      <c r="D527" s="2">
        <f t="shared" ref="D527:I527" si="266">$C$100*D528</f>
        <v>4630911.540961666</v>
      </c>
      <c r="E527" s="2">
        <f t="shared" si="266"/>
        <v>1167694.0997577838</v>
      </c>
      <c r="F527" s="2">
        <f t="shared" si="266"/>
        <v>0</v>
      </c>
      <c r="G527" s="2">
        <f t="shared" si="266"/>
        <v>29020.707164280811</v>
      </c>
      <c r="H527" s="2">
        <f t="shared" si="266"/>
        <v>287466.08255285904</v>
      </c>
      <c r="I527" s="2">
        <f t="shared" si="266"/>
        <v>0</v>
      </c>
      <c r="J527" s="2"/>
      <c r="K527" s="71" t="str">
        <f>C$1&amp;$A$100&amp;"*"&amp;A528</f>
        <v>C550*978</v>
      </c>
    </row>
    <row r="528" spans="1:11">
      <c r="A528" s="50">
        <f t="shared" si="260"/>
        <v>978</v>
      </c>
      <c r="B528" t="s">
        <v>162</v>
      </c>
      <c r="C528" s="2">
        <f>SUM(D528:I528)</f>
        <v>45509634.154831029</v>
      </c>
      <c r="D528" s="2">
        <f t="shared" ref="D528:I528" si="267">D507+D514+D521</f>
        <v>34464089.043622777</v>
      </c>
      <c r="E528" s="2">
        <f t="shared" si="267"/>
        <v>8690192.6486395672</v>
      </c>
      <c r="F528" s="2">
        <f t="shared" si="267"/>
        <v>0</v>
      </c>
      <c r="G528" s="2">
        <f t="shared" si="267"/>
        <v>215977.40033941076</v>
      </c>
      <c r="H528" s="2">
        <f t="shared" si="267"/>
        <v>2139375.0622292785</v>
      </c>
      <c r="I528" s="2">
        <f t="shared" si="267"/>
        <v>0</v>
      </c>
      <c r="J528" s="2"/>
      <c r="K528" s="71" t="str">
        <f>A507&amp;"+"&amp;A514&amp;"+"&amp;A521</f>
        <v>957+964+971</v>
      </c>
    </row>
    <row r="529" spans="1:11">
      <c r="A529" s="50">
        <f t="shared" si="260"/>
        <v>979</v>
      </c>
      <c r="B529" t="s">
        <v>161</v>
      </c>
      <c r="C529" s="2">
        <f>SUM(D529:I529)</f>
        <v>1259863.8491605246</v>
      </c>
      <c r="D529" s="2">
        <f t="shared" ref="D529:I529" si="268">D508+D515+D522</f>
        <v>1000975.9113987602</v>
      </c>
      <c r="E529" s="2">
        <f t="shared" si="268"/>
        <v>204926.22744123134</v>
      </c>
      <c r="F529" s="2">
        <f t="shared" si="268"/>
        <v>0</v>
      </c>
      <c r="G529" s="2">
        <f t="shared" si="268"/>
        <v>5021.6627553428489</v>
      </c>
      <c r="H529" s="2">
        <f t="shared" si="268"/>
        <v>48940.047565190136</v>
      </c>
      <c r="I529" s="2">
        <f t="shared" si="268"/>
        <v>0</v>
      </c>
      <c r="J529" s="2"/>
      <c r="K529" s="71" t="str">
        <f>A508&amp;"+"&amp;A515&amp;"+"&amp;A522</f>
        <v>958+965+972</v>
      </c>
    </row>
    <row r="530" spans="1:11">
      <c r="A530" s="50">
        <f t="shared" si="260"/>
        <v>980</v>
      </c>
      <c r="B530" s="28" t="s">
        <v>207</v>
      </c>
      <c r="C530" s="4">
        <f>IF(ROUND(SUM(C526:C529),3)&lt;&gt;ROUND(SUM(D530:I530),3),#VALUE!,SUM(C526:C529))</f>
        <v>143649846.43442816</v>
      </c>
      <c r="D530" s="4">
        <f t="shared" ref="D530:I530" si="269">SUM(D526:D529)</f>
        <v>114131408.76516472</v>
      </c>
      <c r="E530" s="4">
        <f t="shared" si="269"/>
        <v>23365716.162055548</v>
      </c>
      <c r="F530" s="4">
        <f t="shared" si="269"/>
        <v>0</v>
      </c>
      <c r="G530" s="4">
        <f t="shared" si="269"/>
        <v>572570.66637093097</v>
      </c>
      <c r="H530" s="4">
        <f t="shared" si="269"/>
        <v>5580150.8408369478</v>
      </c>
      <c r="I530" s="4">
        <f t="shared" si="269"/>
        <v>0</v>
      </c>
      <c r="J530" s="5"/>
      <c r="K530" s="71" t="str">
        <f>A526&amp;":"&amp;A529</f>
        <v>976:979</v>
      </c>
    </row>
    <row r="531" spans="1:11">
      <c r="A531" s="50">
        <f t="shared" si="260"/>
        <v>981</v>
      </c>
      <c r="K531" s="71"/>
    </row>
    <row r="532" spans="1:11">
      <c r="A532" s="50">
        <f t="shared" si="260"/>
        <v>982</v>
      </c>
      <c r="K532" s="71"/>
    </row>
    <row r="533" spans="1:11">
      <c r="A533" s="50">
        <f t="shared" si="260"/>
        <v>983</v>
      </c>
      <c r="K533" s="71"/>
    </row>
    <row r="534" spans="1:11">
      <c r="A534" s="50">
        <f t="shared" si="260"/>
        <v>984</v>
      </c>
      <c r="K534" s="71"/>
    </row>
  </sheetData>
  <phoneticPr fontId="8" type="noConversion"/>
  <conditionalFormatting sqref="C431">
    <cfRule type="expression" dxfId="5" priority="1" stopIfTrue="1">
      <formula>ABS(C431)&gt;1</formula>
    </cfRule>
  </conditionalFormatting>
  <conditionalFormatting sqref="C116 C151 C167 C132 C11 C18 C23 C27 C37">
    <cfRule type="cellIs" dxfId="4" priority="2" stopIfTrue="1" operator="notEqual">
      <formula>0</formula>
    </cfRule>
  </conditionalFormatting>
  <pageMargins left="0.5" right="0.5" top="0.5" bottom="0.5" header="0.25" footer="0.25"/>
  <pageSetup scale="72" pageOrder="overThenDown" orientation="portrait" useFirstPageNumber="1" r:id="rId1"/>
  <headerFooter alignWithMargins="0">
    <oddHeader>&amp;LAVISTA UTILITIES --  Base Case
Cost of Service General Summary&amp;RWA Gas</oddHeader>
    <oddFooter>&amp;L2019 Avista - WA Cost of Service (NG) - Base Case 10.20.2020.xlsm  Summary&amp;C10/21/2020&amp;RPage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Button 2">
              <controlPr defaultSize="0" print="0" autoFill="0" autoPict="0" macro="[0]!Print_SUM1">
                <anchor moveWithCells="1" sizeWithCells="1">
                  <from>
                    <xdr:col>1</xdr:col>
                    <xdr:colOff>1847850</xdr:colOff>
                    <xdr:row>4</xdr:row>
                    <xdr:rowOff>38100</xdr:rowOff>
                  </from>
                  <to>
                    <xdr:col>1</xdr:col>
                    <xdr:colOff>2362200</xdr:colOff>
                    <xdr:row>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A1:X115"/>
  <sheetViews>
    <sheetView topLeftCell="A58" zoomScale="85" zoomScaleNormal="85" workbookViewId="0">
      <selection activeCell="E20" sqref="E20"/>
    </sheetView>
  </sheetViews>
  <sheetFormatPr defaultRowHeight="12.75"/>
  <cols>
    <col min="1" max="1" width="4.7109375" customWidth="1"/>
    <col min="2" max="2" width="30" customWidth="1"/>
    <col min="4" max="9" width="12.7109375" customWidth="1"/>
    <col min="10" max="10" width="12.7109375" hidden="1" customWidth="1"/>
    <col min="11" max="14" width="8.7109375" customWidth="1"/>
    <col min="15" max="15" width="11.42578125" customWidth="1"/>
    <col min="16" max="17" width="8.7109375" customWidth="1"/>
    <col min="18" max="18" width="25" bestFit="1" customWidth="1"/>
    <col min="19" max="21" width="11.28515625" bestFit="1" customWidth="1"/>
    <col min="22" max="22" width="9.28515625" bestFit="1" customWidth="1"/>
    <col min="23" max="23" width="8.85546875" bestFit="1" customWidth="1"/>
    <col min="24" max="24" width="10.28515625" bestFit="1" customWidth="1"/>
  </cols>
  <sheetData>
    <row r="1" spans="1:24">
      <c r="A1" s="50" t="str">
        <f>ColHdr</f>
        <v>A</v>
      </c>
      <c r="B1" s="50" t="str">
        <f t="shared" ref="B1:T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50" t="str">
        <f t="shared" si="0"/>
        <v>R</v>
      </c>
      <c r="S1" s="50" t="str">
        <f t="shared" si="0"/>
        <v>S</v>
      </c>
      <c r="T1" s="50" t="str">
        <f t="shared" si="0"/>
        <v>T</v>
      </c>
    </row>
    <row r="2" spans="1:24">
      <c r="A2" s="50">
        <f t="shared" ref="A2:A67" si="1">Pg2Row+ROW(A2)</f>
        <v>986</v>
      </c>
      <c r="B2" s="50"/>
      <c r="E2" s="36">
        <v>1</v>
      </c>
      <c r="F2" s="36">
        <v>2</v>
      </c>
      <c r="G2" s="36">
        <v>3</v>
      </c>
      <c r="H2" s="36">
        <v>4</v>
      </c>
      <c r="I2" s="36">
        <v>5</v>
      </c>
      <c r="J2" s="36">
        <v>6</v>
      </c>
    </row>
    <row r="3" spans="1:24">
      <c r="A3" s="50">
        <f t="shared" si="1"/>
        <v>987</v>
      </c>
      <c r="B3" s="73" t="s">
        <v>231</v>
      </c>
      <c r="C3" s="34" t="s">
        <v>232</v>
      </c>
      <c r="D3" s="26" t="s">
        <v>120</v>
      </c>
      <c r="E3" s="26" t="s">
        <v>397</v>
      </c>
      <c r="F3" s="26" t="s">
        <v>398</v>
      </c>
      <c r="G3" s="26" t="s">
        <v>399</v>
      </c>
      <c r="H3" s="26" t="s">
        <v>400</v>
      </c>
      <c r="I3" s="26" t="s">
        <v>401</v>
      </c>
      <c r="J3" s="26" t="s">
        <v>281</v>
      </c>
      <c r="K3" s="29" t="s">
        <v>133</v>
      </c>
    </row>
    <row r="4" spans="1:24">
      <c r="A4" s="50">
        <f t="shared" si="1"/>
        <v>988</v>
      </c>
      <c r="B4" s="28" t="s">
        <v>963</v>
      </c>
      <c r="C4" s="34" t="s">
        <v>396</v>
      </c>
      <c r="D4" s="2">
        <f>SUM(E4:J4)</f>
        <v>236938723.33968022</v>
      </c>
      <c r="E4" s="82">
        <f t="shared" ref="E4:J4" si="2">E$41</f>
        <v>136106732.85768002</v>
      </c>
      <c r="F4" s="82">
        <f t="shared" si="2"/>
        <v>65945772</v>
      </c>
      <c r="G4" s="82">
        <f t="shared" si="2"/>
        <v>0</v>
      </c>
      <c r="H4" s="82">
        <f t="shared" si="2"/>
        <v>2692866.4820002159</v>
      </c>
      <c r="I4" s="82">
        <f t="shared" si="2"/>
        <v>32193352</v>
      </c>
      <c r="J4" s="82">
        <f t="shared" si="2"/>
        <v>0</v>
      </c>
      <c r="K4" s="28" t="str">
        <f>K41</f>
        <v>Input from Proforma Revenue Study</v>
      </c>
    </row>
    <row r="5" spans="1:24">
      <c r="A5" s="50">
        <f t="shared" si="1"/>
        <v>989</v>
      </c>
      <c r="B5" s="28" t="s">
        <v>964</v>
      </c>
      <c r="C5" s="34" t="s">
        <v>404</v>
      </c>
      <c r="D5" s="2">
        <f t="shared" ref="D5:D18" si="3">SUM(E5:J5)</f>
        <v>204745371.33968022</v>
      </c>
      <c r="E5" s="82">
        <f>E$41</f>
        <v>136106732.85768002</v>
      </c>
      <c r="F5" s="82">
        <f>F$41</f>
        <v>65945772</v>
      </c>
      <c r="G5" s="82">
        <f>G$41</f>
        <v>0</v>
      </c>
      <c r="H5" s="82">
        <f>H$41</f>
        <v>2692866.4820002159</v>
      </c>
      <c r="I5" s="23">
        <v>0</v>
      </c>
      <c r="J5" s="82">
        <f>J$41</f>
        <v>0</v>
      </c>
      <c r="K5" s="28" t="s">
        <v>569</v>
      </c>
    </row>
    <row r="6" spans="1:24">
      <c r="A6" s="50">
        <f t="shared" si="1"/>
        <v>990</v>
      </c>
      <c r="B6" s="427" t="s">
        <v>1248</v>
      </c>
      <c r="C6" s="34" t="s">
        <v>406</v>
      </c>
      <c r="D6" s="2">
        <f>SUM(E6:J6)</f>
        <v>158009928.79590812</v>
      </c>
      <c r="E6" s="373">
        <f>'Winter Therm - Summary'!R33</f>
        <v>98867316.273889974</v>
      </c>
      <c r="F6" s="373">
        <f>'Winter Therm - Summary'!R34</f>
        <v>42412084.871018156</v>
      </c>
      <c r="G6" s="373">
        <v>0</v>
      </c>
      <c r="H6" s="373">
        <f>'Winter Therm - Summary'!R35</f>
        <v>1467633.6510000001</v>
      </c>
      <c r="I6" s="373">
        <f>'Winter Therm - Summary'!R36</f>
        <v>15262894</v>
      </c>
      <c r="J6" s="82">
        <f>J$41</f>
        <v>0</v>
      </c>
      <c r="K6" s="28" t="s">
        <v>965</v>
      </c>
    </row>
    <row r="7" spans="1:24">
      <c r="A7" s="50">
        <f t="shared" si="1"/>
        <v>991</v>
      </c>
      <c r="B7" s="427" t="s">
        <v>1249</v>
      </c>
      <c r="C7" s="34" t="s">
        <v>424</v>
      </c>
      <c r="D7" s="2">
        <f>SUM(E7:J7)</f>
        <v>23165677.260100305</v>
      </c>
      <c r="E7" s="373">
        <f>'Winter Therm - Summary'!V33</f>
        <v>16844393.127702519</v>
      </c>
      <c r="F7" s="373">
        <f>'Winter Therm - Summary'!V34</f>
        <v>6160388.4096977869</v>
      </c>
      <c r="G7" s="373">
        <v>0</v>
      </c>
      <c r="H7" s="373">
        <f>'Winter Therm - Summary'!V35</f>
        <v>160895.72269999998</v>
      </c>
      <c r="I7" s="373">
        <f>'Winter Therm - Summary'!V36</f>
        <v>0</v>
      </c>
      <c r="J7" s="23">
        <v>0</v>
      </c>
      <c r="K7" s="28" t="s">
        <v>965</v>
      </c>
    </row>
    <row r="8" spans="1:24">
      <c r="A8" s="50">
        <f t="shared" si="1"/>
        <v>992</v>
      </c>
      <c r="B8" s="28" t="s">
        <v>430</v>
      </c>
      <c r="C8" s="34" t="s">
        <v>429</v>
      </c>
      <c r="D8" s="2">
        <f>SUM(E8:J8)</f>
        <v>89783.560418069668</v>
      </c>
      <c r="E8" s="373">
        <f>GTI!E9</f>
        <v>63970.164443109607</v>
      </c>
      <c r="F8" s="373">
        <f>GTI!E10</f>
        <v>25059.393360000002</v>
      </c>
      <c r="G8" s="373">
        <f>+GTI!E11</f>
        <v>0</v>
      </c>
      <c r="H8" s="373">
        <f>GTI!E12</f>
        <v>754.00261496006044</v>
      </c>
      <c r="I8" s="373">
        <v>0</v>
      </c>
      <c r="J8" s="23">
        <v>0</v>
      </c>
      <c r="K8" s="28" t="s">
        <v>541</v>
      </c>
    </row>
    <row r="9" spans="1:24">
      <c r="A9" s="50">
        <f t="shared" si="1"/>
        <v>993</v>
      </c>
      <c r="B9" s="28" t="s">
        <v>409</v>
      </c>
      <c r="C9" s="34" t="s">
        <v>125</v>
      </c>
      <c r="D9" s="2">
        <f t="shared" si="3"/>
        <v>1778987.8744294199</v>
      </c>
      <c r="E9" s="82">
        <f t="shared" ref="E9:J9" si="4">E$42</f>
        <v>1005753.4119144318</v>
      </c>
      <c r="F9" s="82">
        <f t="shared" si="4"/>
        <v>620702.5032384675</v>
      </c>
      <c r="G9" s="82">
        <f t="shared" si="4"/>
        <v>0</v>
      </c>
      <c r="H9" s="82">
        <f t="shared" si="4"/>
        <v>13374.074995654239</v>
      </c>
      <c r="I9" s="82">
        <f t="shared" si="4"/>
        <v>139157.88428086619</v>
      </c>
      <c r="J9" s="39">
        <f t="shared" si="4"/>
        <v>0</v>
      </c>
      <c r="K9" s="28" t="s">
        <v>542</v>
      </c>
    </row>
    <row r="10" spans="1:24">
      <c r="A10" s="50">
        <f t="shared" si="1"/>
        <v>994</v>
      </c>
      <c r="B10" s="28" t="s">
        <v>408</v>
      </c>
      <c r="C10" s="34" t="s">
        <v>112</v>
      </c>
      <c r="D10" s="2">
        <f t="shared" si="3"/>
        <v>1626455.9151528995</v>
      </c>
      <c r="E10" s="82">
        <f>E$9</f>
        <v>1005753.4119144318</v>
      </c>
      <c r="F10" s="82">
        <f>F$9</f>
        <v>620702.5032384675</v>
      </c>
      <c r="G10" s="82">
        <f>G$9</f>
        <v>0</v>
      </c>
      <c r="H10" s="23">
        <v>0</v>
      </c>
      <c r="I10" s="135">
        <v>0</v>
      </c>
      <c r="J10" s="39">
        <f>J$9</f>
        <v>0</v>
      </c>
      <c r="K10" s="407" t="s">
        <v>998</v>
      </c>
    </row>
    <row r="11" spans="1:24">
      <c r="A11" s="50">
        <f t="shared" si="1"/>
        <v>995</v>
      </c>
      <c r="B11" s="28" t="s">
        <v>426</v>
      </c>
      <c r="C11" s="34" t="s">
        <v>427</v>
      </c>
      <c r="D11" s="2">
        <f>SUM(E11:J11)</f>
        <v>0.04</v>
      </c>
      <c r="E11" s="23">
        <v>0.04</v>
      </c>
      <c r="F11" s="23">
        <v>0</v>
      </c>
      <c r="G11" s="23">
        <v>0</v>
      </c>
      <c r="H11" s="23">
        <v>0</v>
      </c>
      <c r="I11" s="23">
        <v>0</v>
      </c>
      <c r="J11" s="8">
        <v>0</v>
      </c>
      <c r="K11" s="407" t="s">
        <v>998</v>
      </c>
    </row>
    <row r="12" spans="1:24">
      <c r="A12" s="50">
        <f t="shared" si="1"/>
        <v>996</v>
      </c>
      <c r="B12" s="427" t="s">
        <v>1036</v>
      </c>
      <c r="C12" s="34" t="s">
        <v>126</v>
      </c>
      <c r="D12" s="2">
        <f t="shared" si="3"/>
        <v>100</v>
      </c>
      <c r="E12" s="23"/>
      <c r="F12" s="23">
        <v>0</v>
      </c>
      <c r="G12" s="23">
        <v>0</v>
      </c>
      <c r="H12" s="23">
        <v>100</v>
      </c>
      <c r="I12" s="23">
        <v>0</v>
      </c>
      <c r="J12" s="8">
        <v>0</v>
      </c>
      <c r="K12" s="427" t="s">
        <v>1037</v>
      </c>
    </row>
    <row r="13" spans="1:24">
      <c r="A13" s="50">
        <f t="shared" si="1"/>
        <v>997</v>
      </c>
      <c r="B13" s="28" t="s">
        <v>411</v>
      </c>
      <c r="C13" s="34" t="s">
        <v>127</v>
      </c>
      <c r="D13" s="2">
        <f t="shared" si="3"/>
        <v>100</v>
      </c>
      <c r="E13" s="23">
        <v>0</v>
      </c>
      <c r="F13" s="23">
        <v>0</v>
      </c>
      <c r="G13" s="23">
        <v>0</v>
      </c>
      <c r="H13" s="23">
        <v>0</v>
      </c>
      <c r="I13" s="23">
        <v>100</v>
      </c>
      <c r="J13" s="8">
        <v>0</v>
      </c>
      <c r="K13" s="28" t="s">
        <v>543</v>
      </c>
    </row>
    <row r="14" spans="1:24">
      <c r="A14" s="50">
        <f t="shared" si="1"/>
        <v>998</v>
      </c>
      <c r="B14" s="28" t="s">
        <v>354</v>
      </c>
      <c r="C14" s="34" t="s">
        <v>114</v>
      </c>
      <c r="D14" s="2">
        <f t="shared" si="3"/>
        <v>2119390</v>
      </c>
      <c r="E14" s="21">
        <f>E$43*E46</f>
        <v>2077306</v>
      </c>
      <c r="F14" s="21">
        <f t="shared" ref="F14:J17" si="5">F$43*F46</f>
        <v>41579</v>
      </c>
      <c r="G14" s="21">
        <f t="shared" si="5"/>
        <v>0</v>
      </c>
      <c r="H14" s="21">
        <f t="shared" si="5"/>
        <v>39</v>
      </c>
      <c r="I14" s="21">
        <f t="shared" si="5"/>
        <v>466</v>
      </c>
      <c r="J14" s="2">
        <f t="shared" si="5"/>
        <v>0</v>
      </c>
      <c r="K14" s="28" t="s">
        <v>544</v>
      </c>
      <c r="R14" s="414" t="s">
        <v>997</v>
      </c>
      <c r="S14" s="415"/>
      <c r="T14" s="415"/>
      <c r="U14" s="415"/>
      <c r="V14" s="415"/>
      <c r="W14" s="415"/>
      <c r="X14" s="416"/>
    </row>
    <row r="15" spans="1:24">
      <c r="A15" s="50">
        <f t="shared" si="1"/>
        <v>999</v>
      </c>
      <c r="B15" s="28" t="s">
        <v>412</v>
      </c>
      <c r="C15" s="34" t="s">
        <v>128</v>
      </c>
      <c r="D15" s="2">
        <f>SUM(E15:J15)</f>
        <v>2125074.4571328675</v>
      </c>
      <c r="E15" s="21">
        <f>E$43*E47</f>
        <v>2077306</v>
      </c>
      <c r="F15" s="21">
        <f>F$43*F47</f>
        <v>41579</v>
      </c>
      <c r="G15" s="21">
        <f t="shared" si="5"/>
        <v>0</v>
      </c>
      <c r="H15" s="21">
        <f t="shared" si="5"/>
        <v>159.79361407573262</v>
      </c>
      <c r="I15" s="21">
        <f>I$43*I47</f>
        <v>6029.6635187918928</v>
      </c>
      <c r="J15" s="2">
        <f t="shared" si="5"/>
        <v>0</v>
      </c>
      <c r="K15" s="28" t="s">
        <v>545</v>
      </c>
      <c r="R15" s="417"/>
      <c r="S15" s="86"/>
      <c r="T15" s="86"/>
      <c r="U15" s="86"/>
      <c r="V15" s="86"/>
      <c r="W15" s="86"/>
      <c r="X15" s="418"/>
    </row>
    <row r="16" spans="1:24">
      <c r="A16" s="50">
        <f t="shared" si="1"/>
        <v>1000</v>
      </c>
      <c r="B16" s="28" t="s">
        <v>413</v>
      </c>
      <c r="C16" s="34" t="s">
        <v>129</v>
      </c>
      <c r="D16" s="2">
        <f t="shared" si="3"/>
        <v>2430766.6992813493</v>
      </c>
      <c r="E16" s="21">
        <f>E$43*E48</f>
        <v>2077306</v>
      </c>
      <c r="F16" s="21">
        <f t="shared" si="5"/>
        <v>336456.50180265162</v>
      </c>
      <c r="G16" s="21">
        <f t="shared" si="5"/>
        <v>0</v>
      </c>
      <c r="H16" s="21">
        <f t="shared" si="5"/>
        <v>2492.77193873847</v>
      </c>
      <c r="I16" s="21">
        <f t="shared" si="5"/>
        <v>14511.425539959193</v>
      </c>
      <c r="J16" s="2">
        <f t="shared" si="5"/>
        <v>0</v>
      </c>
      <c r="K16" s="28" t="s">
        <v>546</v>
      </c>
      <c r="R16" s="417"/>
      <c r="S16" s="86"/>
      <c r="T16" s="86"/>
      <c r="U16" s="86"/>
      <c r="V16" s="86"/>
      <c r="W16" s="86"/>
      <c r="X16" s="418"/>
    </row>
    <row r="17" spans="1:24">
      <c r="A17" s="50">
        <f t="shared" si="1"/>
        <v>1001</v>
      </c>
      <c r="B17" s="427" t="s">
        <v>414</v>
      </c>
      <c r="C17" s="412" t="s">
        <v>130</v>
      </c>
      <c r="D17" s="39">
        <f t="shared" si="3"/>
        <v>2119390</v>
      </c>
      <c r="E17" s="82">
        <f>E43*E49</f>
        <v>2077306</v>
      </c>
      <c r="F17" s="82">
        <f>F43*F49</f>
        <v>41579</v>
      </c>
      <c r="G17" s="82">
        <f>G43*G49</f>
        <v>0</v>
      </c>
      <c r="H17" s="82">
        <f>H43*H49</f>
        <v>39</v>
      </c>
      <c r="I17" s="82">
        <f>I43*I49</f>
        <v>466</v>
      </c>
      <c r="J17" s="401">
        <f t="shared" si="5"/>
        <v>0</v>
      </c>
      <c r="K17" s="407" t="s">
        <v>998</v>
      </c>
      <c r="R17" s="417"/>
      <c r="S17" s="419" t="s">
        <v>120</v>
      </c>
      <c r="T17" s="419" t="s">
        <v>397</v>
      </c>
      <c r="U17" s="419" t="s">
        <v>398</v>
      </c>
      <c r="V17" s="419" t="s">
        <v>399</v>
      </c>
      <c r="W17" s="419" t="s">
        <v>400</v>
      </c>
      <c r="X17" s="420" t="s">
        <v>401</v>
      </c>
    </row>
    <row r="18" spans="1:24">
      <c r="A18" s="50">
        <f t="shared" si="1"/>
        <v>1002</v>
      </c>
      <c r="B18" s="28" t="s">
        <v>416</v>
      </c>
      <c r="C18" s="34" t="s">
        <v>131</v>
      </c>
      <c r="D18" s="2">
        <f t="shared" si="3"/>
        <v>44262.412300393327</v>
      </c>
      <c r="E18" s="21">
        <f t="shared" ref="E18:J18" si="6">E$43*E51</f>
        <v>0</v>
      </c>
      <c r="F18" s="21">
        <f t="shared" si="6"/>
        <v>41579</v>
      </c>
      <c r="G18" s="21">
        <f t="shared" si="6"/>
        <v>0</v>
      </c>
      <c r="H18" s="21">
        <f t="shared" si="6"/>
        <v>395.48104403269127</v>
      </c>
      <c r="I18" s="21">
        <f t="shared" si="6"/>
        <v>2287.9312563606377</v>
      </c>
      <c r="J18" s="2">
        <f t="shared" si="6"/>
        <v>0</v>
      </c>
      <c r="K18" s="28" t="s">
        <v>132</v>
      </c>
      <c r="R18" s="417" t="s">
        <v>990</v>
      </c>
      <c r="S18" s="5">
        <f>Detail!H43+Detail!H89</f>
        <v>541785000</v>
      </c>
      <c r="T18" s="5">
        <f>Detail!I43+Detail!I89</f>
        <v>402660790.16706216</v>
      </c>
      <c r="U18" s="5">
        <f>Detail!J43+Detail!J89</f>
        <v>108277204.95113939</v>
      </c>
      <c r="V18" s="5">
        <f>Detail!K43+Detail!K89</f>
        <v>0</v>
      </c>
      <c r="W18" s="5">
        <f>Detail!L43+Detail!L89</f>
        <v>2686528.8085302999</v>
      </c>
      <c r="X18" s="421">
        <f>Detail!M43+Detail!M89</f>
        <v>28160476.073268138</v>
      </c>
    </row>
    <row r="19" spans="1:24">
      <c r="A19" s="50">
        <f t="shared" si="1"/>
        <v>1003</v>
      </c>
      <c r="B19" s="28" t="s">
        <v>423</v>
      </c>
      <c r="C19" s="34" t="s">
        <v>422</v>
      </c>
      <c r="D19" s="2">
        <f>SUM(E19:J19)</f>
        <v>100</v>
      </c>
      <c r="E19" s="23">
        <v>100</v>
      </c>
      <c r="F19" s="23">
        <v>0</v>
      </c>
      <c r="G19" s="23">
        <v>0</v>
      </c>
      <c r="H19" s="23">
        <v>0</v>
      </c>
      <c r="I19" s="23">
        <v>0</v>
      </c>
      <c r="J19" s="8">
        <v>0</v>
      </c>
      <c r="K19" s="28" t="s">
        <v>536</v>
      </c>
      <c r="R19" s="417" t="s">
        <v>991</v>
      </c>
      <c r="S19" s="5">
        <f>Detail!H254-Detail!CL254</f>
        <v>10286634.62769217</v>
      </c>
      <c r="T19" s="5">
        <f>Detail!I254-Detail!CM254</f>
        <v>8320415.1425856147</v>
      </c>
      <c r="U19" s="5">
        <f>Detail!J254-Detail!CN254</f>
        <v>1634834.9145316356</v>
      </c>
      <c r="V19" s="5">
        <f>Detail!K254-Detail!CO254</f>
        <v>0</v>
      </c>
      <c r="W19" s="5">
        <f>Detail!L254-Detail!CP254</f>
        <v>42345.184679371167</v>
      </c>
      <c r="X19" s="421">
        <f>Detail!M254-Detail!CQ254</f>
        <v>289039.38589554653</v>
      </c>
    </row>
    <row r="20" spans="1:24">
      <c r="A20" s="50">
        <f t="shared" si="1"/>
        <v>1004</v>
      </c>
      <c r="B20" s="28" t="s">
        <v>350</v>
      </c>
      <c r="C20" s="34" t="s">
        <v>113</v>
      </c>
      <c r="D20" s="2">
        <f>SUM(E20:J20)</f>
        <v>125317064.88350001</v>
      </c>
      <c r="E20" s="23">
        <v>97109989.760000005</v>
      </c>
      <c r="F20" s="23">
        <v>23833880</v>
      </c>
      <c r="G20" s="23"/>
      <c r="H20" s="23">
        <v>639376.75</v>
      </c>
      <c r="I20" s="23">
        <v>3733818.3734999993</v>
      </c>
      <c r="J20" s="8">
        <v>0</v>
      </c>
      <c r="K20" s="427" t="s">
        <v>1283</v>
      </c>
      <c r="R20" s="417" t="s">
        <v>992</v>
      </c>
      <c r="S20" s="5">
        <f>Detail!CL254</f>
        <v>11660365.37230783</v>
      </c>
      <c r="T20" s="5">
        <f>Detail!CM254</f>
        <v>9732592.7037723828</v>
      </c>
      <c r="U20" s="5">
        <f>Detail!CN254</f>
        <v>1545481.0522918249</v>
      </c>
      <c r="V20" s="5">
        <f>Detail!CO254</f>
        <v>0</v>
      </c>
      <c r="W20" s="5">
        <f>Detail!CP254</f>
        <v>37740.371943184982</v>
      </c>
      <c r="X20" s="421">
        <f>Detail!CQ254</f>
        <v>344551.24430043588</v>
      </c>
    </row>
    <row r="21" spans="1:24">
      <c r="A21" s="50">
        <f t="shared" si="1"/>
        <v>1005</v>
      </c>
      <c r="B21" s="50"/>
      <c r="C21" s="36"/>
      <c r="D21" s="8"/>
      <c r="E21" s="49"/>
      <c r="F21" s="49"/>
      <c r="G21" s="49"/>
      <c r="H21" s="49"/>
      <c r="I21" s="49"/>
      <c r="R21" s="417" t="s">
        <v>993</v>
      </c>
      <c r="S21" s="5">
        <f t="shared" ref="S21:X21" si="7">D14</f>
        <v>2119390</v>
      </c>
      <c r="T21" s="5">
        <f t="shared" si="7"/>
        <v>2077306</v>
      </c>
      <c r="U21" s="5">
        <f t="shared" si="7"/>
        <v>41579</v>
      </c>
      <c r="V21" s="5">
        <f t="shared" si="7"/>
        <v>0</v>
      </c>
      <c r="W21" s="5">
        <f t="shared" si="7"/>
        <v>39</v>
      </c>
      <c r="X21" s="421">
        <f t="shared" si="7"/>
        <v>466</v>
      </c>
    </row>
    <row r="22" spans="1:24">
      <c r="A22" s="50">
        <f t="shared" si="1"/>
        <v>1006</v>
      </c>
      <c r="B22" s="28" t="s">
        <v>352</v>
      </c>
      <c r="C22" s="34" t="s">
        <v>396</v>
      </c>
      <c r="D22" s="27">
        <f>SUM(E22:J22)</f>
        <v>1</v>
      </c>
      <c r="E22" s="117">
        <f>E4/$D4</f>
        <v>0.57443853389280997</v>
      </c>
      <c r="F22" s="117">
        <f t="shared" ref="E22:J31" si="8">F4/$D4</f>
        <v>0.27832416360857481</v>
      </c>
      <c r="G22" s="117">
        <f t="shared" si="8"/>
        <v>0</v>
      </c>
      <c r="H22" s="117">
        <f t="shared" si="8"/>
        <v>1.1365244330027334E-2</v>
      </c>
      <c r="I22" s="117">
        <f t="shared" si="8"/>
        <v>0.13587205816858797</v>
      </c>
      <c r="J22" s="27">
        <f t="shared" si="8"/>
        <v>0</v>
      </c>
      <c r="R22" s="417"/>
      <c r="S22" s="86"/>
      <c r="T22" s="86"/>
      <c r="U22" s="86"/>
      <c r="V22" s="86"/>
      <c r="W22" s="86"/>
      <c r="X22" s="418"/>
    </row>
    <row r="23" spans="1:24">
      <c r="A23" s="50">
        <f t="shared" si="1"/>
        <v>1007</v>
      </c>
      <c r="B23" s="28" t="s">
        <v>405</v>
      </c>
      <c r="C23" s="34" t="s">
        <v>404</v>
      </c>
      <c r="D23" s="27">
        <f t="shared" ref="D23:D38" si="9">SUM(E23:J23)</f>
        <v>1</v>
      </c>
      <c r="E23" s="117">
        <f>E5/$D5</f>
        <v>0.66476097587512184</v>
      </c>
      <c r="F23" s="117">
        <f t="shared" si="8"/>
        <v>0.32208675374933626</v>
      </c>
      <c r="G23" s="117">
        <f t="shared" si="8"/>
        <v>0</v>
      </c>
      <c r="H23" s="117">
        <f t="shared" si="8"/>
        <v>1.315227037554197E-2</v>
      </c>
      <c r="I23" s="117">
        <f t="shared" si="8"/>
        <v>0</v>
      </c>
      <c r="J23" s="27">
        <f t="shared" si="8"/>
        <v>0</v>
      </c>
      <c r="R23" s="417"/>
      <c r="S23" s="86"/>
      <c r="T23" s="86"/>
      <c r="U23" s="86"/>
      <c r="V23" s="86"/>
      <c r="W23" s="86"/>
      <c r="X23" s="418"/>
    </row>
    <row r="24" spans="1:24">
      <c r="A24" s="50">
        <f t="shared" si="1"/>
        <v>1008</v>
      </c>
      <c r="B24" s="427" t="s">
        <v>1248</v>
      </c>
      <c r="C24" s="34" t="s">
        <v>406</v>
      </c>
      <c r="D24" s="27">
        <f t="shared" si="9"/>
        <v>1</v>
      </c>
      <c r="E24" s="117">
        <f>E6/$D6</f>
        <v>0.62570318857361751</v>
      </c>
      <c r="F24" s="117">
        <f t="shared" si="8"/>
        <v>0.2684140496373445</v>
      </c>
      <c r="G24" s="117">
        <f t="shared" si="8"/>
        <v>0</v>
      </c>
      <c r="H24" s="117">
        <f t="shared" si="8"/>
        <v>9.2882368986802969E-3</v>
      </c>
      <c r="I24" s="117">
        <f t="shared" si="8"/>
        <v>9.6594524890357733E-2</v>
      </c>
      <c r="J24" s="27">
        <f t="shared" si="8"/>
        <v>0</v>
      </c>
      <c r="R24" s="417" t="s">
        <v>990</v>
      </c>
      <c r="S24" s="422">
        <f>SUM(T24:X24)</f>
        <v>1</v>
      </c>
      <c r="T24" s="422">
        <f>T18/$S$18</f>
        <v>0.74321140335568936</v>
      </c>
      <c r="U24" s="422">
        <f>U18/$S$18</f>
        <v>0.19985271823904205</v>
      </c>
      <c r="V24" s="422">
        <f>V18/$S$18</f>
        <v>0</v>
      </c>
      <c r="W24" s="422">
        <f>W18/$S$18</f>
        <v>4.9586622156949714E-3</v>
      </c>
      <c r="X24" s="423">
        <f>X18/$S$18</f>
        <v>5.1977216189573607E-2</v>
      </c>
    </row>
    <row r="25" spans="1:24">
      <c r="A25" s="50">
        <f t="shared" si="1"/>
        <v>1009</v>
      </c>
      <c r="B25" s="427" t="s">
        <v>1249</v>
      </c>
      <c r="C25" s="34" t="s">
        <v>424</v>
      </c>
      <c r="D25" s="27">
        <f t="shared" si="9"/>
        <v>1.0000000000000002</v>
      </c>
      <c r="E25" s="117">
        <f t="shared" si="8"/>
        <v>0.72712716052185844</v>
      </c>
      <c r="F25" s="117">
        <f t="shared" si="8"/>
        <v>0.26592740374175072</v>
      </c>
      <c r="G25" s="117">
        <f t="shared" si="8"/>
        <v>0</v>
      </c>
      <c r="H25" s="117">
        <f t="shared" si="8"/>
        <v>6.9454357363909558E-3</v>
      </c>
      <c r="I25" s="117">
        <f t="shared" si="8"/>
        <v>0</v>
      </c>
      <c r="J25" s="27">
        <f t="shared" si="8"/>
        <v>0</v>
      </c>
      <c r="R25" s="417" t="s">
        <v>991</v>
      </c>
      <c r="S25" s="422">
        <f>SUM(T25:X25)</f>
        <v>0.99999999999999978</v>
      </c>
      <c r="T25" s="422">
        <f>T19/$S$19</f>
        <v>0.80885687532700079</v>
      </c>
      <c r="U25" s="422">
        <f>U19/$S$19</f>
        <v>0.15892806284093852</v>
      </c>
      <c r="V25" s="422">
        <f>V19/$S$19</f>
        <v>0</v>
      </c>
      <c r="W25" s="422">
        <f>W19/$S$19</f>
        <v>4.116524617815788E-3</v>
      </c>
      <c r="X25" s="423">
        <f>X19/$S$19</f>
        <v>2.8098537214244691E-2</v>
      </c>
    </row>
    <row r="26" spans="1:24">
      <c r="A26" s="50">
        <f t="shared" si="1"/>
        <v>1010</v>
      </c>
      <c r="B26" s="28" t="s">
        <v>430</v>
      </c>
      <c r="C26" s="34" t="s">
        <v>429</v>
      </c>
      <c r="D26" s="27">
        <f t="shared" si="9"/>
        <v>1</v>
      </c>
      <c r="E26" s="117">
        <f t="shared" si="8"/>
        <v>0.71249306827706393</v>
      </c>
      <c r="F26" s="117">
        <f t="shared" si="8"/>
        <v>0.27910892866481374</v>
      </c>
      <c r="G26" s="117">
        <f t="shared" si="8"/>
        <v>0</v>
      </c>
      <c r="H26" s="117">
        <f t="shared" si="8"/>
        <v>8.3980030581223344E-3</v>
      </c>
      <c r="I26" s="117">
        <f t="shared" si="8"/>
        <v>0</v>
      </c>
      <c r="J26" s="27">
        <f t="shared" si="8"/>
        <v>0</v>
      </c>
      <c r="R26" s="417" t="s">
        <v>992</v>
      </c>
      <c r="S26" s="422">
        <f>SUM(T26:X26)</f>
        <v>0.99999999999999989</v>
      </c>
      <c r="T26" s="422">
        <f>T20/$S$20</f>
        <v>0.83467304780056817</v>
      </c>
      <c r="U26" s="422">
        <f>U20/$S$20</f>
        <v>0.13254139153839756</v>
      </c>
      <c r="V26" s="422">
        <f>V20/$S$20</f>
        <v>0</v>
      </c>
      <c r="W26" s="422">
        <f>W20/$S$20</f>
        <v>3.2366371668605246E-3</v>
      </c>
      <c r="X26" s="423">
        <f>X20/$S$20</f>
        <v>2.9548923494173665E-2</v>
      </c>
    </row>
    <row r="27" spans="1:24">
      <c r="A27" s="50">
        <f t="shared" si="1"/>
        <v>1011</v>
      </c>
      <c r="B27" s="28" t="s">
        <v>409</v>
      </c>
      <c r="C27" s="34" t="s">
        <v>125</v>
      </c>
      <c r="D27" s="27">
        <f t="shared" si="9"/>
        <v>1</v>
      </c>
      <c r="E27" s="117">
        <f t="shared" si="8"/>
        <v>0.56535147112062811</v>
      </c>
      <c r="F27" s="117">
        <f t="shared" si="8"/>
        <v>0.34890766382404226</v>
      </c>
      <c r="G27" s="117">
        <f t="shared" si="8"/>
        <v>0</v>
      </c>
      <c r="H27" s="117">
        <f t="shared" si="8"/>
        <v>7.5177999737315497E-3</v>
      </c>
      <c r="I27" s="117">
        <f t="shared" si="8"/>
        <v>7.8223065081597987E-2</v>
      </c>
      <c r="J27" s="27">
        <f t="shared" si="8"/>
        <v>0</v>
      </c>
      <c r="R27" s="417" t="s">
        <v>993</v>
      </c>
      <c r="S27" s="422">
        <f>SUM(T27:X27)</f>
        <v>1</v>
      </c>
      <c r="T27" s="422">
        <f>T21/$S$21</f>
        <v>0.98014334313175022</v>
      </c>
      <c r="U27" s="422">
        <f>U21/$S$21</f>
        <v>1.9618380760501843E-2</v>
      </c>
      <c r="V27" s="422">
        <f>V21/$S$21</f>
        <v>0</v>
      </c>
      <c r="W27" s="422">
        <f>W21/$S$21</f>
        <v>1.8401521192418575E-5</v>
      </c>
      <c r="X27" s="423">
        <f>X21/$S$21</f>
        <v>2.1987458655556551E-4</v>
      </c>
    </row>
    <row r="28" spans="1:24">
      <c r="A28" s="50">
        <f t="shared" si="1"/>
        <v>1012</v>
      </c>
      <c r="B28" s="28" t="s">
        <v>408</v>
      </c>
      <c r="C28" s="34" t="s">
        <v>112</v>
      </c>
      <c r="D28" s="27">
        <f t="shared" si="9"/>
        <v>1</v>
      </c>
      <c r="E28" s="117">
        <f t="shared" si="8"/>
        <v>0.61837114830123341</v>
      </c>
      <c r="F28" s="117">
        <f t="shared" si="8"/>
        <v>0.38162885169876654</v>
      </c>
      <c r="G28" s="117">
        <f t="shared" si="8"/>
        <v>0</v>
      </c>
      <c r="H28" s="117">
        <f t="shared" si="8"/>
        <v>0</v>
      </c>
      <c r="I28" s="117">
        <f t="shared" si="8"/>
        <v>0</v>
      </c>
      <c r="J28" s="27">
        <f t="shared" si="8"/>
        <v>0</v>
      </c>
      <c r="R28" s="417"/>
      <c r="S28" s="86"/>
      <c r="T28" s="86"/>
      <c r="U28" s="86"/>
      <c r="V28" s="86"/>
      <c r="W28" s="86"/>
      <c r="X28" s="418"/>
    </row>
    <row r="29" spans="1:24">
      <c r="A29" s="50">
        <f t="shared" si="1"/>
        <v>1013</v>
      </c>
      <c r="B29" s="28" t="s">
        <v>426</v>
      </c>
      <c r="C29" s="34" t="s">
        <v>427</v>
      </c>
      <c r="D29" s="27">
        <f t="shared" si="9"/>
        <v>1</v>
      </c>
      <c r="E29" s="117">
        <f t="shared" si="8"/>
        <v>1</v>
      </c>
      <c r="F29" s="117">
        <f t="shared" si="8"/>
        <v>0</v>
      </c>
      <c r="G29" s="117">
        <f t="shared" si="8"/>
        <v>0</v>
      </c>
      <c r="H29" s="117">
        <f t="shared" si="8"/>
        <v>0</v>
      </c>
      <c r="I29" s="117">
        <f t="shared" si="8"/>
        <v>0</v>
      </c>
      <c r="J29" s="27">
        <f t="shared" si="8"/>
        <v>0</v>
      </c>
      <c r="O29" s="2">
        <f>D20+Detail!E422</f>
        <v>64.883500009775162</v>
      </c>
      <c r="R29" s="417" t="s">
        <v>947</v>
      </c>
      <c r="S29" s="66">
        <f>SUM(T29:X29)</f>
        <v>0.99999999999999978</v>
      </c>
      <c r="T29" s="66">
        <f>AVERAGE(T24:T27)</f>
        <v>0.84172116740375202</v>
      </c>
      <c r="U29" s="66">
        <f>AVERAGE(U24:U27)</f>
        <v>0.12773513834472</v>
      </c>
      <c r="V29" s="66">
        <f>AVERAGE(V24:V27)</f>
        <v>0</v>
      </c>
      <c r="W29" s="66">
        <f>AVERAGE(W24:W27)</f>
        <v>3.0825563803909255E-3</v>
      </c>
      <c r="X29" s="92">
        <f>AVERAGE(X24:X27)</f>
        <v>2.7461137871136881E-2</v>
      </c>
    </row>
    <row r="30" spans="1:24">
      <c r="A30" s="50">
        <f t="shared" si="1"/>
        <v>1014</v>
      </c>
      <c r="B30" s="28" t="s">
        <v>1007</v>
      </c>
      <c r="C30" s="34" t="s">
        <v>126</v>
      </c>
      <c r="D30" s="27">
        <f t="shared" si="9"/>
        <v>1</v>
      </c>
      <c r="E30" s="117">
        <f t="shared" si="8"/>
        <v>0</v>
      </c>
      <c r="F30" s="117">
        <f t="shared" si="8"/>
        <v>0</v>
      </c>
      <c r="G30" s="117">
        <f t="shared" si="8"/>
        <v>0</v>
      </c>
      <c r="H30" s="117">
        <f t="shared" si="8"/>
        <v>1</v>
      </c>
      <c r="I30" s="117">
        <f t="shared" si="8"/>
        <v>0</v>
      </c>
      <c r="J30" s="27">
        <f t="shared" si="8"/>
        <v>0</v>
      </c>
      <c r="R30" s="417"/>
      <c r="S30" s="86"/>
      <c r="T30" s="86"/>
      <c r="U30" s="86"/>
      <c r="V30" s="86"/>
      <c r="W30" s="86"/>
      <c r="X30" s="418"/>
    </row>
    <row r="31" spans="1:24">
      <c r="A31" s="50">
        <f t="shared" si="1"/>
        <v>1015</v>
      </c>
      <c r="B31" s="28" t="s">
        <v>411</v>
      </c>
      <c r="C31" s="34" t="s">
        <v>127</v>
      </c>
      <c r="D31" s="27">
        <f t="shared" si="9"/>
        <v>1</v>
      </c>
      <c r="E31" s="117">
        <f t="shared" si="8"/>
        <v>0</v>
      </c>
      <c r="F31" s="117">
        <f t="shared" si="8"/>
        <v>0</v>
      </c>
      <c r="G31" s="117">
        <f t="shared" si="8"/>
        <v>0</v>
      </c>
      <c r="H31" s="117">
        <f t="shared" si="8"/>
        <v>0</v>
      </c>
      <c r="I31" s="117">
        <f t="shared" si="8"/>
        <v>1</v>
      </c>
      <c r="J31" s="27">
        <f t="shared" si="8"/>
        <v>0</v>
      </c>
      <c r="R31" s="417" t="s">
        <v>994</v>
      </c>
      <c r="S31" s="428">
        <f>SUM(T31:X31)</f>
        <v>999.99999999999977</v>
      </c>
      <c r="T31" s="428">
        <f>T29*1000</f>
        <v>841.72116740375202</v>
      </c>
      <c r="U31" s="428">
        <f>U29*1000</f>
        <v>127.73513834472</v>
      </c>
      <c r="V31" s="428">
        <f>V29*1000</f>
        <v>0</v>
      </c>
      <c r="W31" s="428">
        <f>W29*1000</f>
        <v>3.0825563803909257</v>
      </c>
      <c r="X31" s="429">
        <f>X29*1000</f>
        <v>27.461137871136881</v>
      </c>
    </row>
    <row r="32" spans="1:24">
      <c r="A32" s="50">
        <f t="shared" si="1"/>
        <v>1016</v>
      </c>
      <c r="B32" s="28" t="s">
        <v>354</v>
      </c>
      <c r="C32" s="34" t="s">
        <v>114</v>
      </c>
      <c r="D32" s="27">
        <f t="shared" si="9"/>
        <v>1</v>
      </c>
      <c r="E32" s="117">
        <f t="shared" ref="E32:J35" si="10">E14/$D14</f>
        <v>0.98014334313175022</v>
      </c>
      <c r="F32" s="117">
        <f t="shared" si="10"/>
        <v>1.9618380760501843E-2</v>
      </c>
      <c r="G32" s="117">
        <f t="shared" si="10"/>
        <v>0</v>
      </c>
      <c r="H32" s="117">
        <f t="shared" si="10"/>
        <v>1.8401521192418575E-5</v>
      </c>
      <c r="I32" s="117">
        <f t="shared" si="10"/>
        <v>2.1987458655556551E-4</v>
      </c>
      <c r="J32" s="27">
        <f t="shared" si="10"/>
        <v>0</v>
      </c>
      <c r="R32" s="424"/>
      <c r="S32" s="425"/>
      <c r="T32" s="425"/>
      <c r="U32" s="425"/>
      <c r="V32" s="425"/>
      <c r="W32" s="425"/>
      <c r="X32" s="426"/>
    </row>
    <row r="33" spans="1:18">
      <c r="A33" s="50">
        <f t="shared" si="1"/>
        <v>1017</v>
      </c>
      <c r="B33" s="28" t="s">
        <v>412</v>
      </c>
      <c r="C33" s="34" t="s">
        <v>128</v>
      </c>
      <c r="D33" s="27">
        <f t="shared" si="9"/>
        <v>1</v>
      </c>
      <c r="E33" s="117">
        <f>E15/$D15</f>
        <v>0.9775215136709533</v>
      </c>
      <c r="F33" s="117">
        <f t="shared" si="10"/>
        <v>1.956590267246355E-2</v>
      </c>
      <c r="G33" s="117">
        <f t="shared" si="10"/>
        <v>0</v>
      </c>
      <c r="H33" s="117">
        <f t="shared" si="10"/>
        <v>7.5194360150243774E-5</v>
      </c>
      <c r="I33" s="117">
        <f t="shared" si="10"/>
        <v>2.8373892964329655E-3</v>
      </c>
      <c r="J33" s="27">
        <f t="shared" si="10"/>
        <v>0</v>
      </c>
    </row>
    <row r="34" spans="1:18">
      <c r="A34" s="50">
        <f t="shared" si="1"/>
        <v>1018</v>
      </c>
      <c r="B34" s="28" t="s">
        <v>413</v>
      </c>
      <c r="C34" s="34" t="s">
        <v>129</v>
      </c>
      <c r="D34" s="27">
        <f t="shared" si="9"/>
        <v>1</v>
      </c>
      <c r="E34" s="117">
        <f t="shared" si="10"/>
        <v>0.85458880139099769</v>
      </c>
      <c r="F34" s="117">
        <f t="shared" si="10"/>
        <v>0.13841579362681092</v>
      </c>
      <c r="G34" s="117">
        <f t="shared" si="10"/>
        <v>0</v>
      </c>
      <c r="H34" s="117">
        <f t="shared" si="10"/>
        <v>1.0255085111522436E-3</v>
      </c>
      <c r="I34" s="117">
        <f t="shared" si="10"/>
        <v>5.9698964710391432E-3</v>
      </c>
      <c r="J34" s="27">
        <f t="shared" si="10"/>
        <v>0</v>
      </c>
      <c r="R34" t="s">
        <v>1006</v>
      </c>
    </row>
    <row r="35" spans="1:18">
      <c r="A35" s="50">
        <f t="shared" si="1"/>
        <v>1019</v>
      </c>
      <c r="B35" s="28" t="s">
        <v>414</v>
      </c>
      <c r="C35" s="34" t="s">
        <v>130</v>
      </c>
      <c r="D35" s="27">
        <f t="shared" si="9"/>
        <v>1</v>
      </c>
      <c r="E35" s="117">
        <f t="shared" si="10"/>
        <v>0.98014334313175022</v>
      </c>
      <c r="F35" s="117">
        <f t="shared" si="10"/>
        <v>1.9618380760501843E-2</v>
      </c>
      <c r="G35" s="117">
        <f t="shared" si="10"/>
        <v>0</v>
      </c>
      <c r="H35" s="117">
        <f t="shared" si="10"/>
        <v>1.8401521192418575E-5</v>
      </c>
      <c r="I35" s="117">
        <f t="shared" si="10"/>
        <v>2.1987458655556551E-4</v>
      </c>
      <c r="J35" s="27">
        <f t="shared" si="10"/>
        <v>0</v>
      </c>
    </row>
    <row r="36" spans="1:18">
      <c r="A36" s="50">
        <f t="shared" si="1"/>
        <v>1020</v>
      </c>
      <c r="B36" s="28" t="s">
        <v>416</v>
      </c>
      <c r="C36" s="34" t="s">
        <v>131</v>
      </c>
      <c r="D36" s="27">
        <f t="shared" si="9"/>
        <v>1</v>
      </c>
      <c r="E36" s="117">
        <f t="shared" ref="E36:J36" si="11">E18/$D18</f>
        <v>0</v>
      </c>
      <c r="F36" s="117">
        <f t="shared" si="11"/>
        <v>0.93937491969073084</v>
      </c>
      <c r="G36" s="117">
        <f t="shared" si="11"/>
        <v>0</v>
      </c>
      <c r="H36" s="117">
        <f t="shared" si="11"/>
        <v>8.9349184438638676E-3</v>
      </c>
      <c r="I36" s="117">
        <f t="shared" si="11"/>
        <v>5.1690161865405301E-2</v>
      </c>
      <c r="J36" s="27">
        <f t="shared" si="11"/>
        <v>0</v>
      </c>
    </row>
    <row r="37" spans="1:18">
      <c r="A37" s="50">
        <f t="shared" si="1"/>
        <v>1021</v>
      </c>
      <c r="B37" s="28" t="s">
        <v>423</v>
      </c>
      <c r="C37" s="34" t="s">
        <v>422</v>
      </c>
      <c r="D37" s="27">
        <f t="shared" si="9"/>
        <v>1</v>
      </c>
      <c r="E37" s="117">
        <f t="shared" ref="E37:J37" si="12">E19/$D19</f>
        <v>1</v>
      </c>
      <c r="F37" s="117">
        <f t="shared" si="12"/>
        <v>0</v>
      </c>
      <c r="G37" s="117">
        <f t="shared" si="12"/>
        <v>0</v>
      </c>
      <c r="H37" s="117">
        <f t="shared" si="12"/>
        <v>0</v>
      </c>
      <c r="I37" s="117">
        <f t="shared" si="12"/>
        <v>0</v>
      </c>
      <c r="J37" s="27">
        <f t="shared" si="12"/>
        <v>0</v>
      </c>
    </row>
    <row r="38" spans="1:18">
      <c r="A38" s="50">
        <f t="shared" si="1"/>
        <v>1022</v>
      </c>
      <c r="B38" s="28" t="s">
        <v>350</v>
      </c>
      <c r="C38" s="34" t="s">
        <v>113</v>
      </c>
      <c r="D38" s="27">
        <f t="shared" si="9"/>
        <v>1</v>
      </c>
      <c r="E38" s="117">
        <f t="shared" ref="E38:J38" si="13">E20/$D20</f>
        <v>0.77491433309803037</v>
      </c>
      <c r="F38" s="117">
        <f t="shared" si="13"/>
        <v>0.19018862293141778</v>
      </c>
      <c r="G38" s="117">
        <f t="shared" si="13"/>
        <v>0</v>
      </c>
      <c r="H38" s="117">
        <f t="shared" si="13"/>
        <v>5.1020724958280132E-3</v>
      </c>
      <c r="I38" s="117">
        <f t="shared" si="13"/>
        <v>2.979497147472384E-2</v>
      </c>
      <c r="J38" s="27">
        <f t="shared" si="13"/>
        <v>0</v>
      </c>
    </row>
    <row r="39" spans="1:18">
      <c r="A39" s="50">
        <f t="shared" si="1"/>
        <v>1023</v>
      </c>
      <c r="B39" s="50"/>
      <c r="E39" s="49"/>
      <c r="F39" s="49"/>
      <c r="G39" s="49"/>
      <c r="H39" s="49"/>
      <c r="I39" s="49"/>
    </row>
    <row r="40" spans="1:18">
      <c r="A40" s="50">
        <f t="shared" si="1"/>
        <v>1024</v>
      </c>
      <c r="B40" s="50"/>
      <c r="E40" s="49"/>
      <c r="F40" s="49"/>
      <c r="G40" s="49"/>
      <c r="H40" s="49"/>
      <c r="I40" s="49"/>
    </row>
    <row r="41" spans="1:18">
      <c r="A41" s="50">
        <f t="shared" si="1"/>
        <v>1025</v>
      </c>
      <c r="B41" s="50"/>
      <c r="C41" t="s">
        <v>520</v>
      </c>
      <c r="E41" s="23">
        <v>136106732.85768002</v>
      </c>
      <c r="F41" s="23">
        <v>65945772</v>
      </c>
      <c r="G41" s="23">
        <v>0</v>
      </c>
      <c r="H41" s="23">
        <v>2692866.4820002159</v>
      </c>
      <c r="I41" s="23">
        <v>32193352</v>
      </c>
      <c r="J41" s="8">
        <v>0</v>
      </c>
      <c r="K41" s="28" t="s">
        <v>540</v>
      </c>
    </row>
    <row r="42" spans="1:18">
      <c r="A42" s="50">
        <f t="shared" si="1"/>
        <v>1026</v>
      </c>
      <c r="B42" s="50"/>
      <c r="C42" t="s">
        <v>522</v>
      </c>
      <c r="E42" s="373">
        <f>'Demand - Pk-Avg'!G8</f>
        <v>1005753.4119144318</v>
      </c>
      <c r="F42" s="373">
        <f>'Demand - Pk-Avg'!G9</f>
        <v>620702.5032384675</v>
      </c>
      <c r="G42" s="373">
        <f>'Demand - Pk-Avg'!G10</f>
        <v>0</v>
      </c>
      <c r="H42" s="373">
        <f>'Demand - Pk-Avg'!G16</f>
        <v>13374.074995654239</v>
      </c>
      <c r="I42" s="373">
        <f>'Demand - Pk-Avg'!G19</f>
        <v>139157.88428086619</v>
      </c>
      <c r="J42" s="23">
        <v>0</v>
      </c>
      <c r="K42" s="28" t="s">
        <v>542</v>
      </c>
    </row>
    <row r="43" spans="1:18">
      <c r="A43" s="50">
        <f t="shared" si="1"/>
        <v>1027</v>
      </c>
      <c r="B43" s="50"/>
      <c r="C43" t="s">
        <v>523</v>
      </c>
      <c r="E43" s="23">
        <v>2077306</v>
      </c>
      <c r="F43" s="23">
        <v>41579</v>
      </c>
      <c r="G43" s="23">
        <v>0.01</v>
      </c>
      <c r="H43" s="23">
        <v>39</v>
      </c>
      <c r="I43" s="23">
        <v>466</v>
      </c>
      <c r="J43" s="8"/>
      <c r="K43" s="28" t="s">
        <v>540</v>
      </c>
    </row>
    <row r="44" spans="1:18">
      <c r="A44" s="50">
        <f t="shared" si="1"/>
        <v>1028</v>
      </c>
      <c r="B44" s="50"/>
      <c r="E44" s="49"/>
      <c r="F44" s="49"/>
      <c r="G44" s="49"/>
      <c r="H44" s="49"/>
      <c r="I44" s="49"/>
    </row>
    <row r="45" spans="1:18">
      <c r="A45" s="50">
        <f t="shared" si="1"/>
        <v>1029</v>
      </c>
      <c r="B45" s="50"/>
      <c r="C45" s="30" t="s">
        <v>134</v>
      </c>
      <c r="E45" s="49"/>
      <c r="F45" s="49"/>
      <c r="G45" s="49"/>
      <c r="H45" s="49"/>
      <c r="I45" s="49"/>
    </row>
    <row r="46" spans="1:18">
      <c r="A46" s="50">
        <f t="shared" si="1"/>
        <v>1030</v>
      </c>
      <c r="B46" s="50"/>
      <c r="C46" t="s">
        <v>354</v>
      </c>
      <c r="E46" s="118">
        <v>1</v>
      </c>
      <c r="F46" s="118">
        <v>1</v>
      </c>
      <c r="G46" s="118">
        <v>0</v>
      </c>
      <c r="H46" s="118">
        <v>1</v>
      </c>
      <c r="I46" s="118">
        <v>1</v>
      </c>
      <c r="J46" s="11"/>
    </row>
    <row r="47" spans="1:18">
      <c r="A47" s="50">
        <f t="shared" si="1"/>
        <v>1031</v>
      </c>
      <c r="B47" s="50"/>
      <c r="C47" t="s">
        <v>412</v>
      </c>
      <c r="E47" s="632">
        <f>'Typical Service Cost'!D20</f>
        <v>1</v>
      </c>
      <c r="F47" s="632">
        <f>'Typical Service Cost'!F20</f>
        <v>1</v>
      </c>
      <c r="G47" s="632">
        <f>'Typical Service Cost'!H20</f>
        <v>0</v>
      </c>
      <c r="H47" s="632">
        <f>'Typical Service Cost'!J20</f>
        <v>4.0972721557880156</v>
      </c>
      <c r="I47" s="632">
        <f>'Typical Service Cost'!L20</f>
        <v>12.939192100411788</v>
      </c>
      <c r="J47" s="621">
        <f>'Typical Service Cost'!L18</f>
        <v>24422.784143999997</v>
      </c>
      <c r="K47" s="28" t="s">
        <v>606</v>
      </c>
    </row>
    <row r="48" spans="1:18">
      <c r="A48" s="50">
        <f t="shared" si="1"/>
        <v>1032</v>
      </c>
      <c r="B48" s="50"/>
      <c r="C48" t="s">
        <v>413</v>
      </c>
      <c r="E48" s="633">
        <f>'Average Meter Type'!H15</f>
        <v>1</v>
      </c>
      <c r="F48" s="633">
        <f>'Average Meter Type'!H23</f>
        <v>8.0919815724921627</v>
      </c>
      <c r="G48" s="374">
        <f>'Average Meter Type'!H31</f>
        <v>0</v>
      </c>
      <c r="H48" s="374">
        <f>'Average Meter Type'!H39</f>
        <v>63.917229198422305</v>
      </c>
      <c r="I48" s="632">
        <f>'Average Meter Type'!H47</f>
        <v>31.140398154418868</v>
      </c>
      <c r="J48" s="11"/>
      <c r="K48" s="28" t="s">
        <v>603</v>
      </c>
    </row>
    <row r="49" spans="1:21">
      <c r="A49" s="50">
        <f t="shared" si="1"/>
        <v>1033</v>
      </c>
      <c r="B49" s="50"/>
      <c r="C49" t="s">
        <v>414</v>
      </c>
      <c r="E49" s="118">
        <v>1</v>
      </c>
      <c r="F49" s="118">
        <v>1</v>
      </c>
      <c r="G49" s="118">
        <v>0</v>
      </c>
      <c r="H49" s="118">
        <v>1</v>
      </c>
      <c r="I49" s="118">
        <v>1</v>
      </c>
      <c r="J49" s="11"/>
    </row>
    <row r="50" spans="1:21">
      <c r="A50" s="50">
        <f t="shared" si="1"/>
        <v>1034</v>
      </c>
      <c r="B50" s="50"/>
      <c r="C50" t="s">
        <v>415</v>
      </c>
      <c r="E50" s="118">
        <v>1</v>
      </c>
      <c r="F50" s="118">
        <v>1</v>
      </c>
      <c r="G50" s="118">
        <v>0</v>
      </c>
      <c r="H50" s="118">
        <v>1</v>
      </c>
      <c r="I50" s="118">
        <v>1</v>
      </c>
      <c r="J50" s="11"/>
    </row>
    <row r="51" spans="1:21">
      <c r="A51" s="50">
        <f t="shared" si="1"/>
        <v>1035</v>
      </c>
      <c r="B51" s="50"/>
      <c r="C51" t="s">
        <v>416</v>
      </c>
      <c r="E51" s="375">
        <f>'Industrial Meter Installations'!H15</f>
        <v>0</v>
      </c>
      <c r="F51" s="374">
        <f>'Industrial Meter Installations'!H23</f>
        <v>1</v>
      </c>
      <c r="G51" s="374">
        <f>'Industrial Meter Installations'!H31</f>
        <v>0</v>
      </c>
      <c r="H51" s="374">
        <f>'Industrial Meter Installations'!H39</f>
        <v>10.140539590581827</v>
      </c>
      <c r="I51" s="374">
        <f>'Industrial Meter Installations'!H47</f>
        <v>4.9097237260957893</v>
      </c>
      <c r="J51" s="11"/>
      <c r="K51" s="28" t="s">
        <v>603</v>
      </c>
    </row>
    <row r="52" spans="1:21">
      <c r="A52" s="50">
        <f t="shared" si="1"/>
        <v>1036</v>
      </c>
      <c r="B52" s="50"/>
    </row>
    <row r="53" spans="1:21">
      <c r="A53" s="50">
        <f t="shared" si="1"/>
        <v>1037</v>
      </c>
      <c r="B53" s="25"/>
    </row>
    <row r="54" spans="1:21">
      <c r="A54" s="50">
        <f t="shared" si="1"/>
        <v>1038</v>
      </c>
      <c r="B54" s="50"/>
    </row>
    <row r="55" spans="1:21">
      <c r="A55" s="50">
        <f t="shared" si="1"/>
        <v>1039</v>
      </c>
      <c r="B55" s="50"/>
    </row>
    <row r="56" spans="1:21">
      <c r="A56" s="50">
        <f t="shared" si="1"/>
        <v>1040</v>
      </c>
      <c r="B56" s="50"/>
    </row>
    <row r="57" spans="1:21">
      <c r="A57" s="50">
        <f t="shared" si="1"/>
        <v>1041</v>
      </c>
      <c r="B57" s="50"/>
      <c r="C57" s="404"/>
      <c r="D57" s="26" t="s">
        <v>396</v>
      </c>
      <c r="E57" s="26" t="s">
        <v>404</v>
      </c>
      <c r="F57" s="26" t="s">
        <v>406</v>
      </c>
      <c r="G57" s="26" t="s">
        <v>424</v>
      </c>
      <c r="H57" s="26" t="s">
        <v>429</v>
      </c>
      <c r="I57" s="26" t="s">
        <v>125</v>
      </c>
      <c r="J57" s="26" t="s">
        <v>112</v>
      </c>
      <c r="K57" s="26" t="s">
        <v>427</v>
      </c>
      <c r="L57" s="26" t="s">
        <v>126</v>
      </c>
      <c r="M57" s="26" t="s">
        <v>127</v>
      </c>
      <c r="N57" s="26" t="s">
        <v>114</v>
      </c>
      <c r="O57" s="26" t="s">
        <v>128</v>
      </c>
      <c r="P57" s="26" t="s">
        <v>129</v>
      </c>
      <c r="Q57" s="26" t="s">
        <v>130</v>
      </c>
      <c r="R57" s="26" t="s">
        <v>131</v>
      </c>
      <c r="S57" s="26" t="s">
        <v>422</v>
      </c>
      <c r="T57" s="26" t="s">
        <v>113</v>
      </c>
    </row>
    <row r="58" spans="1:21">
      <c r="A58" s="50">
        <f t="shared" si="1"/>
        <v>1042</v>
      </c>
      <c r="B58" s="50"/>
      <c r="C58" s="74" t="s">
        <v>397</v>
      </c>
      <c r="D58" s="89">
        <f>INDEX($E$22:$J$38,COLUMN(D57)-COLUMN($C57),ROW(C58)-ROW(C$57))</f>
        <v>0.57443853389280997</v>
      </c>
      <c r="E58" s="46">
        <f>INDEX($E$22:$J$38,COLUMN(E57)-COLUMN($C57),ROW(D58)-ROW(D$57))</f>
        <v>0.66476097587512184</v>
      </c>
      <c r="F58" s="46">
        <f>INDEX($E$22:$J$38,COLUMN(F57)-COLUMN($C57),ROW(E58)-ROW(E$57))</f>
        <v>0.62570318857361751</v>
      </c>
      <c r="G58" s="46">
        <f t="shared" ref="D58:M63" si="14">INDEX($E$22:$J$38,COLUMN(G57)-COLUMN($C57),ROW(F58)-ROW(F$57))</f>
        <v>0.72712716052185844</v>
      </c>
      <c r="H58" s="90">
        <f t="shared" si="14"/>
        <v>0.71249306827706393</v>
      </c>
      <c r="I58" s="89">
        <f t="shared" si="14"/>
        <v>0.56535147112062811</v>
      </c>
      <c r="J58" s="46">
        <f t="shared" si="14"/>
        <v>0.61837114830123341</v>
      </c>
      <c r="K58" s="46">
        <f t="shared" si="14"/>
        <v>1</v>
      </c>
      <c r="L58" s="46">
        <f t="shared" si="14"/>
        <v>0</v>
      </c>
      <c r="M58" s="90">
        <f t="shared" si="14"/>
        <v>0</v>
      </c>
      <c r="N58" s="89">
        <f>INDEX($E$22:$J$38,COLUMN(N57)-COLUMN($C57),ROW(M58)-ROW(M$57))</f>
        <v>0.98014334313175022</v>
      </c>
      <c r="O58" s="46">
        <f t="shared" ref="N58:T63" si="15">INDEX($E$22:$J$38,COLUMN(O57)-COLUMN($C57),ROW(N58)-ROW(N$57))</f>
        <v>0.9775215136709533</v>
      </c>
      <c r="P58" s="46">
        <f t="shared" si="15"/>
        <v>0.85458880139099769</v>
      </c>
      <c r="Q58" s="46">
        <f t="shared" si="15"/>
        <v>0.98014334313175022</v>
      </c>
      <c r="R58" s="46">
        <f t="shared" si="15"/>
        <v>0</v>
      </c>
      <c r="S58" s="90">
        <f t="shared" si="15"/>
        <v>1</v>
      </c>
      <c r="T58" s="90">
        <f t="shared" si="15"/>
        <v>0.77491433309803037</v>
      </c>
    </row>
    <row r="59" spans="1:21">
      <c r="A59" s="50">
        <f t="shared" si="1"/>
        <v>1043</v>
      </c>
      <c r="B59" s="50"/>
      <c r="C59" s="74" t="s">
        <v>398</v>
      </c>
      <c r="D59" s="91">
        <f t="shared" si="14"/>
        <v>0.27832416360857481</v>
      </c>
      <c r="E59" s="66">
        <f t="shared" si="14"/>
        <v>0.32208675374933626</v>
      </c>
      <c r="F59" s="66">
        <f t="shared" si="14"/>
        <v>0.2684140496373445</v>
      </c>
      <c r="G59" s="66">
        <f t="shared" si="14"/>
        <v>0.26592740374175072</v>
      </c>
      <c r="H59" s="92">
        <f t="shared" si="14"/>
        <v>0.27910892866481374</v>
      </c>
      <c r="I59" s="91">
        <f t="shared" si="14"/>
        <v>0.34890766382404226</v>
      </c>
      <c r="J59" s="66">
        <f t="shared" si="14"/>
        <v>0.38162885169876654</v>
      </c>
      <c r="K59" s="66">
        <f t="shared" si="14"/>
        <v>0</v>
      </c>
      <c r="L59" s="66">
        <f t="shared" si="14"/>
        <v>0</v>
      </c>
      <c r="M59" s="92">
        <f t="shared" si="14"/>
        <v>0</v>
      </c>
      <c r="N59" s="91">
        <f t="shared" si="15"/>
        <v>1.9618380760501843E-2</v>
      </c>
      <c r="O59" s="66">
        <f t="shared" si="15"/>
        <v>1.956590267246355E-2</v>
      </c>
      <c r="P59" s="66">
        <f t="shared" si="15"/>
        <v>0.13841579362681092</v>
      </c>
      <c r="Q59" s="66">
        <f t="shared" si="15"/>
        <v>1.9618380760501843E-2</v>
      </c>
      <c r="R59" s="66">
        <f t="shared" si="15"/>
        <v>0.93937491969073084</v>
      </c>
      <c r="S59" s="92">
        <f t="shared" si="15"/>
        <v>0</v>
      </c>
      <c r="T59" s="92">
        <f t="shared" si="15"/>
        <v>0.19018862293141778</v>
      </c>
    </row>
    <row r="60" spans="1:21">
      <c r="A60" s="50">
        <f t="shared" si="1"/>
        <v>1044</v>
      </c>
      <c r="B60" s="50"/>
      <c r="C60" s="74" t="s">
        <v>399</v>
      </c>
      <c r="D60" s="91">
        <f t="shared" si="14"/>
        <v>0</v>
      </c>
      <c r="E60" s="66">
        <f t="shared" si="14"/>
        <v>0</v>
      </c>
      <c r="F60" s="66">
        <f t="shared" si="14"/>
        <v>0</v>
      </c>
      <c r="G60" s="66">
        <f t="shared" si="14"/>
        <v>0</v>
      </c>
      <c r="H60" s="92">
        <f t="shared" si="14"/>
        <v>0</v>
      </c>
      <c r="I60" s="91">
        <f t="shared" si="14"/>
        <v>0</v>
      </c>
      <c r="J60" s="66">
        <f t="shared" si="14"/>
        <v>0</v>
      </c>
      <c r="K60" s="66">
        <f t="shared" si="14"/>
        <v>0</v>
      </c>
      <c r="L60" s="66">
        <f t="shared" si="14"/>
        <v>0</v>
      </c>
      <c r="M60" s="92">
        <f t="shared" si="14"/>
        <v>0</v>
      </c>
      <c r="N60" s="91">
        <f t="shared" si="15"/>
        <v>0</v>
      </c>
      <c r="O60" s="66">
        <f t="shared" si="15"/>
        <v>0</v>
      </c>
      <c r="P60" s="66">
        <f t="shared" si="15"/>
        <v>0</v>
      </c>
      <c r="Q60" s="66">
        <f t="shared" si="15"/>
        <v>0</v>
      </c>
      <c r="R60" s="66">
        <f t="shared" si="15"/>
        <v>0</v>
      </c>
      <c r="S60" s="92">
        <f t="shared" si="15"/>
        <v>0</v>
      </c>
      <c r="T60" s="92">
        <f t="shared" si="15"/>
        <v>0</v>
      </c>
    </row>
    <row r="61" spans="1:21">
      <c r="A61" s="50">
        <f t="shared" si="1"/>
        <v>1045</v>
      </c>
      <c r="B61" s="50"/>
      <c r="C61" s="74" t="s">
        <v>400</v>
      </c>
      <c r="D61" s="91">
        <f t="shared" si="14"/>
        <v>1.1365244330027334E-2</v>
      </c>
      <c r="E61" s="66">
        <f t="shared" si="14"/>
        <v>1.315227037554197E-2</v>
      </c>
      <c r="F61" s="66">
        <f t="shared" si="14"/>
        <v>9.2882368986802969E-3</v>
      </c>
      <c r="G61" s="66">
        <f t="shared" si="14"/>
        <v>6.9454357363909558E-3</v>
      </c>
      <c r="H61" s="92">
        <f t="shared" si="14"/>
        <v>8.3980030581223344E-3</v>
      </c>
      <c r="I61" s="91">
        <f t="shared" si="14"/>
        <v>7.5177999737315497E-3</v>
      </c>
      <c r="J61" s="66">
        <f t="shared" si="14"/>
        <v>0</v>
      </c>
      <c r="K61" s="66">
        <f t="shared" si="14"/>
        <v>0</v>
      </c>
      <c r="L61" s="66">
        <f t="shared" si="14"/>
        <v>1</v>
      </c>
      <c r="M61" s="92">
        <f t="shared" si="14"/>
        <v>0</v>
      </c>
      <c r="N61" s="91">
        <f t="shared" si="15"/>
        <v>1.8401521192418575E-5</v>
      </c>
      <c r="O61" s="66">
        <f t="shared" si="15"/>
        <v>7.5194360150243774E-5</v>
      </c>
      <c r="P61" s="66">
        <f t="shared" si="15"/>
        <v>1.0255085111522436E-3</v>
      </c>
      <c r="Q61" s="66">
        <f t="shared" si="15"/>
        <v>1.8401521192418575E-5</v>
      </c>
      <c r="R61" s="66">
        <f t="shared" si="15"/>
        <v>8.9349184438638676E-3</v>
      </c>
      <c r="S61" s="92">
        <f t="shared" si="15"/>
        <v>0</v>
      </c>
      <c r="T61" s="92">
        <f t="shared" si="15"/>
        <v>5.1020724958280132E-3</v>
      </c>
    </row>
    <row r="62" spans="1:21">
      <c r="A62" s="50">
        <f t="shared" si="1"/>
        <v>1046</v>
      </c>
      <c r="B62" s="50"/>
      <c r="C62" s="74" t="s">
        <v>401</v>
      </c>
      <c r="D62" s="91">
        <f t="shared" si="14"/>
        <v>0.13587205816858797</v>
      </c>
      <c r="E62" s="66">
        <f t="shared" si="14"/>
        <v>0</v>
      </c>
      <c r="F62" s="66">
        <f t="shared" si="14"/>
        <v>9.6594524890357733E-2</v>
      </c>
      <c r="G62" s="66">
        <f t="shared" si="14"/>
        <v>0</v>
      </c>
      <c r="H62" s="92">
        <f t="shared" si="14"/>
        <v>0</v>
      </c>
      <c r="I62" s="91">
        <f>INDEX($E$22:$J$38,COLUMN(I61)-COLUMN($C61),ROW(H62)-ROW(H$57))</f>
        <v>7.8223065081597987E-2</v>
      </c>
      <c r="J62" s="66">
        <f t="shared" si="14"/>
        <v>0</v>
      </c>
      <c r="K62" s="66">
        <f t="shared" si="14"/>
        <v>0</v>
      </c>
      <c r="L62" s="66">
        <f t="shared" si="14"/>
        <v>0</v>
      </c>
      <c r="M62" s="92">
        <f t="shared" si="14"/>
        <v>1</v>
      </c>
      <c r="N62" s="91">
        <f t="shared" si="15"/>
        <v>2.1987458655556551E-4</v>
      </c>
      <c r="O62" s="66">
        <f t="shared" si="15"/>
        <v>2.8373892964329655E-3</v>
      </c>
      <c r="P62" s="66">
        <f>INDEX($E$22:$J$38,COLUMN(P61)-COLUMN($C61),ROW(O62)-ROW(O$57))</f>
        <v>5.9698964710391432E-3</v>
      </c>
      <c r="Q62" s="66">
        <f t="shared" si="15"/>
        <v>2.1987458655556551E-4</v>
      </c>
      <c r="R62" s="66">
        <f t="shared" si="15"/>
        <v>5.1690161865405301E-2</v>
      </c>
      <c r="S62" s="92">
        <f t="shared" si="15"/>
        <v>0</v>
      </c>
      <c r="T62" s="92">
        <f t="shared" si="15"/>
        <v>2.979497147472384E-2</v>
      </c>
    </row>
    <row r="63" spans="1:21">
      <c r="A63" s="50">
        <f t="shared" si="1"/>
        <v>1047</v>
      </c>
      <c r="B63" s="50"/>
      <c r="C63" s="74" t="s">
        <v>281</v>
      </c>
      <c r="D63" s="91">
        <f t="shared" si="14"/>
        <v>0</v>
      </c>
      <c r="E63" s="66">
        <f t="shared" si="14"/>
        <v>0</v>
      </c>
      <c r="F63" s="66">
        <f t="shared" si="14"/>
        <v>0</v>
      </c>
      <c r="G63" s="66">
        <f t="shared" si="14"/>
        <v>0</v>
      </c>
      <c r="H63" s="92">
        <f t="shared" si="14"/>
        <v>0</v>
      </c>
      <c r="I63" s="91">
        <f t="shared" si="14"/>
        <v>0</v>
      </c>
      <c r="J63" s="66">
        <f t="shared" si="14"/>
        <v>0</v>
      </c>
      <c r="K63" s="66">
        <f t="shared" si="14"/>
        <v>0</v>
      </c>
      <c r="L63" s="66">
        <f t="shared" si="14"/>
        <v>0</v>
      </c>
      <c r="M63" s="92">
        <f t="shared" si="14"/>
        <v>0</v>
      </c>
      <c r="N63" s="91">
        <f t="shared" si="15"/>
        <v>0</v>
      </c>
      <c r="O63" s="66">
        <f t="shared" si="15"/>
        <v>0</v>
      </c>
      <c r="P63" s="66">
        <f t="shared" si="15"/>
        <v>0</v>
      </c>
      <c r="Q63" s="66">
        <f t="shared" si="15"/>
        <v>0</v>
      </c>
      <c r="R63" s="66">
        <f t="shared" si="15"/>
        <v>0</v>
      </c>
      <c r="S63" s="92">
        <f t="shared" si="15"/>
        <v>0</v>
      </c>
      <c r="T63" s="92">
        <f t="shared" si="15"/>
        <v>0</v>
      </c>
    </row>
    <row r="64" spans="1:21">
      <c r="A64" s="50">
        <f t="shared" si="1"/>
        <v>1048</v>
      </c>
      <c r="B64" s="50"/>
      <c r="D64" s="93"/>
      <c r="E64" s="94"/>
      <c r="F64" s="94"/>
      <c r="G64" s="94"/>
      <c r="H64" s="95"/>
      <c r="I64" s="93"/>
      <c r="J64" s="94"/>
      <c r="K64" s="94"/>
      <c r="L64" s="94"/>
      <c r="M64" s="95"/>
      <c r="N64" s="93"/>
      <c r="O64" s="94"/>
      <c r="P64" s="94"/>
      <c r="Q64" s="94"/>
      <c r="R64" s="94"/>
      <c r="S64" s="95"/>
      <c r="T64" s="95"/>
      <c r="U64" s="27"/>
    </row>
    <row r="65" spans="1:14">
      <c r="A65" s="50">
        <f t="shared" si="1"/>
        <v>1049</v>
      </c>
      <c r="B65" s="50"/>
      <c r="D65" t="s">
        <v>537</v>
      </c>
      <c r="I65" t="s">
        <v>538</v>
      </c>
      <c r="N65" t="s">
        <v>539</v>
      </c>
    </row>
    <row r="66" spans="1:14">
      <c r="A66" s="50">
        <f t="shared" si="1"/>
        <v>1050</v>
      </c>
      <c r="B66" s="50"/>
      <c r="D66" t="s">
        <v>547</v>
      </c>
    </row>
    <row r="67" spans="1:14">
      <c r="A67" s="50">
        <f t="shared" si="1"/>
        <v>1051</v>
      </c>
      <c r="B67" s="73" t="s">
        <v>233</v>
      </c>
    </row>
    <row r="68" spans="1:14">
      <c r="A68" s="50">
        <f t="shared" ref="A68:A114" si="16">Pg2Row+ROW(A68)</f>
        <v>1052</v>
      </c>
      <c r="B68" s="28" t="s">
        <v>352</v>
      </c>
      <c r="C68" s="1" t="s">
        <v>396</v>
      </c>
      <c r="D68" s="2">
        <f>Detail!$E$132*INDEX(Detail!$R$132:$AH$132,$A68-$A$67)</f>
        <v>99386019.742154673</v>
      </c>
      <c r="E68" s="2">
        <f>$D68*INDEX(AllocFactors,E$2,$A68-$A$67)</f>
        <v>57091159.470125198</v>
      </c>
      <c r="F68" s="2">
        <f t="shared" ref="E68:J77" si="17">$D68*INDEX(AllocFactors,F$2,$A68-$A$67)</f>
        <v>27661530.819120504</v>
      </c>
      <c r="G68" s="2">
        <f t="shared" si="17"/>
        <v>0</v>
      </c>
      <c r="H68" s="2">
        <f t="shared" si="17"/>
        <v>1129546.3973585081</v>
      </c>
      <c r="I68" s="2">
        <f t="shared" si="17"/>
        <v>13503783.055550471</v>
      </c>
      <c r="J68" s="2">
        <f t="shared" si="17"/>
        <v>0</v>
      </c>
    </row>
    <row r="69" spans="1:14">
      <c r="A69" s="50">
        <f t="shared" si="16"/>
        <v>1053</v>
      </c>
      <c r="B69" s="28" t="s">
        <v>405</v>
      </c>
      <c r="C69" s="1" t="s">
        <v>404</v>
      </c>
      <c r="D69" s="2">
        <f>Detail!$E$132*INDEX(Detail!$R$132:$AH$132,$A69-$A$67)</f>
        <v>1266455.0519377994</v>
      </c>
      <c r="E69" s="2">
        <f>$D69*INDEX(AllocFactors,E$2,$A69-$A$67)</f>
        <v>841889.89622814965</v>
      </c>
      <c r="F69" s="2">
        <f t="shared" si="17"/>
        <v>407908.39644809288</v>
      </c>
      <c r="G69" s="2">
        <f t="shared" si="17"/>
        <v>0</v>
      </c>
      <c r="H69" s="2">
        <f t="shared" si="17"/>
        <v>16656.759261556985</v>
      </c>
      <c r="I69" s="2">
        <f t="shared" si="17"/>
        <v>0</v>
      </c>
      <c r="J69" s="2">
        <f t="shared" si="17"/>
        <v>0</v>
      </c>
    </row>
    <row r="70" spans="1:14">
      <c r="A70" s="50">
        <f t="shared" si="16"/>
        <v>1054</v>
      </c>
      <c r="B70" s="427" t="s">
        <v>1248</v>
      </c>
      <c r="C70" s="1" t="s">
        <v>406</v>
      </c>
      <c r="D70" s="2">
        <f>Detail!$E$132*INDEX(Detail!$R$132:$AH$132,$A70-$A$67)</f>
        <v>5978665.5602226919</v>
      </c>
      <c r="E70" s="2">
        <f t="shared" si="17"/>
        <v>3740870.1044466114</v>
      </c>
      <c r="F70" s="2">
        <f t="shared" si="17"/>
        <v>1604757.8344466956</v>
      </c>
      <c r="G70" s="2">
        <f t="shared" si="17"/>
        <v>0</v>
      </c>
      <c r="H70" s="2">
        <f t="shared" si="17"/>
        <v>55531.262061329515</v>
      </c>
      <c r="I70" s="2">
        <f t="shared" si="17"/>
        <v>577506.35926805541</v>
      </c>
      <c r="J70" s="2">
        <f t="shared" si="17"/>
        <v>0</v>
      </c>
    </row>
    <row r="71" spans="1:14">
      <c r="A71" s="50">
        <f t="shared" si="16"/>
        <v>1055</v>
      </c>
      <c r="B71" s="427" t="s">
        <v>1249</v>
      </c>
      <c r="C71" s="1" t="s">
        <v>424</v>
      </c>
      <c r="D71" s="2">
        <f>Detail!$E$132*INDEX(Detail!$R$132:$AH$132,$A71-$A$67)</f>
        <v>40011069.518413402</v>
      </c>
      <c r="E71" s="2">
        <f t="shared" si="17"/>
        <v>29093135.368366618</v>
      </c>
      <c r="F71" s="2">
        <f t="shared" si="17"/>
        <v>10640039.837962376</v>
      </c>
      <c r="G71" s="2">
        <f t="shared" si="17"/>
        <v>0</v>
      </c>
      <c r="H71" s="2">
        <f t="shared" si="17"/>
        <v>277894.31208441133</v>
      </c>
      <c r="I71" s="2">
        <f t="shared" si="17"/>
        <v>0</v>
      </c>
      <c r="J71" s="2">
        <f t="shared" si="17"/>
        <v>0</v>
      </c>
    </row>
    <row r="72" spans="1:14">
      <c r="A72" s="50">
        <f t="shared" si="16"/>
        <v>1056</v>
      </c>
      <c r="B72" s="28" t="s">
        <v>430</v>
      </c>
      <c r="C72" s="1" t="s">
        <v>429</v>
      </c>
      <c r="D72" s="2">
        <f>Detail!$E$132*INDEX(Detail!$R$132:$AH$132,$A72-$A$67)</f>
        <v>0</v>
      </c>
      <c r="E72" s="2">
        <f t="shared" si="17"/>
        <v>0</v>
      </c>
      <c r="F72" s="2">
        <f t="shared" si="17"/>
        <v>0</v>
      </c>
      <c r="G72" s="2">
        <f t="shared" si="17"/>
        <v>0</v>
      </c>
      <c r="H72" s="2">
        <f t="shared" si="17"/>
        <v>0</v>
      </c>
      <c r="I72" s="2">
        <f t="shared" si="17"/>
        <v>0</v>
      </c>
      <c r="J72" s="2">
        <f t="shared" si="17"/>
        <v>0</v>
      </c>
    </row>
    <row r="73" spans="1:14">
      <c r="A73" s="50">
        <f t="shared" si="16"/>
        <v>1057</v>
      </c>
      <c r="B73" s="28" t="s">
        <v>409</v>
      </c>
      <c r="C73" s="1" t="s">
        <v>125</v>
      </c>
      <c r="D73" s="2">
        <f>Detail!$E$132*INDEX(Detail!$R$132:$AH$132,$A73-$A$67)</f>
        <v>159213495.46790972</v>
      </c>
      <c r="E73" s="2">
        <f t="shared" si="17"/>
        <v>90011583.885040224</v>
      </c>
      <c r="F73" s="2">
        <f t="shared" si="17"/>
        <v>55550808.752968125</v>
      </c>
      <c r="G73" s="2">
        <f t="shared" si="17"/>
        <v>0</v>
      </c>
      <c r="H73" s="2">
        <f t="shared" si="17"/>
        <v>1196935.2120463599</v>
      </c>
      <c r="I73" s="2">
        <f t="shared" si="17"/>
        <v>12454167.617855009</v>
      </c>
      <c r="J73" s="2">
        <f t="shared" si="17"/>
        <v>0</v>
      </c>
    </row>
    <row r="74" spans="1:14">
      <c r="A74" s="50">
        <f t="shared" si="16"/>
        <v>1058</v>
      </c>
      <c r="B74" s="28" t="s">
        <v>408</v>
      </c>
      <c r="C74" s="1" t="s">
        <v>112</v>
      </c>
      <c r="D74" s="2">
        <f>Detail!$E$132*INDEX(Detail!$R$132:$AH$132,$A74-$A$67)</f>
        <v>0</v>
      </c>
      <c r="E74" s="2">
        <f t="shared" si="17"/>
        <v>0</v>
      </c>
      <c r="F74" s="2">
        <f t="shared" si="17"/>
        <v>0</v>
      </c>
      <c r="G74" s="2">
        <f t="shared" si="17"/>
        <v>0</v>
      </c>
      <c r="H74" s="2">
        <f t="shared" si="17"/>
        <v>0</v>
      </c>
      <c r="I74" s="2">
        <f t="shared" si="17"/>
        <v>0</v>
      </c>
      <c r="J74" s="2">
        <f t="shared" si="17"/>
        <v>0</v>
      </c>
    </row>
    <row r="75" spans="1:14">
      <c r="A75" s="50">
        <f t="shared" si="16"/>
        <v>1059</v>
      </c>
      <c r="B75" s="28" t="s">
        <v>426</v>
      </c>
      <c r="C75" s="1" t="s">
        <v>427</v>
      </c>
      <c r="D75" s="2">
        <f>Detail!$E$132*INDEX(Detail!$R$132:$AH$132,$A75-$A$67)</f>
        <v>0</v>
      </c>
      <c r="E75" s="2">
        <f t="shared" si="17"/>
        <v>0</v>
      </c>
      <c r="F75" s="2">
        <f t="shared" si="17"/>
        <v>0</v>
      </c>
      <c r="G75" s="2">
        <f t="shared" si="17"/>
        <v>0</v>
      </c>
      <c r="H75" s="2">
        <f t="shared" si="17"/>
        <v>0</v>
      </c>
      <c r="I75" s="2">
        <f t="shared" si="17"/>
        <v>0</v>
      </c>
      <c r="J75" s="2">
        <f t="shared" si="17"/>
        <v>0</v>
      </c>
    </row>
    <row r="76" spans="1:14">
      <c r="A76" s="50">
        <f t="shared" si="16"/>
        <v>1060</v>
      </c>
      <c r="B76" s="28" t="s">
        <v>410</v>
      </c>
      <c r="C76" s="1" t="s">
        <v>126</v>
      </c>
      <c r="D76" s="2">
        <f>Detail!$E$132*INDEX(Detail!$R$132:$AH$132,$A76-$A$67)</f>
        <v>0</v>
      </c>
      <c r="E76" s="2">
        <f t="shared" si="17"/>
        <v>0</v>
      </c>
      <c r="F76" s="2">
        <f t="shared" si="17"/>
        <v>0</v>
      </c>
      <c r="G76" s="2">
        <f t="shared" si="17"/>
        <v>0</v>
      </c>
      <c r="H76" s="2">
        <f t="shared" si="17"/>
        <v>0</v>
      </c>
      <c r="I76" s="2">
        <f t="shared" si="17"/>
        <v>0</v>
      </c>
      <c r="J76" s="2">
        <f t="shared" si="17"/>
        <v>0</v>
      </c>
    </row>
    <row r="77" spans="1:14">
      <c r="A77" s="50">
        <f t="shared" si="16"/>
        <v>1061</v>
      </c>
      <c r="B77" s="28" t="s">
        <v>411</v>
      </c>
      <c r="C77" s="1" t="s">
        <v>127</v>
      </c>
      <c r="D77" s="2">
        <f>Detail!$E$132*INDEX(Detail!$R$132:$AH$132,$A77-$A$67)</f>
        <v>0</v>
      </c>
      <c r="E77" s="2">
        <f t="shared" si="17"/>
        <v>0</v>
      </c>
      <c r="F77" s="2">
        <f t="shared" si="17"/>
        <v>0</v>
      </c>
      <c r="G77" s="2">
        <f t="shared" si="17"/>
        <v>0</v>
      </c>
      <c r="H77" s="2">
        <f t="shared" si="17"/>
        <v>0</v>
      </c>
      <c r="I77" s="2">
        <f t="shared" si="17"/>
        <v>0</v>
      </c>
      <c r="J77" s="2">
        <f t="shared" si="17"/>
        <v>0</v>
      </c>
    </row>
    <row r="78" spans="1:14">
      <c r="A78" s="50">
        <f t="shared" si="16"/>
        <v>1062</v>
      </c>
      <c r="B78" s="28" t="s">
        <v>354</v>
      </c>
      <c r="C78" s="1" t="s">
        <v>114</v>
      </c>
      <c r="D78" s="2">
        <f>Detail!$E$132*INDEX(Detail!$R$132:$AH$132,$A78-$A$67)</f>
        <v>34380478.87393669</v>
      </c>
      <c r="E78" s="2">
        <f t="shared" ref="E78:J84" si="18">$D78*INDEX(AllocFactors,E$2,$A78-$A$67)</f>
        <v>33697797.50197082</v>
      </c>
      <c r="F78" s="2">
        <f t="shared" si="18"/>
        <v>674489.3252772796</v>
      </c>
      <c r="G78" s="2">
        <f t="shared" si="18"/>
        <v>0</v>
      </c>
      <c r="H78" s="2">
        <f t="shared" si="18"/>
        <v>632.65311060424506</v>
      </c>
      <c r="I78" s="2">
        <f t="shared" si="18"/>
        <v>7559.3935779891845</v>
      </c>
      <c r="J78" s="2">
        <f t="shared" si="18"/>
        <v>0</v>
      </c>
    </row>
    <row r="79" spans="1:14">
      <c r="A79" s="50">
        <f t="shared" si="16"/>
        <v>1063</v>
      </c>
      <c r="B79" s="28" t="s">
        <v>412</v>
      </c>
      <c r="C79" s="1" t="s">
        <v>128</v>
      </c>
      <c r="D79" s="2">
        <f>Detail!$E$132*INDEX(Detail!$R$132:$AH$132,$A79-$A$67)</f>
        <v>164007500.09792888</v>
      </c>
      <c r="E79" s="2">
        <f t="shared" si="18"/>
        <v>160320859.74911645</v>
      </c>
      <c r="F79" s="2">
        <f t="shared" si="18"/>
        <v>3208954.7844701326</v>
      </c>
      <c r="G79" s="2">
        <f t="shared" si="18"/>
        <v>0</v>
      </c>
      <c r="H79" s="2">
        <f t="shared" si="18"/>
        <v>12332.439029704805</v>
      </c>
      <c r="I79" s="2">
        <f t="shared" si="18"/>
        <v>465353.12531259196</v>
      </c>
      <c r="J79" s="2">
        <f t="shared" si="18"/>
        <v>0</v>
      </c>
    </row>
    <row r="80" spans="1:14">
      <c r="A80" s="50">
        <f t="shared" si="16"/>
        <v>1064</v>
      </c>
      <c r="B80" s="28" t="s">
        <v>413</v>
      </c>
      <c r="C80" s="1" t="s">
        <v>129</v>
      </c>
      <c r="D80" s="2">
        <f>Detail!$E$132*INDEX(Detail!$R$132:$AH$132,$A80-$A$67)</f>
        <v>76670189.280505553</v>
      </c>
      <c r="E80" s="2">
        <f t="shared" si="18"/>
        <v>65521485.159648158</v>
      </c>
      <c r="F80" s="2">
        <f t="shared" si="18"/>
        <v>10612365.096778987</v>
      </c>
      <c r="G80" s="2">
        <f t="shared" si="18"/>
        <v>0</v>
      </c>
      <c r="H80" s="2">
        <f t="shared" si="18"/>
        <v>78625.931658811955</v>
      </c>
      <c r="I80" s="2">
        <f t="shared" si="18"/>
        <v>457713.09241959325</v>
      </c>
      <c r="J80" s="2">
        <f t="shared" si="18"/>
        <v>0</v>
      </c>
    </row>
    <row r="81" spans="1:10">
      <c r="A81" s="50">
        <f t="shared" si="16"/>
        <v>1065</v>
      </c>
      <c r="B81" s="28" t="s">
        <v>414</v>
      </c>
      <c r="C81" s="1" t="s">
        <v>130</v>
      </c>
      <c r="D81" s="2">
        <f>Detail!$E$132*INDEX(Detail!$R$132:$AH$132,$A81-$A$67)</f>
        <v>0</v>
      </c>
      <c r="E81" s="2">
        <f t="shared" si="18"/>
        <v>0</v>
      </c>
      <c r="F81" s="2">
        <f t="shared" si="18"/>
        <v>0</v>
      </c>
      <c r="G81" s="2">
        <f t="shared" si="18"/>
        <v>0</v>
      </c>
      <c r="H81" s="2">
        <f t="shared" si="18"/>
        <v>0</v>
      </c>
      <c r="I81" s="2">
        <f t="shared" si="18"/>
        <v>0</v>
      </c>
      <c r="J81" s="2">
        <f t="shared" si="18"/>
        <v>0</v>
      </c>
    </row>
    <row r="82" spans="1:10">
      <c r="A82" s="50">
        <f t="shared" si="16"/>
        <v>1066</v>
      </c>
      <c r="B82" s="28" t="s">
        <v>416</v>
      </c>
      <c r="C82" s="1" t="s">
        <v>131</v>
      </c>
      <c r="D82" s="2">
        <f>Detail!$E$132*INDEX(Detail!$R$132:$AH$132,$A82-$A$67)</f>
        <v>1746126.4069905924</v>
      </c>
      <c r="E82" s="2">
        <f t="shared" si="18"/>
        <v>0</v>
      </c>
      <c r="F82" s="2">
        <f t="shared" si="18"/>
        <v>1640267.353336652</v>
      </c>
      <c r="G82" s="2">
        <f t="shared" si="18"/>
        <v>0</v>
      </c>
      <c r="H82" s="2">
        <f t="shared" si="18"/>
        <v>15601.49703913799</v>
      </c>
      <c r="I82" s="2">
        <f t="shared" si="18"/>
        <v>90257.556614802292</v>
      </c>
      <c r="J82" s="2">
        <f t="shared" si="18"/>
        <v>0</v>
      </c>
    </row>
    <row r="83" spans="1:10">
      <c r="A83" s="50">
        <f t="shared" si="16"/>
        <v>1067</v>
      </c>
      <c r="B83" s="28" t="s">
        <v>423</v>
      </c>
      <c r="C83" s="1" t="s">
        <v>422</v>
      </c>
      <c r="D83" s="2">
        <f>Detail!$E$132*INDEX(Detail!$R$132:$AH$132,$A83-$A$67)</f>
        <v>3424000</v>
      </c>
      <c r="E83" s="2">
        <f t="shared" si="18"/>
        <v>3424000</v>
      </c>
      <c r="F83" s="2">
        <f t="shared" si="18"/>
        <v>0</v>
      </c>
      <c r="G83" s="2">
        <f t="shared" si="18"/>
        <v>0</v>
      </c>
      <c r="H83" s="2">
        <f t="shared" si="18"/>
        <v>0</v>
      </c>
      <c r="I83" s="2">
        <f t="shared" si="18"/>
        <v>0</v>
      </c>
      <c r="J83" s="2">
        <f t="shared" si="18"/>
        <v>0</v>
      </c>
    </row>
    <row r="84" spans="1:10">
      <c r="A84" s="50">
        <f t="shared" si="16"/>
        <v>1068</v>
      </c>
      <c r="B84" s="28" t="s">
        <v>350</v>
      </c>
      <c r="C84" s="1" t="s">
        <v>113</v>
      </c>
      <c r="D84" s="2">
        <f>Detail!$E$132*INDEX(Detail!$R$132:$AH$132,$A84-$A$67)</f>
        <v>-1.7650499731266711E-10</v>
      </c>
      <c r="E84" s="2">
        <f t="shared" si="18"/>
        <v>-1.3677625228101507E-10</v>
      </c>
      <c r="F84" s="2">
        <f t="shared" si="18"/>
        <v>-3.3569242379409751E-11</v>
      </c>
      <c r="G84" s="2">
        <f t="shared" si="18"/>
        <v>0</v>
      </c>
      <c r="H84" s="2">
        <f t="shared" si="18"/>
        <v>-9.0054129216515623E-13</v>
      </c>
      <c r="I84" s="2">
        <f t="shared" si="18"/>
        <v>-5.2589613600771242E-12</v>
      </c>
      <c r="J84" s="2">
        <f t="shared" si="18"/>
        <v>0</v>
      </c>
    </row>
    <row r="85" spans="1:10">
      <c r="A85" s="50">
        <f t="shared" si="16"/>
        <v>1069</v>
      </c>
      <c r="B85" s="50"/>
    </row>
    <row r="86" spans="1:10">
      <c r="A86" s="50">
        <f t="shared" si="16"/>
        <v>1070</v>
      </c>
      <c r="B86" s="28" t="s">
        <v>120</v>
      </c>
      <c r="D86" s="4">
        <f>IF(ROUND(SUM(D68:D85),3)&lt;&gt;ROUND(SUM(E86:J86),3),#VALUE!,SUM(E86:J86))</f>
        <v>586084000.00000012</v>
      </c>
      <c r="E86" s="4">
        <f t="shared" ref="E86:J86" si="19">SUM(E68:E85)</f>
        <v>443742781.13494229</v>
      </c>
      <c r="F86" s="4">
        <f t="shared" si="19"/>
        <v>112001122.20080884</v>
      </c>
      <c r="G86" s="4">
        <f t="shared" si="19"/>
        <v>0</v>
      </c>
      <c r="H86" s="4">
        <f t="shared" si="19"/>
        <v>2783756.4636504245</v>
      </c>
      <c r="I86" s="4">
        <f t="shared" si="19"/>
        <v>27556340.200598516</v>
      </c>
      <c r="J86" s="4">
        <f t="shared" si="19"/>
        <v>0</v>
      </c>
    </row>
    <row r="87" spans="1:10">
      <c r="A87" s="50">
        <f t="shared" si="16"/>
        <v>1071</v>
      </c>
      <c r="B87" s="50"/>
    </row>
    <row r="88" spans="1:10">
      <c r="A88" s="50">
        <f t="shared" si="16"/>
        <v>1072</v>
      </c>
      <c r="B88" s="73" t="s">
        <v>235</v>
      </c>
    </row>
    <row r="89" spans="1:10">
      <c r="A89" s="50">
        <f t="shared" si="16"/>
        <v>1073</v>
      </c>
      <c r="B89" s="28" t="s">
        <v>352</v>
      </c>
      <c r="C89" s="1" t="s">
        <v>396</v>
      </c>
      <c r="D89" s="2">
        <f>Detail!$E$408*INDEX(Detail!$R$408:$AH$408,$A89-$A$88)</f>
        <v>11462806.310029045</v>
      </c>
      <c r="E89" s="2">
        <f t="shared" ref="E89:J98" si="20">$D89*INDEX(AllocFactors,E$2,$A89-$A$88)</f>
        <v>6584677.6510303356</v>
      </c>
      <c r="F89" s="2">
        <f t="shared" si="20"/>
        <v>3190375.9788459274</v>
      </c>
      <c r="G89" s="2">
        <f t="shared" si="20"/>
        <v>0</v>
      </c>
      <c r="H89" s="2">
        <f t="shared" si="20"/>
        <v>130277.59442125914</v>
      </c>
      <c r="I89" s="2">
        <f t="shared" si="20"/>
        <v>1557475.0857315236</v>
      </c>
      <c r="J89" s="2">
        <f t="shared" si="20"/>
        <v>0</v>
      </c>
    </row>
    <row r="90" spans="1:10">
      <c r="A90" s="50">
        <f t="shared" si="16"/>
        <v>1074</v>
      </c>
      <c r="B90" s="28" t="s">
        <v>405</v>
      </c>
      <c r="C90" s="1" t="s">
        <v>404</v>
      </c>
      <c r="D90" s="2">
        <f>Detail!$E$408*INDEX(Detail!$R$408:$AH$408,$A90-$A$88)</f>
        <v>1405895.2149702793</v>
      </c>
      <c r="E90" s="2">
        <f t="shared" si="20"/>
        <v>934584.27508180705</v>
      </c>
      <c r="F90" s="2">
        <f t="shared" si="20"/>
        <v>452820.22590150248</v>
      </c>
      <c r="G90" s="2">
        <f t="shared" si="20"/>
        <v>0</v>
      </c>
      <c r="H90" s="2">
        <f t="shared" si="20"/>
        <v>18490.713986969811</v>
      </c>
      <c r="I90" s="2">
        <f t="shared" si="20"/>
        <v>0</v>
      </c>
      <c r="J90" s="2">
        <f t="shared" si="20"/>
        <v>0</v>
      </c>
    </row>
    <row r="91" spans="1:10">
      <c r="A91" s="50">
        <f t="shared" si="16"/>
        <v>1075</v>
      </c>
      <c r="B91" s="427" t="s">
        <v>1248</v>
      </c>
      <c r="C91" s="1" t="s">
        <v>406</v>
      </c>
      <c r="D91" s="2">
        <f>Detail!$E$408*INDEX(Detail!$R$408:$AH$408,$A91-$A$88)</f>
        <v>711039.61676197313</v>
      </c>
      <c r="E91" s="2">
        <f t="shared" si="20"/>
        <v>444899.75541012961</v>
      </c>
      <c r="F91" s="2">
        <f t="shared" si="20"/>
        <v>190853.02298766666</v>
      </c>
      <c r="G91" s="2">
        <f t="shared" si="20"/>
        <v>0</v>
      </c>
      <c r="H91" s="2">
        <f t="shared" si="20"/>
        <v>6604.3044048320562</v>
      </c>
      <c r="I91" s="2">
        <f t="shared" si="20"/>
        <v>68682.53395934483</v>
      </c>
      <c r="J91" s="2">
        <f t="shared" si="20"/>
        <v>0</v>
      </c>
    </row>
    <row r="92" spans="1:10">
      <c r="A92" s="50">
        <f t="shared" si="16"/>
        <v>1076</v>
      </c>
      <c r="B92" s="427" t="s">
        <v>1249</v>
      </c>
      <c r="C92" s="1" t="s">
        <v>424</v>
      </c>
      <c r="D92" s="2">
        <f>Detail!$E$408*INDEX(Detail!$R$408:$AH$408,$A92-$A$88)</f>
        <v>4758495.8967916667</v>
      </c>
      <c r="E92" s="2">
        <f t="shared" si="20"/>
        <v>3460031.609789039</v>
      </c>
      <c r="F92" s="2">
        <f t="shared" si="20"/>
        <v>1265414.4595495816</v>
      </c>
      <c r="G92" s="2">
        <f t="shared" si="20"/>
        <v>0</v>
      </c>
      <c r="H92" s="2">
        <f t="shared" si="20"/>
        <v>33049.827453046571</v>
      </c>
      <c r="I92" s="2">
        <f t="shared" si="20"/>
        <v>0</v>
      </c>
      <c r="J92" s="2">
        <f t="shared" si="20"/>
        <v>0</v>
      </c>
    </row>
    <row r="93" spans="1:10">
      <c r="A93" s="50">
        <f t="shared" si="16"/>
        <v>1077</v>
      </c>
      <c r="B93" s="28" t="s">
        <v>430</v>
      </c>
      <c r="C93" s="1" t="s">
        <v>429</v>
      </c>
      <c r="D93" s="2">
        <f>Detail!$E$408*INDEX(Detail!$R$408:$AH$408,$A93-$A$88)</f>
        <v>89000</v>
      </c>
      <c r="E93" s="2">
        <f t="shared" si="20"/>
        <v>63411.883076658691</v>
      </c>
      <c r="F93" s="2">
        <f t="shared" si="20"/>
        <v>24840.694651168422</v>
      </c>
      <c r="G93" s="2">
        <f t="shared" si="20"/>
        <v>0</v>
      </c>
      <c r="H93" s="2">
        <f t="shared" si="20"/>
        <v>747.4222721728878</v>
      </c>
      <c r="I93" s="2">
        <f t="shared" si="20"/>
        <v>0</v>
      </c>
      <c r="J93" s="2">
        <f t="shared" si="20"/>
        <v>0</v>
      </c>
    </row>
    <row r="94" spans="1:10">
      <c r="A94" s="50">
        <f t="shared" si="16"/>
        <v>1078</v>
      </c>
      <c r="B94" s="28" t="s">
        <v>409</v>
      </c>
      <c r="C94" s="1" t="s">
        <v>125</v>
      </c>
      <c r="D94" s="2">
        <f>Detail!$E$408*INDEX(Detail!$R$408:$AH$408,$A94-$A$88)</f>
        <v>17829321.624614023</v>
      </c>
      <c r="E94" s="2">
        <f t="shared" si="20"/>
        <v>10079833.209558366</v>
      </c>
      <c r="F94" s="2">
        <f t="shared" si="20"/>
        <v>6220786.9556115568</v>
      </c>
      <c r="G94" s="2">
        <f t="shared" si="20"/>
        <v>0</v>
      </c>
      <c r="H94" s="2">
        <f t="shared" si="20"/>
        <v>134037.27364117466</v>
      </c>
      <c r="I94" s="2">
        <f>$D94*INDEX(AllocFactors,I$2,$A94-$A$88)</f>
        <v>1394664.1858029251</v>
      </c>
      <c r="J94" s="2">
        <f t="shared" si="20"/>
        <v>0</v>
      </c>
    </row>
    <row r="95" spans="1:10">
      <c r="A95" s="50">
        <f t="shared" si="16"/>
        <v>1079</v>
      </c>
      <c r="B95" s="28" t="s">
        <v>408</v>
      </c>
      <c r="C95" s="1" t="s">
        <v>112</v>
      </c>
      <c r="D95" s="2">
        <f>Detail!$E$408*INDEX(Detail!$R$408:$AH$408,$A95-$A$88)</f>
        <v>0</v>
      </c>
      <c r="E95" s="2">
        <f t="shared" si="20"/>
        <v>0</v>
      </c>
      <c r="F95" s="2">
        <f t="shared" si="20"/>
        <v>0</v>
      </c>
      <c r="G95" s="2">
        <f t="shared" si="20"/>
        <v>0</v>
      </c>
      <c r="H95" s="2">
        <f t="shared" si="20"/>
        <v>0</v>
      </c>
      <c r="I95" s="2">
        <f t="shared" si="20"/>
        <v>0</v>
      </c>
      <c r="J95" s="2">
        <f t="shared" si="20"/>
        <v>0</v>
      </c>
    </row>
    <row r="96" spans="1:10">
      <c r="A96" s="50">
        <f t="shared" si="16"/>
        <v>1080</v>
      </c>
      <c r="B96" s="28" t="s">
        <v>426</v>
      </c>
      <c r="C96" s="1" t="s">
        <v>427</v>
      </c>
      <c r="D96" s="2">
        <f>Detail!$E$408*INDEX(Detail!$R$408:$AH$408,$A96-$A$88)</f>
        <v>0</v>
      </c>
      <c r="E96" s="2">
        <f t="shared" si="20"/>
        <v>0</v>
      </c>
      <c r="F96" s="2">
        <f t="shared" si="20"/>
        <v>0</v>
      </c>
      <c r="G96" s="2">
        <f t="shared" si="20"/>
        <v>0</v>
      </c>
      <c r="H96" s="2">
        <f t="shared" si="20"/>
        <v>0</v>
      </c>
      <c r="I96" s="2">
        <f t="shared" si="20"/>
        <v>0</v>
      </c>
      <c r="J96" s="2">
        <f t="shared" si="20"/>
        <v>0</v>
      </c>
    </row>
    <row r="97" spans="1:10">
      <c r="A97" s="50">
        <f t="shared" si="16"/>
        <v>1081</v>
      </c>
      <c r="B97" s="28" t="s">
        <v>410</v>
      </c>
      <c r="C97" s="1" t="s">
        <v>126</v>
      </c>
      <c r="D97" s="2">
        <f>Detail!$E$408*INDEX(Detail!$R$408:$AH$408,$A97-$A$88)</f>
        <v>0</v>
      </c>
      <c r="E97" s="2">
        <f t="shared" si="20"/>
        <v>0</v>
      </c>
      <c r="F97" s="2">
        <f t="shared" si="20"/>
        <v>0</v>
      </c>
      <c r="G97" s="2">
        <f t="shared" si="20"/>
        <v>0</v>
      </c>
      <c r="H97" s="2">
        <f t="shared" si="20"/>
        <v>0</v>
      </c>
      <c r="I97" s="2">
        <f t="shared" si="20"/>
        <v>0</v>
      </c>
      <c r="J97" s="2">
        <f t="shared" si="20"/>
        <v>0</v>
      </c>
    </row>
    <row r="98" spans="1:10">
      <c r="A98" s="50">
        <f t="shared" si="16"/>
        <v>1082</v>
      </c>
      <c r="B98" s="28" t="s">
        <v>411</v>
      </c>
      <c r="C98" s="1" t="s">
        <v>127</v>
      </c>
      <c r="D98" s="2">
        <f>Detail!$E$408*INDEX(Detail!$R$408:$AH$408,$A98-$A$88)</f>
        <v>0</v>
      </c>
      <c r="E98" s="2">
        <f t="shared" si="20"/>
        <v>0</v>
      </c>
      <c r="F98" s="2">
        <f t="shared" si="20"/>
        <v>0</v>
      </c>
      <c r="G98" s="2">
        <f t="shared" si="20"/>
        <v>0</v>
      </c>
      <c r="H98" s="2">
        <f t="shared" si="20"/>
        <v>0</v>
      </c>
      <c r="I98" s="2">
        <f t="shared" si="20"/>
        <v>0</v>
      </c>
      <c r="J98" s="2">
        <f t="shared" si="20"/>
        <v>0</v>
      </c>
    </row>
    <row r="99" spans="1:10">
      <c r="A99" s="50">
        <f t="shared" si="16"/>
        <v>1083</v>
      </c>
      <c r="B99" s="28" t="s">
        <v>354</v>
      </c>
      <c r="C99" s="1" t="s">
        <v>114</v>
      </c>
      <c r="D99" s="2">
        <f>Detail!$E$408*INDEX(Detail!$R$408:$AH$408,$A99-$A$88)</f>
        <v>23142202.478980772</v>
      </c>
      <c r="E99" s="2">
        <f>$D99*INDEX(AllocFactors,E$2,$A99-$A$88)</f>
        <v>22682675.70518009</v>
      </c>
      <c r="F99" s="2">
        <f t="shared" ref="E99:J105" si="21">$D99*INDEX(AllocFactors,F$2,$A99-$A$88)</f>
        <v>454012.53986927442</v>
      </c>
      <c r="G99" s="2">
        <f t="shared" si="21"/>
        <v>0</v>
      </c>
      <c r="H99" s="2">
        <f t="shared" si="21"/>
        <v>425.85172935620636</v>
      </c>
      <c r="I99" s="2">
        <f t="shared" si="21"/>
        <v>5088.3822020510806</v>
      </c>
      <c r="J99" s="2">
        <f t="shared" si="21"/>
        <v>0</v>
      </c>
    </row>
    <row r="100" spans="1:10">
      <c r="A100" s="50">
        <f t="shared" si="16"/>
        <v>1084</v>
      </c>
      <c r="B100" s="28" t="s">
        <v>412</v>
      </c>
      <c r="C100" s="1" t="s">
        <v>128</v>
      </c>
      <c r="D100" s="2">
        <f>Detail!$E$408*INDEX(Detail!$R$408:$AH$408,$A100-$A$88)</f>
        <v>20651245.349580318</v>
      </c>
      <c r="E100" s="2">
        <f t="shared" si="21"/>
        <v>20187036.613311987</v>
      </c>
      <c r="F100" s="2">
        <f t="shared" si="21"/>
        <v>404060.25657505397</v>
      </c>
      <c r="G100" s="2">
        <f t="shared" si="21"/>
        <v>0</v>
      </c>
      <c r="H100" s="2">
        <f t="shared" si="21"/>
        <v>1552.8571803673892</v>
      </c>
      <c r="I100" s="2">
        <f t="shared" si="21"/>
        <v>58595.622512910246</v>
      </c>
      <c r="J100" s="2">
        <f t="shared" si="21"/>
        <v>0</v>
      </c>
    </row>
    <row r="101" spans="1:10">
      <c r="A101" s="50">
        <f t="shared" si="16"/>
        <v>1085</v>
      </c>
      <c r="B101" s="28" t="s">
        <v>413</v>
      </c>
      <c r="C101" s="1" t="s">
        <v>129</v>
      </c>
      <c r="D101" s="2">
        <f>Detail!$E$408*INDEX(Detail!$R$408:$AH$408,$A101-$A$88)</f>
        <v>10869920.675430641</v>
      </c>
      <c r="E101" s="2">
        <f t="shared" si="21"/>
        <v>9289312.4812314957</v>
      </c>
      <c r="F101" s="2">
        <f t="shared" si="21"/>
        <v>1504568.6969502126</v>
      </c>
      <c r="G101" s="2">
        <f t="shared" si="21"/>
        <v>0</v>
      </c>
      <c r="H101" s="2">
        <f t="shared" si="21"/>
        <v>11147.196168203867</v>
      </c>
      <c r="I101" s="2">
        <f t="shared" si="21"/>
        <v>64892.301080728801</v>
      </c>
      <c r="J101" s="2">
        <f t="shared" si="21"/>
        <v>0</v>
      </c>
    </row>
    <row r="102" spans="1:10">
      <c r="A102" s="50">
        <f t="shared" si="16"/>
        <v>1086</v>
      </c>
      <c r="B102" s="28" t="s">
        <v>414</v>
      </c>
      <c r="C102" s="1" t="s">
        <v>130</v>
      </c>
      <c r="D102" s="2">
        <f>Detail!$E$408*INDEX(Detail!$R$408:$AH$408,$A102-$A$88)</f>
        <v>0</v>
      </c>
      <c r="E102" s="2">
        <f t="shared" si="21"/>
        <v>0</v>
      </c>
      <c r="F102" s="2">
        <f t="shared" si="21"/>
        <v>0</v>
      </c>
      <c r="G102" s="2">
        <f t="shared" si="21"/>
        <v>0</v>
      </c>
      <c r="H102" s="2">
        <f t="shared" si="21"/>
        <v>0</v>
      </c>
      <c r="I102" s="2">
        <f t="shared" si="21"/>
        <v>0</v>
      </c>
      <c r="J102" s="2">
        <f t="shared" si="21"/>
        <v>0</v>
      </c>
    </row>
    <row r="103" spans="1:10">
      <c r="A103" s="50">
        <f t="shared" si="16"/>
        <v>1087</v>
      </c>
      <c r="B103" s="28" t="s">
        <v>416</v>
      </c>
      <c r="C103" s="1" t="s">
        <v>131</v>
      </c>
      <c r="D103" s="2">
        <f>Detail!$E$408*INDEX(Detail!$R$408:$AH$408,$A103-$A$88)</f>
        <v>185328.83284128315</v>
      </c>
      <c r="E103" s="2">
        <f t="shared" si="21"/>
        <v>0</v>
      </c>
      <c r="F103" s="2">
        <f t="shared" si="21"/>
        <v>174093.25746665723</v>
      </c>
      <c r="G103" s="2">
        <f t="shared" si="21"/>
        <v>0</v>
      </c>
      <c r="H103" s="2">
        <f t="shared" si="21"/>
        <v>1655.8980067333443</v>
      </c>
      <c r="I103" s="2">
        <f t="shared" si="21"/>
        <v>9579.6773678925674</v>
      </c>
      <c r="J103" s="2">
        <f t="shared" si="21"/>
        <v>0</v>
      </c>
    </row>
    <row r="104" spans="1:10">
      <c r="A104" s="50">
        <f t="shared" si="16"/>
        <v>1088</v>
      </c>
      <c r="B104" s="28" t="s">
        <v>423</v>
      </c>
      <c r="C104" s="1" t="s">
        <v>422</v>
      </c>
      <c r="D104" s="2">
        <f>Detail!$E$408*INDEX(Detail!$R$408:$AH$408,$A104-$A$88)</f>
        <v>2036999.9999999998</v>
      </c>
      <c r="E104" s="2">
        <f t="shared" si="21"/>
        <v>2036999.9999999998</v>
      </c>
      <c r="F104" s="2">
        <f t="shared" si="21"/>
        <v>0</v>
      </c>
      <c r="G104" s="2">
        <f t="shared" si="21"/>
        <v>0</v>
      </c>
      <c r="H104" s="2">
        <f t="shared" si="21"/>
        <v>0</v>
      </c>
      <c r="I104" s="2">
        <f t="shared" si="21"/>
        <v>0</v>
      </c>
      <c r="J104" s="2">
        <f t="shared" si="21"/>
        <v>0</v>
      </c>
    </row>
    <row r="105" spans="1:10">
      <c r="A105" s="50">
        <f t="shared" si="16"/>
        <v>1089</v>
      </c>
      <c r="B105" s="28" t="s">
        <v>350</v>
      </c>
      <c r="C105" s="1" t="s">
        <v>113</v>
      </c>
      <c r="D105" s="2">
        <f>Detail!$E$408*INDEX(Detail!$R$408:$AH$408,$A105-$A$88)</f>
        <v>432744</v>
      </c>
      <c r="E105" s="2">
        <f t="shared" si="21"/>
        <v>335339.52816217404</v>
      </c>
      <c r="F105" s="2">
        <f t="shared" si="21"/>
        <v>82302.985441833458</v>
      </c>
      <c r="G105" s="2">
        <f t="shared" si="21"/>
        <v>0</v>
      </c>
      <c r="H105" s="2">
        <f t="shared" si="21"/>
        <v>2207.8912601345978</v>
      </c>
      <c r="I105" s="2">
        <f t="shared" si="21"/>
        <v>12893.595135857893</v>
      </c>
      <c r="J105" s="2">
        <f t="shared" si="21"/>
        <v>0</v>
      </c>
    </row>
    <row r="106" spans="1:10">
      <c r="A106" s="50">
        <f t="shared" si="16"/>
        <v>1090</v>
      </c>
      <c r="B106" s="50"/>
    </row>
    <row r="107" spans="1:10">
      <c r="A107" s="50">
        <f t="shared" si="16"/>
        <v>1091</v>
      </c>
      <c r="B107" s="28" t="s">
        <v>120</v>
      </c>
      <c r="D107" s="4">
        <f>IF(ROUND(SUM(D89:D106),3)&lt;&gt;ROUND(SUM(E107:J107),3),#VALUE!,SUM(E107:J107))</f>
        <v>93575000.000000015</v>
      </c>
      <c r="E107" s="4">
        <f t="shared" ref="E107:J107" si="22">SUM(E89:E106)</f>
        <v>76098802.711832091</v>
      </c>
      <c r="F107" s="4">
        <f t="shared" si="22"/>
        <v>13964129.073850434</v>
      </c>
      <c r="G107" s="4">
        <f t="shared" si="22"/>
        <v>0</v>
      </c>
      <c r="H107" s="4">
        <f t="shared" si="22"/>
        <v>340196.83052425052</v>
      </c>
      <c r="I107" s="4">
        <f t="shared" si="22"/>
        <v>3171871.3837932339</v>
      </c>
      <c r="J107" s="4">
        <f t="shared" si="22"/>
        <v>0</v>
      </c>
    </row>
    <row r="108" spans="1:10">
      <c r="A108" s="50">
        <f t="shared" si="16"/>
        <v>1092</v>
      </c>
      <c r="B108" s="50"/>
    </row>
    <row r="109" spans="1:10">
      <c r="A109" s="50">
        <f t="shared" si="16"/>
        <v>1093</v>
      </c>
      <c r="B109" s="50"/>
    </row>
    <row r="110" spans="1:10">
      <c r="A110" s="50">
        <f t="shared" si="16"/>
        <v>1094</v>
      </c>
      <c r="B110" s="50"/>
    </row>
    <row r="111" spans="1:10">
      <c r="A111" s="50">
        <f t="shared" si="16"/>
        <v>1095</v>
      </c>
      <c r="B111" s="50"/>
    </row>
    <row r="112" spans="1:10">
      <c r="A112" s="50">
        <f t="shared" si="16"/>
        <v>1096</v>
      </c>
      <c r="B112" s="50"/>
    </row>
    <row r="113" spans="1:2">
      <c r="A113" s="50">
        <f t="shared" si="16"/>
        <v>1097</v>
      </c>
      <c r="B113" s="50"/>
    </row>
    <row r="114" spans="1:2">
      <c r="A114" s="50">
        <f t="shared" si="16"/>
        <v>1098</v>
      </c>
      <c r="B114" s="50"/>
    </row>
    <row r="115" spans="1:2">
      <c r="A115" s="50"/>
      <c r="B115" s="50"/>
    </row>
  </sheetData>
  <phoneticPr fontId="8" type="noConversion"/>
  <pageMargins left="0.5" right="0.5" top="0.5" bottom="0.5" header="0.25" footer="0.25"/>
  <pageSetup scale="70" firstPageNumber="34" orientation="landscape" useFirstPageNumber="1" r:id="rId1"/>
  <headerFooter alignWithMargins="0">
    <oddHeader>&amp;LAVISTA UTILITIES --  Base Case
Allocation Percentages&amp;RWA Gas</oddHeader>
    <oddFooter>&amp;LAvista - WA Cost of Service (NG) - Base Case.xlsm  Factors&amp;C4/24/2019&amp;RPage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3" r:id="rId4" name="Button 35">
              <controlPr defaultSize="0" print="0" autoFill="0" autoPict="0" macro="[0]!Print_SUM2">
                <anchor moveWithCells="1" sizeWithCells="1">
                  <from>
                    <xdr:col>1</xdr:col>
                    <xdr:colOff>1295400</xdr:colOff>
                    <xdr:row>3</xdr:row>
                    <xdr:rowOff>38100</xdr:rowOff>
                  </from>
                  <to>
                    <xdr:col>1</xdr:col>
                    <xdr:colOff>1809750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5" name="Button 36">
              <controlPr defaultSize="0" print="0" autoFill="0" autoPict="0" macro="[0]!Print_SUM3">
                <anchor moveWithCells="1" sizeWithCells="1">
                  <from>
                    <xdr:col>1</xdr:col>
                    <xdr:colOff>66675</xdr:colOff>
                    <xdr:row>63</xdr:row>
                    <xdr:rowOff>38100</xdr:rowOff>
                  </from>
                  <to>
                    <xdr:col>1</xdr:col>
                    <xdr:colOff>581025</xdr:colOff>
                    <xdr:row>64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0000"/>
  </sheetPr>
  <dimension ref="A1:BB420"/>
  <sheetViews>
    <sheetView tabSelected="1" topLeftCell="A380" zoomScaleNormal="100" workbookViewId="0">
      <pane xSplit="4" topLeftCell="AN1" activePane="topRight" state="frozen"/>
      <selection activeCell="A376" sqref="A376"/>
      <selection pane="topRight" activeCell="AT407" sqref="AT407"/>
    </sheetView>
  </sheetViews>
  <sheetFormatPr defaultColWidth="9.140625" defaultRowHeight="14.1" customHeight="1"/>
  <cols>
    <col min="1" max="1" width="5.7109375" style="136" customWidth="1"/>
    <col min="2" max="2" width="9" style="136" customWidth="1"/>
    <col min="3" max="3" width="6.5703125" style="136" customWidth="1"/>
    <col min="4" max="4" width="23.5703125" style="136" customWidth="1"/>
    <col min="5" max="5" width="10.5703125" style="136" customWidth="1"/>
    <col min="6" max="6" width="13.5703125" style="139" customWidth="1"/>
    <col min="7" max="7" width="14" style="139" customWidth="1"/>
    <col min="8" max="8" width="12.7109375" style="139" customWidth="1"/>
    <col min="9" max="9" width="12.42578125" style="139" customWidth="1"/>
    <col min="10" max="11" width="14.42578125" style="139" customWidth="1"/>
    <col min="12" max="12" width="12.140625" style="139" customWidth="1"/>
    <col min="13" max="13" width="13.140625" style="139" customWidth="1"/>
    <col min="14" max="18" width="11.7109375" style="139" customWidth="1"/>
    <col min="19" max="20" width="16.85546875" style="139" customWidth="1"/>
    <col min="21" max="23" width="11.7109375" style="139" customWidth="1"/>
    <col min="24" max="24" width="13.7109375" style="139" bestFit="1" customWidth="1"/>
    <col min="25" max="28" width="14.7109375" style="139" customWidth="1"/>
    <col min="29" max="29" width="12.28515625" style="139" customWidth="1"/>
    <col min="30" max="30" width="12" style="139" customWidth="1"/>
    <col min="31" max="32" width="12.5703125" style="139" customWidth="1"/>
    <col min="33" max="34" width="15.42578125" style="139" customWidth="1"/>
    <col min="35" max="36" width="16.42578125" style="139" customWidth="1"/>
    <col min="37" max="37" width="11.7109375" style="139" customWidth="1"/>
    <col min="38" max="38" width="16.85546875" style="139" customWidth="1"/>
    <col min="39" max="39" width="21.85546875" style="139" bestFit="1" customWidth="1"/>
    <col min="40" max="40" width="13.28515625" style="139" customWidth="1"/>
    <col min="41" max="41" width="21.85546875" style="139" bestFit="1" customWidth="1"/>
    <col min="42" max="42" width="13.28515625" style="139" customWidth="1"/>
    <col min="43" max="43" width="15" style="139" bestFit="1" customWidth="1"/>
    <col min="44" max="44" width="13.28515625" style="139" customWidth="1"/>
    <col min="45" max="45" width="16.5703125" style="139" bestFit="1" customWidth="1"/>
    <col min="46" max="46" width="19.42578125" style="139" bestFit="1" customWidth="1"/>
    <col min="47" max="47" width="6.28515625" style="136" customWidth="1"/>
    <col min="48" max="48" width="13.7109375" style="136" customWidth="1"/>
    <col min="49" max="49" width="15.7109375" style="136" customWidth="1"/>
    <col min="50" max="54" width="12.7109375" style="137" customWidth="1"/>
    <col min="55" max="16384" width="9.140625" style="136"/>
  </cols>
  <sheetData>
    <row r="1" spans="1:54" ht="14.1" customHeight="1">
      <c r="A1" s="145">
        <v>1</v>
      </c>
      <c r="B1" s="136" t="s">
        <v>3</v>
      </c>
      <c r="I1" s="139" t="s">
        <v>624</v>
      </c>
      <c r="M1" s="456"/>
      <c r="P1" s="202"/>
      <c r="Q1" s="173"/>
      <c r="U1" s="196"/>
      <c r="V1" s="196"/>
      <c r="W1" s="196"/>
      <c r="X1" s="196"/>
      <c r="Y1" s="173"/>
      <c r="Z1" s="173"/>
      <c r="AA1" s="173"/>
      <c r="AB1" s="173"/>
      <c r="AG1" s="196"/>
      <c r="AH1" s="196"/>
      <c r="AI1" s="202"/>
      <c r="AJ1" s="202"/>
      <c r="AK1" s="202"/>
      <c r="AL1" s="173"/>
      <c r="AM1" s="173"/>
      <c r="AN1" s="173"/>
      <c r="AO1" s="173"/>
      <c r="AP1" s="173"/>
      <c r="AQ1" s="173"/>
      <c r="AR1" s="173"/>
      <c r="AS1" s="173"/>
      <c r="AT1" s="173"/>
      <c r="AU1" s="144"/>
      <c r="AV1" s="144"/>
      <c r="AX1" s="145"/>
      <c r="AY1" s="202"/>
      <c r="AZ1" s="145"/>
      <c r="BA1" s="145"/>
      <c r="BB1" s="145"/>
    </row>
    <row r="2" spans="1:54" ht="14.1" customHeight="1">
      <c r="A2" s="145">
        <v>2</v>
      </c>
      <c r="B2" s="136" t="s">
        <v>756</v>
      </c>
      <c r="E2" s="144"/>
      <c r="N2" s="457"/>
      <c r="R2" s="196"/>
      <c r="U2" s="196"/>
      <c r="V2" s="196"/>
      <c r="W2" s="196"/>
      <c r="X2" s="196"/>
      <c r="Y2" s="196"/>
      <c r="Z2" s="196"/>
      <c r="AA2" s="196"/>
      <c r="AB2" s="196"/>
      <c r="AE2" s="196"/>
      <c r="AF2" s="196"/>
      <c r="AG2" s="196"/>
      <c r="AH2" s="196"/>
      <c r="AI2" s="176"/>
      <c r="AJ2" s="176"/>
      <c r="AK2" s="176"/>
      <c r="AL2" s="196"/>
      <c r="AM2" s="196"/>
      <c r="AN2" s="196"/>
      <c r="AO2" s="196"/>
      <c r="AP2" s="196"/>
      <c r="AQ2" s="196"/>
      <c r="AR2" s="196"/>
      <c r="AS2" s="196"/>
      <c r="AT2" s="196"/>
      <c r="AU2" s="144"/>
      <c r="AV2" s="144"/>
      <c r="AW2" s="175"/>
      <c r="AX2" s="145"/>
      <c r="AY2" s="176"/>
      <c r="AZ2" s="145"/>
      <c r="BA2" s="145"/>
      <c r="BB2" s="145"/>
    </row>
    <row r="3" spans="1:54" ht="14.1" customHeight="1">
      <c r="A3" s="145">
        <v>3</v>
      </c>
      <c r="B3" s="136" t="s">
        <v>755</v>
      </c>
      <c r="R3" s="196"/>
      <c r="U3" s="196"/>
      <c r="V3" s="196"/>
      <c r="W3" s="196"/>
      <c r="X3" s="196"/>
      <c r="Y3" s="196"/>
      <c r="Z3" s="196"/>
      <c r="AA3" s="196"/>
      <c r="AB3" s="196"/>
      <c r="AE3" s="196"/>
      <c r="AF3" s="196"/>
      <c r="AG3" s="196"/>
      <c r="AH3" s="196"/>
      <c r="AI3" s="196"/>
      <c r="AJ3" s="196"/>
      <c r="AK3" s="196"/>
      <c r="AL3" s="196"/>
      <c r="AM3" s="475"/>
      <c r="AN3" s="475"/>
      <c r="AO3" s="475"/>
      <c r="AP3" s="475"/>
      <c r="AQ3" s="475"/>
      <c r="AR3" s="475"/>
      <c r="AS3" s="196"/>
      <c r="AT3" s="196"/>
      <c r="AU3" s="144"/>
      <c r="AV3" s="144"/>
      <c r="AW3" s="174"/>
      <c r="AX3" s="145"/>
      <c r="AY3" s="145"/>
      <c r="AZ3" s="145"/>
      <c r="BA3" s="145"/>
      <c r="BB3" s="145"/>
    </row>
    <row r="4" spans="1:54" ht="14.1" customHeight="1">
      <c r="A4" s="145">
        <v>4</v>
      </c>
      <c r="D4" s="201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462"/>
      <c r="AE4" s="196"/>
      <c r="AF4" s="196"/>
      <c r="AG4" s="196"/>
      <c r="AH4" s="196"/>
      <c r="AI4" s="462"/>
      <c r="AJ4" s="462"/>
      <c r="AK4" s="462"/>
      <c r="AL4" s="198"/>
      <c r="AM4" s="464"/>
      <c r="AN4" s="464"/>
      <c r="AO4" s="464"/>
      <c r="AP4" s="464"/>
      <c r="AQ4" s="464"/>
      <c r="AR4" s="464"/>
      <c r="AS4" s="198"/>
      <c r="AT4" s="198"/>
      <c r="AU4" s="196"/>
      <c r="AV4" s="196"/>
      <c r="AW4" s="144"/>
      <c r="AX4" s="145"/>
      <c r="AY4" s="145"/>
      <c r="AZ4" s="145"/>
      <c r="BA4" s="145"/>
      <c r="BB4" s="145"/>
    </row>
    <row r="5" spans="1:54" s="137" customFormat="1" ht="14.1" customHeight="1">
      <c r="A5" s="145">
        <v>5</v>
      </c>
      <c r="B5" s="171"/>
      <c r="C5" s="171"/>
      <c r="D5" s="171"/>
      <c r="E5" s="171"/>
      <c r="F5" s="200">
        <v>1</v>
      </c>
      <c r="G5" s="452">
        <f>F5+0.01</f>
        <v>1.01</v>
      </c>
      <c r="H5" s="452">
        <f>G5+0.01</f>
        <v>1.02</v>
      </c>
      <c r="I5" s="452">
        <f>H5+0.01</f>
        <v>1.03</v>
      </c>
      <c r="J5" s="452">
        <v>2.0099999999999998</v>
      </c>
      <c r="K5" s="452">
        <v>2.02</v>
      </c>
      <c r="L5" s="452">
        <v>2.0299999999999998</v>
      </c>
      <c r="M5" s="452">
        <v>2.04</v>
      </c>
      <c r="N5" s="452">
        <v>2.0499999999999998</v>
      </c>
      <c r="O5" s="452">
        <v>2.06</v>
      </c>
      <c r="P5" s="452">
        <v>2.0699999999999998</v>
      </c>
      <c r="Q5" s="452">
        <v>2.08</v>
      </c>
      <c r="R5" s="452">
        <v>2.09</v>
      </c>
      <c r="S5" s="461">
        <v>2.1</v>
      </c>
      <c r="T5" s="461">
        <v>2.11</v>
      </c>
      <c r="U5" s="461">
        <v>2.12</v>
      </c>
      <c r="V5" s="461">
        <v>2.13</v>
      </c>
      <c r="W5" s="461">
        <v>2.14</v>
      </c>
      <c r="X5" s="461">
        <v>2.15</v>
      </c>
      <c r="Y5" s="452">
        <v>3.01</v>
      </c>
      <c r="Z5" s="452">
        <v>3.02</v>
      </c>
      <c r="AA5" s="452">
        <v>3.03</v>
      </c>
      <c r="AB5" s="452">
        <v>3.04</v>
      </c>
      <c r="AC5" s="452">
        <v>3.05</v>
      </c>
      <c r="AD5" s="452">
        <v>3.06</v>
      </c>
      <c r="AE5" s="452">
        <v>3.07</v>
      </c>
      <c r="AF5" s="452">
        <v>3.08</v>
      </c>
      <c r="AG5" s="452">
        <v>3.09</v>
      </c>
      <c r="AH5" s="461">
        <v>3.1</v>
      </c>
      <c r="AI5" s="452">
        <v>3.11</v>
      </c>
      <c r="AJ5" s="452">
        <v>3.12</v>
      </c>
      <c r="AK5" s="452">
        <v>3.13</v>
      </c>
      <c r="AL5" s="452">
        <v>3.14</v>
      </c>
      <c r="AM5" s="452">
        <v>3.15</v>
      </c>
      <c r="AN5" s="452">
        <v>3.16</v>
      </c>
      <c r="AO5" s="452">
        <v>3.17</v>
      </c>
      <c r="AP5" s="452">
        <v>3.18</v>
      </c>
      <c r="AQ5" s="452">
        <v>3.19</v>
      </c>
      <c r="AR5" s="461">
        <v>3.2</v>
      </c>
      <c r="AS5" s="452">
        <v>4.01</v>
      </c>
      <c r="AT5" s="452">
        <f t="shared" ref="AT5" si="0">AS5+0.01</f>
        <v>4.0199999999999996</v>
      </c>
      <c r="AU5" s="461"/>
      <c r="AV5" s="171" t="str">
        <f>ColHdr</f>
        <v>(av)</v>
      </c>
      <c r="AW5" s="171" t="str">
        <f>ColHdr</f>
        <v>(aw)</v>
      </c>
      <c r="AX5" s="171" t="str">
        <f>ColHdr</f>
        <v>(ax)</v>
      </c>
      <c r="AY5" s="171" t="str">
        <f>ColHdr</f>
        <v>(ay)</v>
      </c>
    </row>
    <row r="6" spans="1:54" ht="14.1" customHeight="1">
      <c r="A6" s="145">
        <v>6</v>
      </c>
      <c r="B6" s="144"/>
      <c r="C6" s="144"/>
      <c r="D6" s="144"/>
      <c r="E6" s="137" t="s">
        <v>754</v>
      </c>
      <c r="F6" s="198" t="s">
        <v>753</v>
      </c>
      <c r="G6" s="198" t="s">
        <v>752</v>
      </c>
      <c r="H6" s="198" t="s">
        <v>751</v>
      </c>
      <c r="I6" s="198" t="s">
        <v>977</v>
      </c>
      <c r="J6" s="198" t="s">
        <v>745</v>
      </c>
      <c r="K6" s="198" t="s">
        <v>742</v>
      </c>
      <c r="L6" s="198" t="s">
        <v>750</v>
      </c>
      <c r="M6" s="198" t="s">
        <v>749</v>
      </c>
      <c r="N6" s="198" t="s">
        <v>748</v>
      </c>
      <c r="O6" s="198" t="s">
        <v>747</v>
      </c>
      <c r="P6" s="198" t="s">
        <v>744</v>
      </c>
      <c r="Q6" s="198" t="s">
        <v>742</v>
      </c>
      <c r="R6" s="198" t="s">
        <v>746</v>
      </c>
      <c r="S6" s="198" t="s">
        <v>1016</v>
      </c>
      <c r="T6" s="198" t="s">
        <v>745</v>
      </c>
      <c r="U6" s="198" t="s">
        <v>743</v>
      </c>
      <c r="V6" s="198" t="s">
        <v>1025</v>
      </c>
      <c r="W6" s="198" t="s">
        <v>1027</v>
      </c>
      <c r="X6" s="198" t="s">
        <v>1027</v>
      </c>
      <c r="Y6" s="198" t="s">
        <v>1012</v>
      </c>
      <c r="Z6" s="198" t="s">
        <v>1120</v>
      </c>
      <c r="AA6" s="198" t="s">
        <v>704</v>
      </c>
      <c r="AB6" s="198" t="s">
        <v>704</v>
      </c>
      <c r="AC6" s="198" t="s">
        <v>704</v>
      </c>
      <c r="AD6" s="198" t="s">
        <v>704</v>
      </c>
      <c r="AE6" s="198" t="s">
        <v>704</v>
      </c>
      <c r="AF6" s="198" t="s">
        <v>704</v>
      </c>
      <c r="AG6" s="198" t="s">
        <v>1048</v>
      </c>
      <c r="AH6" s="198" t="s">
        <v>704</v>
      </c>
      <c r="AI6" s="198" t="s">
        <v>704</v>
      </c>
      <c r="AJ6" s="198" t="s">
        <v>704</v>
      </c>
      <c r="AK6" s="198" t="s">
        <v>704</v>
      </c>
      <c r="AL6" s="198" t="s">
        <v>1019</v>
      </c>
      <c r="AM6" s="198" t="s">
        <v>704</v>
      </c>
      <c r="AN6" s="198" t="s">
        <v>704</v>
      </c>
      <c r="AO6" s="198" t="s">
        <v>704</v>
      </c>
      <c r="AP6" s="198" t="s">
        <v>704</v>
      </c>
      <c r="AQ6" s="198" t="s">
        <v>704</v>
      </c>
      <c r="AR6" s="198" t="s">
        <v>704</v>
      </c>
      <c r="AS6" s="198" t="s">
        <v>1691</v>
      </c>
      <c r="AT6" s="198" t="s">
        <v>1693</v>
      </c>
      <c r="AU6" s="137"/>
      <c r="AV6" s="145" t="s">
        <v>740</v>
      </c>
      <c r="AW6" s="145" t="s">
        <v>120</v>
      </c>
      <c r="AX6" s="145" t="s">
        <v>739</v>
      </c>
      <c r="AY6" s="145" t="s">
        <v>120</v>
      </c>
      <c r="AZ6" s="145"/>
      <c r="BA6" s="145"/>
      <c r="BB6" s="145"/>
    </row>
    <row r="7" spans="1:54" ht="14.1" customHeight="1">
      <c r="A7" s="145">
        <v>7</v>
      </c>
      <c r="B7" s="144" t="s">
        <v>738</v>
      </c>
      <c r="C7" s="144" t="s">
        <v>4</v>
      </c>
      <c r="D7" s="145"/>
      <c r="E7" s="199"/>
      <c r="F7" s="198" t="s">
        <v>737</v>
      </c>
      <c r="G7" s="198" t="s">
        <v>83</v>
      </c>
      <c r="H7" s="198" t="s">
        <v>736</v>
      </c>
      <c r="I7" s="198" t="s">
        <v>978</v>
      </c>
      <c r="J7" s="198" t="s">
        <v>735</v>
      </c>
      <c r="K7" s="198" t="s">
        <v>980</v>
      </c>
      <c r="L7" s="198" t="s">
        <v>533</v>
      </c>
      <c r="M7" s="198" t="s">
        <v>533</v>
      </c>
      <c r="N7" s="198" t="s">
        <v>734</v>
      </c>
      <c r="O7" s="198" t="s">
        <v>533</v>
      </c>
      <c r="P7" s="198" t="s">
        <v>732</v>
      </c>
      <c r="Q7" s="198" t="s">
        <v>731</v>
      </c>
      <c r="R7" s="198" t="s">
        <v>733</v>
      </c>
      <c r="S7" s="198" t="s">
        <v>1017</v>
      </c>
      <c r="T7" s="198" t="s">
        <v>1009</v>
      </c>
      <c r="U7" s="198" t="s">
        <v>706</v>
      </c>
      <c r="V7" s="198" t="s">
        <v>1026</v>
      </c>
      <c r="W7" s="198" t="s">
        <v>1028</v>
      </c>
      <c r="X7" s="198" t="s">
        <v>1263</v>
      </c>
      <c r="Y7" s="198" t="s">
        <v>985</v>
      </c>
      <c r="Z7" s="198" t="s">
        <v>1121</v>
      </c>
      <c r="AA7" s="198" t="s">
        <v>1673</v>
      </c>
      <c r="AB7" s="198" t="s">
        <v>1265</v>
      </c>
      <c r="AC7" s="198" t="s">
        <v>730</v>
      </c>
      <c r="AD7" s="198" t="s">
        <v>729</v>
      </c>
      <c r="AE7" s="198" t="s">
        <v>728</v>
      </c>
      <c r="AF7" s="198" t="s">
        <v>1026</v>
      </c>
      <c r="AG7" s="198" t="s">
        <v>1267</v>
      </c>
      <c r="AH7" s="198" t="s">
        <v>1676</v>
      </c>
      <c r="AI7" s="198" t="s">
        <v>727</v>
      </c>
      <c r="AJ7" s="198" t="s">
        <v>1268</v>
      </c>
      <c r="AK7" s="198" t="s">
        <v>1124</v>
      </c>
      <c r="AL7" s="198" t="s">
        <v>1270</v>
      </c>
      <c r="AM7" s="198" t="s">
        <v>1683</v>
      </c>
      <c r="AN7" s="198" t="s">
        <v>1684</v>
      </c>
      <c r="AO7" s="198" t="s">
        <v>1685</v>
      </c>
      <c r="AP7" s="198" t="s">
        <v>1686</v>
      </c>
      <c r="AQ7" s="198" t="s">
        <v>1687</v>
      </c>
      <c r="AR7" s="198" t="s">
        <v>1688</v>
      </c>
      <c r="AS7" s="198" t="s">
        <v>1692</v>
      </c>
      <c r="AT7" s="198" t="s">
        <v>1694</v>
      </c>
      <c r="AU7" s="137"/>
      <c r="AV7" s="145" t="s">
        <v>726</v>
      </c>
      <c r="AW7" s="145"/>
      <c r="AX7" s="145"/>
      <c r="AY7" s="145" t="s">
        <v>725</v>
      </c>
      <c r="AZ7" s="145" t="s">
        <v>724</v>
      </c>
      <c r="BA7" s="145"/>
      <c r="BB7" s="145"/>
    </row>
    <row r="8" spans="1:54" ht="14.1" customHeight="1">
      <c r="A8" s="145">
        <v>8</v>
      </c>
      <c r="B8" s="144"/>
      <c r="C8" s="144"/>
      <c r="D8" s="145"/>
      <c r="E8" s="137"/>
      <c r="F8" s="198" t="s">
        <v>723</v>
      </c>
      <c r="G8" s="198" t="s">
        <v>722</v>
      </c>
      <c r="H8" s="198" t="s">
        <v>721</v>
      </c>
      <c r="I8" s="198" t="s">
        <v>979</v>
      </c>
      <c r="J8" s="198" t="s">
        <v>720</v>
      </c>
      <c r="K8" s="198" t="s">
        <v>981</v>
      </c>
      <c r="L8" s="198" t="s">
        <v>719</v>
      </c>
      <c r="M8" s="198" t="s">
        <v>718</v>
      </c>
      <c r="N8" s="198" t="s">
        <v>717</v>
      </c>
      <c r="O8" s="198" t="s">
        <v>716</v>
      </c>
      <c r="P8" s="198" t="s">
        <v>714</v>
      </c>
      <c r="Q8" s="198" t="s">
        <v>713</v>
      </c>
      <c r="R8" s="198" t="s">
        <v>715</v>
      </c>
      <c r="S8" s="198" t="s">
        <v>1018</v>
      </c>
      <c r="T8" s="198" t="s">
        <v>1010</v>
      </c>
      <c r="U8" s="198" t="s">
        <v>712</v>
      </c>
      <c r="V8" s="198" t="s">
        <v>711</v>
      </c>
      <c r="W8" s="198" t="s">
        <v>1029</v>
      </c>
      <c r="X8" s="198" t="s">
        <v>1264</v>
      </c>
      <c r="Y8" s="198" t="s">
        <v>1011</v>
      </c>
      <c r="Z8" s="198" t="s">
        <v>1122</v>
      </c>
      <c r="AA8" s="198" t="s">
        <v>1672</v>
      </c>
      <c r="AB8" s="198" t="s">
        <v>1126</v>
      </c>
      <c r="AC8" s="198" t="s">
        <v>710</v>
      </c>
      <c r="AD8" s="198" t="s">
        <v>709</v>
      </c>
      <c r="AE8" s="198" t="s">
        <v>708</v>
      </c>
      <c r="AF8" s="198" t="s">
        <v>1674</v>
      </c>
      <c r="AG8" s="198" t="s">
        <v>1266</v>
      </c>
      <c r="AH8" s="198" t="s">
        <v>1675</v>
      </c>
      <c r="AI8" s="198" t="s">
        <v>984</v>
      </c>
      <c r="AJ8" s="198" t="s">
        <v>1123</v>
      </c>
      <c r="AK8" s="198" t="s">
        <v>1125</v>
      </c>
      <c r="AL8" s="198" t="s">
        <v>1269</v>
      </c>
      <c r="AM8" s="198" t="s">
        <v>1677</v>
      </c>
      <c r="AN8" s="198" t="s">
        <v>1678</v>
      </c>
      <c r="AO8" s="198" t="s">
        <v>1679</v>
      </c>
      <c r="AP8" s="198" t="s">
        <v>1680</v>
      </c>
      <c r="AQ8" s="198" t="s">
        <v>1681</v>
      </c>
      <c r="AR8" s="198" t="s">
        <v>1682</v>
      </c>
      <c r="AS8" s="198" t="s">
        <v>1689</v>
      </c>
      <c r="AT8" s="198" t="s">
        <v>1690</v>
      </c>
      <c r="AU8" s="137"/>
      <c r="AV8" s="145" t="s">
        <v>706</v>
      </c>
      <c r="AW8" s="145"/>
      <c r="AX8" s="145"/>
      <c r="AY8" s="145" t="s">
        <v>705</v>
      </c>
      <c r="AZ8" s="145" t="s">
        <v>704</v>
      </c>
      <c r="BA8" s="145"/>
      <c r="BB8" s="145"/>
    </row>
    <row r="9" spans="1:54" ht="14.1" customHeight="1">
      <c r="A9" s="145">
        <v>9</v>
      </c>
      <c r="B9" s="144" t="s">
        <v>0</v>
      </c>
      <c r="C9" s="144"/>
      <c r="D9" s="144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1"/>
      <c r="AV9" s="144"/>
      <c r="AW9" s="144"/>
      <c r="AX9" s="145"/>
      <c r="AY9" s="145"/>
      <c r="AZ9" s="145" t="s">
        <v>120</v>
      </c>
      <c r="BA9" s="145" t="s">
        <v>612</v>
      </c>
      <c r="BB9" s="145"/>
    </row>
    <row r="10" spans="1:54" ht="14.1" customHeight="1">
      <c r="A10" s="145">
        <v>10</v>
      </c>
      <c r="B10" s="144"/>
      <c r="C10" s="157" t="s">
        <v>282</v>
      </c>
      <c r="D10" s="144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1"/>
      <c r="AV10" s="144"/>
      <c r="AW10" s="144"/>
      <c r="AX10" s="145"/>
      <c r="AY10" s="145"/>
      <c r="AZ10" s="146"/>
      <c r="BA10" s="146"/>
      <c r="BB10" s="145"/>
    </row>
    <row r="11" spans="1:54" ht="14.1" customHeight="1">
      <c r="A11" s="145">
        <v>11</v>
      </c>
      <c r="B11" s="144" t="s">
        <v>976</v>
      </c>
      <c r="C11" s="144" t="s">
        <v>703</v>
      </c>
      <c r="D11" s="144"/>
      <c r="F11" s="150">
        <v>139821000</v>
      </c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66">
        <v>-57000</v>
      </c>
      <c r="T11" s="166">
        <v>-49394000</v>
      </c>
      <c r="U11" s="142"/>
      <c r="V11" s="166"/>
      <c r="W11" s="166"/>
      <c r="X11" s="166"/>
      <c r="Y11" s="166">
        <v>-90370000</v>
      </c>
      <c r="Z11" s="166"/>
      <c r="AA11" s="166"/>
      <c r="AB11" s="166"/>
      <c r="AC11" s="166"/>
      <c r="AD11" s="183"/>
      <c r="AE11" s="166"/>
      <c r="AF11" s="166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1"/>
      <c r="AV11" s="149">
        <f t="shared" ref="AV11:AV27" si="1">SUM(G11:AT11)</f>
        <v>-139821000</v>
      </c>
      <c r="AW11" s="149">
        <f t="shared" ref="AW11:AW27" si="2">F11+AV11</f>
        <v>0</v>
      </c>
      <c r="AX11" s="145"/>
      <c r="AY11" s="149">
        <f>ROUND(AW11/1000,0)*1000</f>
        <v>0</v>
      </c>
      <c r="AZ11" s="146"/>
      <c r="BA11" s="146"/>
      <c r="BB11" s="145"/>
    </row>
    <row r="12" spans="1:54" ht="14.1" customHeight="1">
      <c r="A12" s="145">
        <v>12</v>
      </c>
      <c r="B12" s="144" t="s">
        <v>702</v>
      </c>
      <c r="C12" s="144" t="s">
        <v>701</v>
      </c>
      <c r="D12" s="144"/>
      <c r="F12" s="150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>
        <f t="shared" ref="T12:T25" si="3">-F12</f>
        <v>0</v>
      </c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1"/>
      <c r="AV12" s="149">
        <f t="shared" si="1"/>
        <v>0</v>
      </c>
      <c r="AW12" s="149">
        <f t="shared" si="2"/>
        <v>0</v>
      </c>
      <c r="AX12" s="145"/>
      <c r="AY12" s="149">
        <f t="shared" ref="AY12:AY27" si="4">ROUND(AW12/1000,0)*1000</f>
        <v>0</v>
      </c>
      <c r="AZ12" s="146"/>
      <c r="BA12" s="146"/>
      <c r="BB12" s="145"/>
    </row>
    <row r="13" spans="1:54" ht="14.1" customHeight="1">
      <c r="A13" s="145">
        <v>13</v>
      </c>
      <c r="B13" s="144" t="s">
        <v>700</v>
      </c>
      <c r="C13" s="144" t="s">
        <v>699</v>
      </c>
      <c r="D13" s="144"/>
      <c r="F13" s="150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>
        <f t="shared" si="3"/>
        <v>0</v>
      </c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1"/>
      <c r="AV13" s="149">
        <f t="shared" si="1"/>
        <v>0</v>
      </c>
      <c r="AW13" s="149">
        <f t="shared" si="2"/>
        <v>0</v>
      </c>
      <c r="AX13" s="145"/>
      <c r="AY13" s="149">
        <f t="shared" si="4"/>
        <v>0</v>
      </c>
      <c r="AZ13" s="146"/>
      <c r="BA13" s="146"/>
      <c r="BB13" s="145"/>
    </row>
    <row r="14" spans="1:54" ht="14.1" customHeight="1">
      <c r="A14" s="145">
        <v>14</v>
      </c>
      <c r="B14" s="144" t="s">
        <v>698</v>
      </c>
      <c r="C14" s="144" t="s">
        <v>697</v>
      </c>
      <c r="D14" s="144"/>
      <c r="F14" s="150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>
        <f t="shared" si="3"/>
        <v>0</v>
      </c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1"/>
      <c r="AV14" s="149">
        <f t="shared" si="1"/>
        <v>0</v>
      </c>
      <c r="AW14" s="149">
        <f t="shared" si="2"/>
        <v>0</v>
      </c>
      <c r="AX14" s="145"/>
      <c r="AY14" s="149">
        <f t="shared" si="4"/>
        <v>0</v>
      </c>
      <c r="AZ14" s="146"/>
      <c r="BA14" s="146"/>
      <c r="BB14" s="145"/>
    </row>
    <row r="15" spans="1:54" ht="14.1" customHeight="1">
      <c r="A15" s="145">
        <v>15</v>
      </c>
      <c r="B15" s="144" t="s">
        <v>696</v>
      </c>
      <c r="C15" s="144" t="s">
        <v>695</v>
      </c>
      <c r="D15" s="144"/>
      <c r="F15" s="150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>
        <f t="shared" si="3"/>
        <v>0</v>
      </c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1"/>
      <c r="AV15" s="149">
        <f t="shared" si="1"/>
        <v>0</v>
      </c>
      <c r="AW15" s="149">
        <f t="shared" si="2"/>
        <v>0</v>
      </c>
      <c r="AX15" s="145"/>
      <c r="AY15" s="149">
        <f t="shared" si="4"/>
        <v>0</v>
      </c>
      <c r="AZ15" s="146"/>
      <c r="BA15" s="146"/>
      <c r="BB15" s="145"/>
    </row>
    <row r="16" spans="1:54" ht="14.1" customHeight="1">
      <c r="A16" s="145">
        <v>16</v>
      </c>
      <c r="B16" s="144" t="s">
        <v>694</v>
      </c>
      <c r="C16" s="144" t="s">
        <v>693</v>
      </c>
      <c r="D16" s="144"/>
      <c r="F16" s="150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>
        <f t="shared" si="3"/>
        <v>0</v>
      </c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1"/>
      <c r="AV16" s="149">
        <f t="shared" si="1"/>
        <v>0</v>
      </c>
      <c r="AW16" s="149">
        <f t="shared" si="2"/>
        <v>0</v>
      </c>
      <c r="AX16" s="145"/>
      <c r="AY16" s="149">
        <f t="shared" si="4"/>
        <v>0</v>
      </c>
      <c r="AZ16" s="146"/>
      <c r="BA16" s="146"/>
      <c r="BB16" s="145"/>
    </row>
    <row r="17" spans="1:54" ht="14.1" customHeight="1">
      <c r="A17" s="145">
        <v>17</v>
      </c>
      <c r="B17" s="144" t="s">
        <v>692</v>
      </c>
      <c r="C17" s="144" t="s">
        <v>691</v>
      </c>
      <c r="D17" s="144"/>
      <c r="F17" s="150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>
        <f t="shared" si="3"/>
        <v>0</v>
      </c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1"/>
      <c r="AV17" s="149">
        <f t="shared" si="1"/>
        <v>0</v>
      </c>
      <c r="AW17" s="149">
        <f t="shared" si="2"/>
        <v>0</v>
      </c>
      <c r="AX17" s="145"/>
      <c r="AY17" s="149">
        <f t="shared" si="4"/>
        <v>0</v>
      </c>
      <c r="AZ17" s="146"/>
      <c r="BA17" s="146"/>
      <c r="BB17" s="145"/>
    </row>
    <row r="18" spans="1:54" ht="14.1" customHeight="1">
      <c r="A18" s="145">
        <v>18</v>
      </c>
      <c r="B18" s="144" t="s">
        <v>690</v>
      </c>
      <c r="C18" s="144" t="s">
        <v>689</v>
      </c>
      <c r="D18" s="144"/>
      <c r="F18" s="150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>
        <f t="shared" si="3"/>
        <v>0</v>
      </c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1"/>
      <c r="AV18" s="149">
        <f t="shared" si="1"/>
        <v>0</v>
      </c>
      <c r="AW18" s="149">
        <f t="shared" si="2"/>
        <v>0</v>
      </c>
      <c r="AX18" s="145"/>
      <c r="AY18" s="149">
        <f t="shared" si="4"/>
        <v>0</v>
      </c>
      <c r="AZ18" s="146"/>
      <c r="BA18" s="146"/>
      <c r="BB18" s="145"/>
    </row>
    <row r="19" spans="1:54" ht="14.1" customHeight="1">
      <c r="A19" s="145">
        <v>19</v>
      </c>
      <c r="B19" s="144" t="s">
        <v>688</v>
      </c>
      <c r="C19" s="144" t="s">
        <v>687</v>
      </c>
      <c r="D19" s="144"/>
      <c r="F19" s="150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>
        <f t="shared" si="3"/>
        <v>0</v>
      </c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1"/>
      <c r="AV19" s="149">
        <f t="shared" si="1"/>
        <v>0</v>
      </c>
      <c r="AW19" s="149">
        <f t="shared" si="2"/>
        <v>0</v>
      </c>
      <c r="AX19" s="145"/>
      <c r="AY19" s="149">
        <f t="shared" si="4"/>
        <v>0</v>
      </c>
      <c r="AZ19" s="146"/>
      <c r="BA19" s="146"/>
      <c r="BB19" s="145"/>
    </row>
    <row r="20" spans="1:54" ht="14.1" customHeight="1">
      <c r="A20" s="145">
        <v>20</v>
      </c>
      <c r="B20" s="144" t="s">
        <v>686</v>
      </c>
      <c r="C20" s="144" t="s">
        <v>685</v>
      </c>
      <c r="D20" s="144"/>
      <c r="F20" s="150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>
        <f t="shared" si="3"/>
        <v>0</v>
      </c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1"/>
      <c r="AV20" s="149">
        <f t="shared" si="1"/>
        <v>0</v>
      </c>
      <c r="AW20" s="149">
        <f t="shared" si="2"/>
        <v>0</v>
      </c>
      <c r="AX20" s="145"/>
      <c r="AY20" s="149">
        <f t="shared" si="4"/>
        <v>0</v>
      </c>
      <c r="AZ20" s="146"/>
      <c r="BA20" s="146"/>
      <c r="BB20" s="145"/>
    </row>
    <row r="21" spans="1:54" ht="14.1" customHeight="1">
      <c r="A21" s="145">
        <v>21</v>
      </c>
      <c r="B21" s="144" t="s">
        <v>684</v>
      </c>
      <c r="C21" s="144" t="s">
        <v>683</v>
      </c>
      <c r="D21" s="144"/>
      <c r="F21" s="150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>
        <f t="shared" si="3"/>
        <v>0</v>
      </c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1"/>
      <c r="AV21" s="149">
        <f t="shared" si="1"/>
        <v>0</v>
      </c>
      <c r="AW21" s="149">
        <f t="shared" si="2"/>
        <v>0</v>
      </c>
      <c r="AX21" s="145"/>
      <c r="AY21" s="149">
        <f t="shared" si="4"/>
        <v>0</v>
      </c>
      <c r="AZ21" s="146"/>
      <c r="BA21" s="146"/>
      <c r="BB21" s="145"/>
    </row>
    <row r="22" spans="1:54" ht="14.1" customHeight="1">
      <c r="A22" s="145">
        <v>22</v>
      </c>
      <c r="B22" s="144" t="s">
        <v>682</v>
      </c>
      <c r="C22" s="144" t="s">
        <v>681</v>
      </c>
      <c r="D22" s="144"/>
      <c r="F22" s="150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>
        <f t="shared" si="3"/>
        <v>0</v>
      </c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1"/>
      <c r="AV22" s="149">
        <f t="shared" si="1"/>
        <v>0</v>
      </c>
      <c r="AW22" s="149">
        <f t="shared" si="2"/>
        <v>0</v>
      </c>
      <c r="AX22" s="145"/>
      <c r="AY22" s="149">
        <f t="shared" si="4"/>
        <v>0</v>
      </c>
      <c r="AZ22" s="146"/>
      <c r="BA22" s="146"/>
      <c r="BB22" s="145"/>
    </row>
    <row r="23" spans="1:54" ht="14.1" customHeight="1">
      <c r="A23" s="145">
        <v>23</v>
      </c>
      <c r="B23" s="144" t="s">
        <v>680</v>
      </c>
      <c r="C23" s="144" t="s">
        <v>679</v>
      </c>
      <c r="D23" s="144"/>
      <c r="F23" s="150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>
        <f t="shared" si="3"/>
        <v>0</v>
      </c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1"/>
      <c r="AV23" s="149">
        <f t="shared" si="1"/>
        <v>0</v>
      </c>
      <c r="AW23" s="149">
        <f t="shared" si="2"/>
        <v>0</v>
      </c>
      <c r="AX23" s="145"/>
      <c r="AY23" s="149">
        <f t="shared" si="4"/>
        <v>0</v>
      </c>
      <c r="AZ23" s="146"/>
      <c r="BA23" s="146"/>
      <c r="BB23" s="145"/>
    </row>
    <row r="24" spans="1:54" ht="14.1" customHeight="1">
      <c r="A24" s="145">
        <v>24</v>
      </c>
      <c r="B24" s="144" t="s">
        <v>678</v>
      </c>
      <c r="C24" s="144" t="s">
        <v>677</v>
      </c>
      <c r="D24" s="144"/>
      <c r="F24" s="150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>
        <f t="shared" si="3"/>
        <v>0</v>
      </c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1"/>
      <c r="AV24" s="149">
        <f t="shared" si="1"/>
        <v>0</v>
      </c>
      <c r="AW24" s="149">
        <f t="shared" si="2"/>
        <v>0</v>
      </c>
      <c r="AX24" s="145"/>
      <c r="AY24" s="149">
        <f t="shared" si="4"/>
        <v>0</v>
      </c>
      <c r="AZ24" s="146"/>
      <c r="BA24" s="146"/>
      <c r="BB24" s="145"/>
    </row>
    <row r="25" spans="1:54" ht="14.1" customHeight="1">
      <c r="A25" s="145">
        <v>25</v>
      </c>
      <c r="B25" s="144" t="s">
        <v>281</v>
      </c>
      <c r="C25" s="144" t="s">
        <v>281</v>
      </c>
      <c r="D25" s="144"/>
      <c r="F25" s="150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>
        <f t="shared" si="3"/>
        <v>0</v>
      </c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1"/>
      <c r="AV25" s="149">
        <f t="shared" si="1"/>
        <v>0</v>
      </c>
      <c r="AW25" s="149">
        <f t="shared" si="2"/>
        <v>0</v>
      </c>
      <c r="AX25" s="145"/>
      <c r="AY25" s="149">
        <f t="shared" si="4"/>
        <v>0</v>
      </c>
      <c r="AZ25" s="146"/>
      <c r="BA25" s="146"/>
      <c r="BB25" s="145"/>
    </row>
    <row r="26" spans="1:54" ht="14.1" customHeight="1">
      <c r="A26" s="145">
        <v>26</v>
      </c>
      <c r="B26" s="144" t="s">
        <v>676</v>
      </c>
      <c r="C26" s="144" t="s">
        <v>675</v>
      </c>
      <c r="D26" s="144"/>
      <c r="F26" s="150">
        <v>9133000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66">
        <v>-8789000</v>
      </c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1"/>
      <c r="AV26" s="149">
        <f t="shared" si="1"/>
        <v>-8789000</v>
      </c>
      <c r="AW26" s="149">
        <f t="shared" si="2"/>
        <v>344000</v>
      </c>
      <c r="AX26" s="145"/>
      <c r="AY26" s="149">
        <f>ROUND(AW26/1000,0)*1000</f>
        <v>344000</v>
      </c>
      <c r="AZ26" s="146"/>
      <c r="BA26" s="146"/>
      <c r="BB26" s="145"/>
    </row>
    <row r="27" spans="1:54" ht="14.1" customHeight="1">
      <c r="A27" s="145">
        <v>27</v>
      </c>
      <c r="B27" s="144" t="s">
        <v>674</v>
      </c>
      <c r="C27" s="144" t="s">
        <v>284</v>
      </c>
      <c r="D27" s="144"/>
      <c r="F27" s="150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50"/>
      <c r="T27" s="150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1"/>
      <c r="AV27" s="149">
        <f t="shared" si="1"/>
        <v>0</v>
      </c>
      <c r="AW27" s="149">
        <f t="shared" si="2"/>
        <v>0</v>
      </c>
      <c r="AX27" s="145"/>
      <c r="AY27" s="149">
        <f t="shared" si="4"/>
        <v>0</v>
      </c>
      <c r="AZ27" s="146"/>
      <c r="BA27" s="146"/>
      <c r="BB27" s="145"/>
    </row>
    <row r="28" spans="1:54" s="154" customFormat="1" ht="14.1" customHeight="1">
      <c r="A28" s="145">
        <v>28</v>
      </c>
      <c r="B28" s="157"/>
      <c r="C28" s="157" t="s">
        <v>673</v>
      </c>
      <c r="D28" s="157"/>
      <c r="E28" s="156"/>
      <c r="F28" s="179">
        <f t="shared" ref="F28:AL28" si="5">SUM(F11:F27)</f>
        <v>148954000</v>
      </c>
      <c r="G28" s="179">
        <f t="shared" si="5"/>
        <v>0</v>
      </c>
      <c r="H28" s="179">
        <f t="shared" si="5"/>
        <v>0</v>
      </c>
      <c r="I28" s="179">
        <f t="shared" si="5"/>
        <v>0</v>
      </c>
      <c r="J28" s="179">
        <f>SUM(J11:J27)</f>
        <v>0</v>
      </c>
      <c r="K28" s="179">
        <f>SUM(K11:K27)</f>
        <v>0</v>
      </c>
      <c r="L28" s="179">
        <f t="shared" si="5"/>
        <v>0</v>
      </c>
      <c r="M28" s="179">
        <f t="shared" si="5"/>
        <v>0</v>
      </c>
      <c r="N28" s="179">
        <f t="shared" si="5"/>
        <v>0</v>
      </c>
      <c r="O28" s="179">
        <f t="shared" si="5"/>
        <v>0</v>
      </c>
      <c r="P28" s="179">
        <f>SUM(P11:P27)</f>
        <v>0</v>
      </c>
      <c r="Q28" s="179">
        <f>SUM(Q11:Q27)</f>
        <v>0</v>
      </c>
      <c r="R28" s="179">
        <f>SUM(R11:R27)</f>
        <v>0</v>
      </c>
      <c r="S28" s="179">
        <f>SUM(S11:S27)</f>
        <v>-57000</v>
      </c>
      <c r="T28" s="179">
        <f>SUM(T11:T27)</f>
        <v>-58183000</v>
      </c>
      <c r="U28" s="179">
        <f t="shared" si="5"/>
        <v>0</v>
      </c>
      <c r="V28" s="179">
        <f t="shared" ref="V28:AB28" si="6">SUM(V11:V27)</f>
        <v>0</v>
      </c>
      <c r="W28" s="179">
        <f t="shared" si="6"/>
        <v>0</v>
      </c>
      <c r="X28" s="179">
        <f t="shared" si="6"/>
        <v>0</v>
      </c>
      <c r="Y28" s="179">
        <f t="shared" si="6"/>
        <v>-90370000</v>
      </c>
      <c r="Z28" s="179">
        <f t="shared" si="6"/>
        <v>0</v>
      </c>
      <c r="AA28" s="179">
        <f t="shared" si="6"/>
        <v>0</v>
      </c>
      <c r="AB28" s="179">
        <f t="shared" si="6"/>
        <v>0</v>
      </c>
      <c r="AC28" s="179">
        <f t="shared" si="5"/>
        <v>0</v>
      </c>
      <c r="AD28" s="179">
        <f t="shared" si="5"/>
        <v>0</v>
      </c>
      <c r="AE28" s="179">
        <f t="shared" si="5"/>
        <v>0</v>
      </c>
      <c r="AF28" s="179">
        <f t="shared" si="5"/>
        <v>0</v>
      </c>
      <c r="AG28" s="179">
        <f t="shared" si="5"/>
        <v>0</v>
      </c>
      <c r="AH28" s="179">
        <f t="shared" si="5"/>
        <v>0</v>
      </c>
      <c r="AI28" s="179">
        <f>SUM(AI11:AI27)</f>
        <v>0</v>
      </c>
      <c r="AJ28" s="179">
        <f>SUM(AJ11:AJ27)</f>
        <v>0</v>
      </c>
      <c r="AK28" s="179">
        <f t="shared" si="5"/>
        <v>0</v>
      </c>
      <c r="AL28" s="179">
        <f t="shared" si="5"/>
        <v>0</v>
      </c>
      <c r="AM28" s="179">
        <f>SUM(AM11:AM27)</f>
        <v>0</v>
      </c>
      <c r="AN28" s="179">
        <f t="shared" ref="AN28:AR28" si="7">SUM(AN11:AN27)</f>
        <v>0</v>
      </c>
      <c r="AO28" s="179">
        <f t="shared" si="7"/>
        <v>0</v>
      </c>
      <c r="AP28" s="179">
        <f t="shared" si="7"/>
        <v>0</v>
      </c>
      <c r="AQ28" s="179">
        <f t="shared" si="7"/>
        <v>0</v>
      </c>
      <c r="AR28" s="179">
        <f t="shared" si="7"/>
        <v>0</v>
      </c>
      <c r="AS28" s="179">
        <f t="shared" ref="AS28:AT28" si="8">SUM(AS11:AS27)</f>
        <v>0</v>
      </c>
      <c r="AT28" s="179">
        <f t="shared" si="8"/>
        <v>0</v>
      </c>
      <c r="AU28" s="197"/>
      <c r="AV28" s="197">
        <f>SUM(AV11:AV27)</f>
        <v>-148610000</v>
      </c>
      <c r="AW28" s="197">
        <f>SUM(AW11:AW27)</f>
        <v>344000</v>
      </c>
      <c r="AX28" s="152" t="str">
        <f>IF(ROUND(SUM(F28:AT28),0)=ROUND(AW28,0),"ok","crossfoot error")</f>
        <v>ok</v>
      </c>
      <c r="AY28" s="197">
        <f>SUM(AY11:AY27)/1000</f>
        <v>344</v>
      </c>
      <c r="AZ28" s="146"/>
      <c r="BA28" s="146"/>
      <c r="BB28" s="152"/>
    </row>
    <row r="29" spans="1:54" ht="14.1" customHeight="1">
      <c r="A29" s="145">
        <v>29</v>
      </c>
      <c r="B29" s="144" t="s">
        <v>672</v>
      </c>
      <c r="C29" s="144" t="s">
        <v>671</v>
      </c>
      <c r="D29" s="144"/>
      <c r="E29" s="141"/>
      <c r="F29" s="150">
        <v>-344000</v>
      </c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1"/>
      <c r="AV29" s="149">
        <f>SUM(G29:AT29)</f>
        <v>0</v>
      </c>
      <c r="AW29" s="149">
        <f>F29+AV29</f>
        <v>-344000</v>
      </c>
      <c r="AX29" s="145"/>
      <c r="AY29" s="149">
        <f>ROUND(AW29/1000,0)*1000</f>
        <v>-344000</v>
      </c>
      <c r="AZ29" s="146"/>
      <c r="BA29" s="146"/>
      <c r="BB29" s="145"/>
    </row>
    <row r="30" spans="1:54" ht="14.1" customHeight="1">
      <c r="A30" s="145">
        <v>30</v>
      </c>
      <c r="B30" s="196" t="s">
        <v>604</v>
      </c>
      <c r="C30" s="196" t="s">
        <v>670</v>
      </c>
      <c r="D30" s="196"/>
      <c r="E30" s="141"/>
      <c r="F30" s="150">
        <v>89000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66">
        <v>0</v>
      </c>
      <c r="T30" s="166"/>
      <c r="U30" s="142"/>
      <c r="V30" s="142"/>
      <c r="W30" s="142"/>
      <c r="X30" s="142"/>
      <c r="Y30" s="166"/>
      <c r="Z30" s="166"/>
      <c r="AA30" s="166"/>
      <c r="AB30" s="166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1"/>
      <c r="AV30" s="149">
        <f>SUM(G30:AT30)</f>
        <v>0</v>
      </c>
      <c r="AW30" s="149">
        <f>F30+AV30</f>
        <v>89000</v>
      </c>
      <c r="AX30" s="145"/>
      <c r="AY30" s="149">
        <f>ROUND(AW30/1000,0)*1000</f>
        <v>89000</v>
      </c>
      <c r="AZ30" s="146"/>
      <c r="BA30" s="146"/>
      <c r="BB30" s="145"/>
    </row>
    <row r="31" spans="1:54" ht="14.1" customHeight="1">
      <c r="A31" s="145">
        <v>31</v>
      </c>
      <c r="B31" s="144" t="s">
        <v>669</v>
      </c>
      <c r="C31" s="144" t="s">
        <v>285</v>
      </c>
      <c r="D31" s="144"/>
      <c r="E31" s="141"/>
      <c r="F31" s="150">
        <v>781000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66"/>
      <c r="T31" s="166"/>
      <c r="U31" s="166"/>
      <c r="V31" s="142"/>
      <c r="W31" s="142"/>
      <c r="X31" s="142"/>
      <c r="Y31" s="166"/>
      <c r="Z31" s="166"/>
      <c r="AA31" s="166"/>
      <c r="AB31" s="166"/>
      <c r="AC31" s="150">
        <v>69000</v>
      </c>
      <c r="AD31" s="150"/>
      <c r="AE31" s="150">
        <v>2000</v>
      </c>
      <c r="AF31" s="150"/>
      <c r="AG31" s="142"/>
      <c r="AH31" s="142"/>
      <c r="AI31" s="142"/>
      <c r="AJ31" s="142"/>
      <c r="AK31" s="142"/>
      <c r="AL31" s="166">
        <v>13000</v>
      </c>
      <c r="AM31" s="142"/>
      <c r="AN31" s="142"/>
      <c r="AO31" s="142"/>
      <c r="AP31" s="142"/>
      <c r="AQ31" s="142"/>
      <c r="AR31" s="142"/>
      <c r="AS31" s="142"/>
      <c r="AT31" s="142"/>
      <c r="AU31" s="141"/>
      <c r="AV31" s="149">
        <f>SUM(G31:AT31)</f>
        <v>84000</v>
      </c>
      <c r="AW31" s="149">
        <f>F31+AV31</f>
        <v>865000</v>
      </c>
      <c r="AX31" s="145"/>
      <c r="AY31" s="149">
        <f>ROUND(AW31/1000,0)*1000</f>
        <v>865000</v>
      </c>
      <c r="AZ31" s="146"/>
      <c r="BA31" s="146"/>
      <c r="BB31" s="145"/>
    </row>
    <row r="32" spans="1:54" s="154" customFormat="1" ht="14.1" customHeight="1">
      <c r="A32" s="145">
        <v>32</v>
      </c>
      <c r="B32" s="157"/>
      <c r="C32" s="157" t="s">
        <v>286</v>
      </c>
      <c r="D32" s="157"/>
      <c r="E32" s="156"/>
      <c r="F32" s="159">
        <f>SUM(F28:F31)</f>
        <v>149480000</v>
      </c>
      <c r="G32" s="159">
        <f t="shared" ref="G32:AR32" si="9">SUM(G28:G31)</f>
        <v>0</v>
      </c>
      <c r="H32" s="159">
        <f t="shared" si="9"/>
        <v>0</v>
      </c>
      <c r="I32" s="159">
        <f t="shared" si="9"/>
        <v>0</v>
      </c>
      <c r="J32" s="159">
        <f>SUM(J28:J31)</f>
        <v>0</v>
      </c>
      <c r="K32" s="159">
        <f>SUM(K28:K31)</f>
        <v>0</v>
      </c>
      <c r="L32" s="159">
        <f t="shared" si="9"/>
        <v>0</v>
      </c>
      <c r="M32" s="159">
        <f t="shared" si="9"/>
        <v>0</v>
      </c>
      <c r="N32" s="159">
        <f t="shared" si="9"/>
        <v>0</v>
      </c>
      <c r="O32" s="159">
        <f t="shared" si="9"/>
        <v>0</v>
      </c>
      <c r="P32" s="159">
        <f>SUM(P28:P31)</f>
        <v>0</v>
      </c>
      <c r="Q32" s="159">
        <f>SUM(Q28:Q31)</f>
        <v>0</v>
      </c>
      <c r="R32" s="159">
        <f>SUM(R28:R31)</f>
        <v>0</v>
      </c>
      <c r="S32" s="159">
        <f>SUM(S28:S31)</f>
        <v>-57000</v>
      </c>
      <c r="T32" s="159">
        <f>SUM(T28:T31)</f>
        <v>-58183000</v>
      </c>
      <c r="U32" s="159">
        <f t="shared" si="9"/>
        <v>0</v>
      </c>
      <c r="V32" s="159">
        <f t="shared" ref="V32:AB32" si="10">SUM(V28:V31)</f>
        <v>0</v>
      </c>
      <c r="W32" s="159">
        <f t="shared" si="10"/>
        <v>0</v>
      </c>
      <c r="X32" s="159">
        <f t="shared" si="10"/>
        <v>0</v>
      </c>
      <c r="Y32" s="159">
        <f t="shared" si="10"/>
        <v>-90370000</v>
      </c>
      <c r="Z32" s="159">
        <f t="shared" si="10"/>
        <v>0</v>
      </c>
      <c r="AA32" s="159">
        <f t="shared" si="10"/>
        <v>0</v>
      </c>
      <c r="AB32" s="159">
        <f t="shared" si="10"/>
        <v>0</v>
      </c>
      <c r="AC32" s="159">
        <f t="shared" si="9"/>
        <v>69000</v>
      </c>
      <c r="AD32" s="159">
        <f t="shared" si="9"/>
        <v>0</v>
      </c>
      <c r="AE32" s="159">
        <f t="shared" si="9"/>
        <v>2000</v>
      </c>
      <c r="AF32" s="159">
        <f t="shared" si="9"/>
        <v>0</v>
      </c>
      <c r="AG32" s="159">
        <f t="shared" si="9"/>
        <v>0</v>
      </c>
      <c r="AH32" s="159">
        <f t="shared" si="9"/>
        <v>0</v>
      </c>
      <c r="AI32" s="159">
        <f>SUM(AI28:AI31)</f>
        <v>0</v>
      </c>
      <c r="AJ32" s="159">
        <f>SUM(AJ28:AJ31)</f>
        <v>0</v>
      </c>
      <c r="AK32" s="159">
        <f t="shared" si="9"/>
        <v>0</v>
      </c>
      <c r="AL32" s="159">
        <f t="shared" si="9"/>
        <v>13000</v>
      </c>
      <c r="AM32" s="159">
        <f t="shared" si="9"/>
        <v>0</v>
      </c>
      <c r="AN32" s="159">
        <f t="shared" si="9"/>
        <v>0</v>
      </c>
      <c r="AO32" s="159">
        <f t="shared" si="9"/>
        <v>0</v>
      </c>
      <c r="AP32" s="159">
        <f t="shared" si="9"/>
        <v>0</v>
      </c>
      <c r="AQ32" s="159">
        <f t="shared" si="9"/>
        <v>0</v>
      </c>
      <c r="AR32" s="159">
        <f t="shared" si="9"/>
        <v>0</v>
      </c>
      <c r="AS32" s="159">
        <f t="shared" ref="AS32:AT32" si="11">SUM(AS28:AS31)</f>
        <v>0</v>
      </c>
      <c r="AT32" s="159">
        <f t="shared" si="11"/>
        <v>0</v>
      </c>
      <c r="AU32" s="158"/>
      <c r="AV32" s="158">
        <f>SUM(AV28:AV31)</f>
        <v>-148526000</v>
      </c>
      <c r="AW32" s="158">
        <f>SUM(AW28:AW31)</f>
        <v>954000</v>
      </c>
      <c r="AX32" s="152" t="str">
        <f>IF(ROUND(SUM(F32:AT32),0)=ROUND(AW32,0),"ok","crossfoot error")</f>
        <v>ok</v>
      </c>
      <c r="AY32" s="158">
        <f>AY28+SUM(AY29:AY31)/1000</f>
        <v>954</v>
      </c>
      <c r="AZ32" s="147">
        <v>951.78300000000002</v>
      </c>
      <c r="BA32" s="146">
        <f>AY32-AZ32</f>
        <v>2.2169999999999845</v>
      </c>
      <c r="BB32" s="152"/>
    </row>
    <row r="33" spans="1:54" ht="14.1" customHeight="1">
      <c r="A33" s="145">
        <v>33</v>
      </c>
      <c r="B33" s="144"/>
      <c r="C33" s="144"/>
      <c r="D33" s="144"/>
      <c r="E33" s="141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1"/>
      <c r="AV33" s="191"/>
      <c r="AW33" s="191"/>
      <c r="AX33" s="145"/>
      <c r="AY33" s="191"/>
      <c r="AZ33" s="146"/>
      <c r="BA33" s="146"/>
      <c r="BB33" s="145"/>
    </row>
    <row r="34" spans="1:54" ht="14.1" customHeight="1">
      <c r="A34" s="145">
        <v>34</v>
      </c>
      <c r="B34" s="144"/>
      <c r="C34" s="157" t="s">
        <v>287</v>
      </c>
      <c r="D34" s="144"/>
      <c r="E34" s="141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1"/>
      <c r="AV34" s="149"/>
      <c r="AW34" s="149"/>
      <c r="AX34" s="145"/>
      <c r="AY34" s="149"/>
      <c r="AZ34" s="146"/>
      <c r="BA34" s="146"/>
      <c r="BB34" s="145"/>
    </row>
    <row r="35" spans="1:54" ht="14.1" customHeight="1">
      <c r="A35" s="145">
        <v>35</v>
      </c>
      <c r="B35" s="144" t="s">
        <v>298</v>
      </c>
      <c r="C35" s="144" t="s">
        <v>1</v>
      </c>
      <c r="D35" s="144"/>
      <c r="E35" s="141"/>
      <c r="F35" s="150">
        <v>0</v>
      </c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50"/>
      <c r="Z35" s="150"/>
      <c r="AA35" s="150"/>
      <c r="AB35" s="150"/>
      <c r="AC35" s="150"/>
      <c r="AD35" s="142"/>
      <c r="AE35" s="150"/>
      <c r="AF35" s="150"/>
      <c r="AG35" s="142"/>
      <c r="AH35" s="142"/>
      <c r="AI35" s="142"/>
      <c r="AJ35" s="142"/>
      <c r="AK35" s="142"/>
      <c r="AL35" s="150"/>
      <c r="AM35" s="150"/>
      <c r="AN35" s="150"/>
      <c r="AO35" s="150"/>
      <c r="AP35" s="150"/>
      <c r="AQ35" s="150"/>
      <c r="AR35" s="150"/>
      <c r="AS35" s="150"/>
      <c r="AT35" s="150"/>
      <c r="AU35" s="141"/>
      <c r="AV35" s="149">
        <f t="shared" ref="AV35:AV45" si="12">SUM(G35:AT35)</f>
        <v>0</v>
      </c>
      <c r="AW35" s="149">
        <f t="shared" ref="AW35:AW45" si="13">F35+AV35</f>
        <v>0</v>
      </c>
      <c r="AX35" s="145"/>
      <c r="AY35" s="149">
        <f>ROUND(AW35/1000,0)*1000</f>
        <v>0</v>
      </c>
      <c r="AZ35" s="146"/>
      <c r="BA35" s="146"/>
      <c r="BB35" s="145"/>
    </row>
    <row r="36" spans="1:54" ht="14.1" customHeight="1">
      <c r="A36" s="145">
        <v>36</v>
      </c>
      <c r="B36" s="144" t="s">
        <v>299</v>
      </c>
      <c r="C36" s="144" t="s">
        <v>289</v>
      </c>
      <c r="D36" s="144"/>
      <c r="E36" s="141"/>
      <c r="F36" s="150">
        <v>0</v>
      </c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50"/>
      <c r="Z36" s="150"/>
      <c r="AA36" s="150"/>
      <c r="AB36" s="150"/>
      <c r="AC36" s="142"/>
      <c r="AD36" s="142"/>
      <c r="AE36" s="142"/>
      <c r="AF36" s="142"/>
      <c r="AG36" s="142"/>
      <c r="AH36" s="142"/>
      <c r="AI36" s="142"/>
      <c r="AJ36" s="142"/>
      <c r="AK36" s="142"/>
      <c r="AL36" s="150"/>
      <c r="AM36" s="150"/>
      <c r="AN36" s="150"/>
      <c r="AO36" s="150"/>
      <c r="AP36" s="150"/>
      <c r="AQ36" s="150"/>
      <c r="AR36" s="150"/>
      <c r="AS36" s="150"/>
      <c r="AT36" s="150"/>
      <c r="AU36" s="141"/>
      <c r="AV36" s="149">
        <f t="shared" si="12"/>
        <v>0</v>
      </c>
      <c r="AW36" s="149">
        <f t="shared" si="13"/>
        <v>0</v>
      </c>
      <c r="AX36" s="145"/>
      <c r="AY36" s="149"/>
      <c r="AZ36" s="146"/>
      <c r="BA36" s="146"/>
      <c r="BB36" s="145"/>
    </row>
    <row r="37" spans="1:54" ht="14.1" customHeight="1">
      <c r="A37" s="145">
        <v>37</v>
      </c>
      <c r="B37" s="144" t="s">
        <v>300</v>
      </c>
      <c r="C37" s="144" t="s">
        <v>290</v>
      </c>
      <c r="D37" s="144"/>
      <c r="E37" s="141"/>
      <c r="F37" s="150">
        <v>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50"/>
      <c r="Z37" s="150"/>
      <c r="AA37" s="150"/>
      <c r="AB37" s="150"/>
      <c r="AC37" s="142"/>
      <c r="AD37" s="142"/>
      <c r="AE37" s="142"/>
      <c r="AF37" s="142"/>
      <c r="AG37" s="142"/>
      <c r="AH37" s="142"/>
      <c r="AI37" s="142"/>
      <c r="AJ37" s="142"/>
      <c r="AK37" s="142"/>
      <c r="AL37" s="150"/>
      <c r="AM37" s="150"/>
      <c r="AN37" s="150"/>
      <c r="AO37" s="150"/>
      <c r="AP37" s="150"/>
      <c r="AQ37" s="150"/>
      <c r="AR37" s="150"/>
      <c r="AS37" s="150"/>
      <c r="AT37" s="150"/>
      <c r="AU37" s="141"/>
      <c r="AV37" s="149">
        <f t="shared" si="12"/>
        <v>0</v>
      </c>
      <c r="AW37" s="149">
        <f t="shared" si="13"/>
        <v>0</v>
      </c>
      <c r="AX37" s="145"/>
      <c r="AY37" s="149"/>
      <c r="AZ37" s="146"/>
      <c r="BA37" s="146"/>
      <c r="BB37" s="145"/>
    </row>
    <row r="38" spans="1:54" ht="14.1" customHeight="1">
      <c r="A38" s="145">
        <v>38</v>
      </c>
      <c r="B38" s="144" t="s">
        <v>301</v>
      </c>
      <c r="C38" s="144" t="s">
        <v>291</v>
      </c>
      <c r="D38" s="144"/>
      <c r="E38" s="141"/>
      <c r="F38" s="150">
        <v>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50"/>
      <c r="Z38" s="150"/>
      <c r="AA38" s="150"/>
      <c r="AB38" s="150"/>
      <c r="AC38" s="142"/>
      <c r="AD38" s="142"/>
      <c r="AE38" s="142"/>
      <c r="AF38" s="142"/>
      <c r="AG38" s="142"/>
      <c r="AH38" s="142"/>
      <c r="AI38" s="142"/>
      <c r="AJ38" s="142"/>
      <c r="AK38" s="142"/>
      <c r="AL38" s="150"/>
      <c r="AM38" s="150"/>
      <c r="AN38" s="150"/>
      <c r="AO38" s="150"/>
      <c r="AP38" s="150"/>
      <c r="AQ38" s="150"/>
      <c r="AR38" s="150"/>
      <c r="AS38" s="150"/>
      <c r="AT38" s="150"/>
      <c r="AU38" s="141"/>
      <c r="AV38" s="149">
        <f t="shared" si="12"/>
        <v>0</v>
      </c>
      <c r="AW38" s="149">
        <f t="shared" si="13"/>
        <v>0</v>
      </c>
      <c r="AX38" s="145"/>
      <c r="AY38" s="149"/>
      <c r="AZ38" s="146"/>
      <c r="BA38" s="146"/>
      <c r="BB38" s="145"/>
    </row>
    <row r="39" spans="1:54" ht="14.1" customHeight="1">
      <c r="A39" s="145">
        <v>39</v>
      </c>
      <c r="B39" s="144" t="s">
        <v>302</v>
      </c>
      <c r="C39" s="144" t="s">
        <v>292</v>
      </c>
      <c r="D39" s="144"/>
      <c r="E39" s="141"/>
      <c r="F39" s="150">
        <v>0</v>
      </c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50"/>
      <c r="Z39" s="150"/>
      <c r="AA39" s="150"/>
      <c r="AB39" s="150"/>
      <c r="AC39" s="142"/>
      <c r="AD39" s="142"/>
      <c r="AE39" s="142"/>
      <c r="AF39" s="142"/>
      <c r="AG39" s="142"/>
      <c r="AH39" s="142"/>
      <c r="AI39" s="142"/>
      <c r="AJ39" s="142"/>
      <c r="AK39" s="142"/>
      <c r="AL39" s="150"/>
      <c r="AM39" s="150"/>
      <c r="AN39" s="150"/>
      <c r="AO39" s="150"/>
      <c r="AP39" s="150"/>
      <c r="AQ39" s="150"/>
      <c r="AR39" s="150"/>
      <c r="AS39" s="150"/>
      <c r="AT39" s="150"/>
      <c r="AU39" s="141"/>
      <c r="AV39" s="149">
        <f t="shared" si="12"/>
        <v>0</v>
      </c>
      <c r="AW39" s="149">
        <f t="shared" si="13"/>
        <v>0</v>
      </c>
      <c r="AX39" s="145"/>
      <c r="AY39" s="149"/>
      <c r="AZ39" s="146"/>
      <c r="BA39" s="146"/>
      <c r="BB39" s="145"/>
    </row>
    <row r="40" spans="1:54" ht="14.1" customHeight="1">
      <c r="A40" s="145">
        <v>40</v>
      </c>
      <c r="B40" s="144" t="s">
        <v>303</v>
      </c>
      <c r="C40" s="144" t="s">
        <v>293</v>
      </c>
      <c r="D40" s="144"/>
      <c r="E40" s="141"/>
      <c r="F40" s="150">
        <v>0</v>
      </c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50"/>
      <c r="Z40" s="150"/>
      <c r="AA40" s="150"/>
      <c r="AB40" s="150"/>
      <c r="AC40" s="142"/>
      <c r="AD40" s="142"/>
      <c r="AE40" s="142"/>
      <c r="AF40" s="142"/>
      <c r="AG40" s="142"/>
      <c r="AH40" s="142"/>
      <c r="AI40" s="142"/>
      <c r="AJ40" s="142"/>
      <c r="AK40" s="142"/>
      <c r="AL40" s="150"/>
      <c r="AM40" s="150"/>
      <c r="AN40" s="150"/>
      <c r="AO40" s="150"/>
      <c r="AP40" s="150"/>
      <c r="AQ40" s="150"/>
      <c r="AR40" s="150"/>
      <c r="AS40" s="150"/>
      <c r="AT40" s="150"/>
      <c r="AU40" s="141"/>
      <c r="AV40" s="149">
        <f t="shared" si="12"/>
        <v>0</v>
      </c>
      <c r="AW40" s="149">
        <f t="shared" si="13"/>
        <v>0</v>
      </c>
      <c r="AX40" s="145"/>
      <c r="AY40" s="149"/>
      <c r="AZ40" s="146"/>
      <c r="BA40" s="146"/>
      <c r="BB40" s="145"/>
    </row>
    <row r="41" spans="1:54" ht="14.1" customHeight="1">
      <c r="A41" s="145">
        <v>41</v>
      </c>
      <c r="B41" s="144" t="s">
        <v>304</v>
      </c>
      <c r="C41" s="144" t="s">
        <v>294</v>
      </c>
      <c r="D41" s="144"/>
      <c r="E41" s="141"/>
      <c r="F41" s="150">
        <v>0</v>
      </c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50"/>
      <c r="Z41" s="150"/>
      <c r="AA41" s="150"/>
      <c r="AB41" s="150"/>
      <c r="AC41" s="142"/>
      <c r="AD41" s="142"/>
      <c r="AE41" s="142"/>
      <c r="AF41" s="142"/>
      <c r="AG41" s="142"/>
      <c r="AH41" s="142"/>
      <c r="AI41" s="142"/>
      <c r="AJ41" s="142"/>
      <c r="AK41" s="142"/>
      <c r="AL41" s="150"/>
      <c r="AM41" s="150"/>
      <c r="AN41" s="150"/>
      <c r="AO41" s="150"/>
      <c r="AP41" s="150"/>
      <c r="AQ41" s="150"/>
      <c r="AR41" s="150"/>
      <c r="AS41" s="150"/>
      <c r="AT41" s="150"/>
      <c r="AU41" s="141"/>
      <c r="AV41" s="149">
        <f t="shared" si="12"/>
        <v>0</v>
      </c>
      <c r="AW41" s="149">
        <f t="shared" si="13"/>
        <v>0</v>
      </c>
      <c r="AX41" s="145"/>
      <c r="AY41" s="149"/>
      <c r="AZ41" s="146"/>
      <c r="BA41" s="146"/>
      <c r="BB41" s="145"/>
    </row>
    <row r="42" spans="1:54" ht="14.1" customHeight="1">
      <c r="A42" s="145">
        <v>42</v>
      </c>
      <c r="B42" s="144" t="s">
        <v>305</v>
      </c>
      <c r="C42" s="144" t="s">
        <v>295</v>
      </c>
      <c r="D42" s="144"/>
      <c r="E42" s="141"/>
      <c r="F42" s="150">
        <v>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50"/>
      <c r="Z42" s="150"/>
      <c r="AA42" s="150"/>
      <c r="AB42" s="150"/>
      <c r="AC42" s="142"/>
      <c r="AD42" s="142"/>
      <c r="AE42" s="142"/>
      <c r="AF42" s="142"/>
      <c r="AG42" s="142"/>
      <c r="AH42" s="142"/>
      <c r="AI42" s="142"/>
      <c r="AJ42" s="142"/>
      <c r="AK42" s="142"/>
      <c r="AL42" s="150"/>
      <c r="AM42" s="150"/>
      <c r="AN42" s="150"/>
      <c r="AO42" s="150"/>
      <c r="AP42" s="150"/>
      <c r="AQ42" s="150"/>
      <c r="AR42" s="150"/>
      <c r="AS42" s="150"/>
      <c r="AT42" s="150"/>
      <c r="AU42" s="141"/>
      <c r="AV42" s="149">
        <f t="shared" si="12"/>
        <v>0</v>
      </c>
      <c r="AW42" s="149">
        <f t="shared" si="13"/>
        <v>0</v>
      </c>
      <c r="AX42" s="145"/>
      <c r="AY42" s="149"/>
      <c r="AZ42" s="146"/>
      <c r="BA42" s="146"/>
      <c r="BB42" s="145"/>
    </row>
    <row r="43" spans="1:54" ht="14.1" customHeight="1">
      <c r="A43" s="145">
        <v>43</v>
      </c>
      <c r="B43" s="144" t="s">
        <v>306</v>
      </c>
      <c r="C43" s="144" t="s">
        <v>296</v>
      </c>
      <c r="D43" s="144"/>
      <c r="E43" s="141"/>
      <c r="F43" s="150">
        <v>571000</v>
      </c>
      <c r="G43" s="142"/>
      <c r="H43" s="142"/>
      <c r="I43" s="166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50"/>
      <c r="Z43" s="150"/>
      <c r="AA43" s="150"/>
      <c r="AB43" s="150"/>
      <c r="AC43" s="142"/>
      <c r="AD43" s="142"/>
      <c r="AE43" s="142"/>
      <c r="AF43" s="142"/>
      <c r="AG43" s="142"/>
      <c r="AH43" s="142"/>
      <c r="AI43" s="142"/>
      <c r="AJ43" s="142"/>
      <c r="AK43" s="142"/>
      <c r="AL43" s="150"/>
      <c r="AM43" s="150"/>
      <c r="AN43" s="150"/>
      <c r="AO43" s="150"/>
      <c r="AP43" s="150"/>
      <c r="AQ43" s="150"/>
      <c r="AR43" s="150"/>
      <c r="AS43" s="150"/>
      <c r="AT43" s="150"/>
      <c r="AU43" s="141"/>
      <c r="AV43" s="149">
        <f t="shared" si="12"/>
        <v>0</v>
      </c>
      <c r="AW43" s="149">
        <f t="shared" si="13"/>
        <v>571000</v>
      </c>
      <c r="AX43" s="145"/>
      <c r="AY43" s="149">
        <f>ROUND(AW43/1000,0)*1000</f>
        <v>571000</v>
      </c>
      <c r="AZ43" s="146"/>
      <c r="BA43" s="146"/>
      <c r="BB43" s="145"/>
    </row>
    <row r="44" spans="1:54" ht="14.1" customHeight="1">
      <c r="A44" s="145">
        <v>44</v>
      </c>
      <c r="B44" s="144" t="s">
        <v>307</v>
      </c>
      <c r="C44" s="144" t="s">
        <v>297</v>
      </c>
      <c r="D44" s="144"/>
      <c r="E44" s="141"/>
      <c r="F44" s="150">
        <v>0</v>
      </c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50"/>
      <c r="Z44" s="150"/>
      <c r="AA44" s="150"/>
      <c r="AB44" s="150"/>
      <c r="AC44" s="142"/>
      <c r="AD44" s="142"/>
      <c r="AE44" s="142"/>
      <c r="AF44" s="142"/>
      <c r="AG44" s="142"/>
      <c r="AH44" s="142"/>
      <c r="AI44" s="142"/>
      <c r="AJ44" s="142"/>
      <c r="AK44" s="142"/>
      <c r="AL44" s="150"/>
      <c r="AM44" s="150"/>
      <c r="AN44" s="150"/>
      <c r="AO44" s="150"/>
      <c r="AP44" s="150"/>
      <c r="AQ44" s="150"/>
      <c r="AR44" s="150"/>
      <c r="AS44" s="150"/>
      <c r="AT44" s="150"/>
      <c r="AU44" s="141"/>
      <c r="AV44" s="149">
        <f t="shared" si="12"/>
        <v>0</v>
      </c>
      <c r="AW44" s="149">
        <f t="shared" si="13"/>
        <v>0</v>
      </c>
      <c r="AX44" s="145"/>
      <c r="AY44" s="149"/>
      <c r="AZ44" s="146"/>
      <c r="BA44" s="146"/>
      <c r="BB44" s="145"/>
    </row>
    <row r="45" spans="1:54" ht="14.1" customHeight="1">
      <c r="A45" s="145">
        <v>45</v>
      </c>
      <c r="B45" s="144" t="s">
        <v>308</v>
      </c>
      <c r="C45" s="144" t="s">
        <v>2</v>
      </c>
      <c r="D45" s="144"/>
      <c r="E45" s="141"/>
      <c r="F45" s="150">
        <v>0</v>
      </c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50"/>
      <c r="Z45" s="150"/>
      <c r="AA45" s="150"/>
      <c r="AB45" s="150"/>
      <c r="AC45" s="142"/>
      <c r="AD45" s="142"/>
      <c r="AE45" s="142"/>
      <c r="AF45" s="142"/>
      <c r="AG45" s="142"/>
      <c r="AH45" s="142"/>
      <c r="AI45" s="142"/>
      <c r="AJ45" s="142"/>
      <c r="AK45" s="142"/>
      <c r="AL45" s="150"/>
      <c r="AM45" s="150"/>
      <c r="AN45" s="150"/>
      <c r="AO45" s="150"/>
      <c r="AP45" s="150"/>
      <c r="AQ45" s="150"/>
      <c r="AR45" s="150"/>
      <c r="AS45" s="150"/>
      <c r="AT45" s="150"/>
      <c r="AU45" s="141"/>
      <c r="AV45" s="149">
        <f t="shared" si="12"/>
        <v>0</v>
      </c>
      <c r="AW45" s="149">
        <f t="shared" si="13"/>
        <v>0</v>
      </c>
      <c r="AX45" s="145"/>
      <c r="AY45" s="149"/>
      <c r="AZ45" s="146"/>
      <c r="BA45" s="146"/>
      <c r="BB45" s="145"/>
    </row>
    <row r="46" spans="1:54" ht="14.1" customHeight="1">
      <c r="A46" s="145">
        <v>46</v>
      </c>
      <c r="B46" s="144"/>
      <c r="C46" s="144"/>
      <c r="D46" s="144"/>
      <c r="E46" s="141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50"/>
      <c r="Z46" s="150"/>
      <c r="AA46" s="150"/>
      <c r="AB46" s="150"/>
      <c r="AC46" s="142"/>
      <c r="AD46" s="142"/>
      <c r="AE46" s="142"/>
      <c r="AF46" s="142"/>
      <c r="AG46" s="142"/>
      <c r="AH46" s="142"/>
      <c r="AI46" s="142"/>
      <c r="AJ46" s="142"/>
      <c r="AK46" s="142"/>
      <c r="AL46" s="150"/>
      <c r="AM46" s="150"/>
      <c r="AN46" s="150"/>
      <c r="AO46" s="150"/>
      <c r="AP46" s="150"/>
      <c r="AQ46" s="150"/>
      <c r="AR46" s="150"/>
      <c r="AS46" s="150"/>
      <c r="AT46" s="150"/>
      <c r="AU46" s="141"/>
      <c r="AV46" s="149"/>
      <c r="AW46" s="149"/>
      <c r="AX46" s="145"/>
      <c r="AY46" s="149"/>
      <c r="AZ46" s="146"/>
      <c r="BA46" s="146"/>
      <c r="BB46" s="145"/>
    </row>
    <row r="47" spans="1:54" ht="14.1" customHeight="1">
      <c r="A47" s="145">
        <v>47</v>
      </c>
      <c r="B47" s="144" t="s">
        <v>309</v>
      </c>
      <c r="C47" s="144" t="s">
        <v>1</v>
      </c>
      <c r="D47" s="144"/>
      <c r="E47" s="141"/>
      <c r="F47" s="150">
        <v>0</v>
      </c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50"/>
      <c r="Z47" s="150"/>
      <c r="AA47" s="150"/>
      <c r="AB47" s="150"/>
      <c r="AC47" s="142"/>
      <c r="AD47" s="142"/>
      <c r="AE47" s="142"/>
      <c r="AF47" s="142"/>
      <c r="AG47" s="142"/>
      <c r="AH47" s="142"/>
      <c r="AI47" s="142"/>
      <c r="AJ47" s="142"/>
      <c r="AK47" s="142"/>
      <c r="AL47" s="150"/>
      <c r="AM47" s="150"/>
      <c r="AN47" s="150"/>
      <c r="AO47" s="150"/>
      <c r="AP47" s="150"/>
      <c r="AQ47" s="150"/>
      <c r="AR47" s="150"/>
      <c r="AS47" s="150"/>
      <c r="AT47" s="150"/>
      <c r="AU47" s="141"/>
      <c r="AV47" s="149">
        <f t="shared" ref="AV47:AV54" si="14">SUM(G47:AT47)</f>
        <v>0</v>
      </c>
      <c r="AW47" s="149">
        <f t="shared" ref="AW47:AW54" si="15">F47+AV47</f>
        <v>0</v>
      </c>
      <c r="AX47" s="145"/>
      <c r="AY47" s="149"/>
      <c r="AZ47" s="146"/>
      <c r="BA47" s="146"/>
      <c r="BB47" s="145"/>
    </row>
    <row r="48" spans="1:54" ht="14.1" customHeight="1">
      <c r="A48" s="145">
        <v>48</v>
      </c>
      <c r="B48" s="144" t="s">
        <v>310</v>
      </c>
      <c r="C48" s="144" t="s">
        <v>289</v>
      </c>
      <c r="D48" s="144"/>
      <c r="E48" s="141"/>
      <c r="F48" s="150">
        <v>0</v>
      </c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50"/>
      <c r="Z48" s="150"/>
      <c r="AA48" s="150"/>
      <c r="AB48" s="150"/>
      <c r="AC48" s="142"/>
      <c r="AD48" s="142"/>
      <c r="AE48" s="142"/>
      <c r="AF48" s="142"/>
      <c r="AG48" s="142"/>
      <c r="AH48" s="142"/>
      <c r="AI48" s="142"/>
      <c r="AJ48" s="142"/>
      <c r="AK48" s="142"/>
      <c r="AL48" s="150"/>
      <c r="AM48" s="150"/>
      <c r="AN48" s="150"/>
      <c r="AO48" s="150"/>
      <c r="AP48" s="150"/>
      <c r="AQ48" s="150"/>
      <c r="AR48" s="150"/>
      <c r="AS48" s="150"/>
      <c r="AT48" s="150"/>
      <c r="AU48" s="141"/>
      <c r="AV48" s="149">
        <f t="shared" si="14"/>
        <v>0</v>
      </c>
      <c r="AW48" s="149">
        <f t="shared" si="15"/>
        <v>0</v>
      </c>
      <c r="AX48" s="145"/>
      <c r="AY48" s="149"/>
      <c r="AZ48" s="146"/>
      <c r="BA48" s="146"/>
      <c r="BB48" s="145"/>
    </row>
    <row r="49" spans="1:54" ht="14.1" customHeight="1">
      <c r="A49" s="145">
        <v>49</v>
      </c>
      <c r="B49" s="144" t="s">
        <v>311</v>
      </c>
      <c r="C49" s="144" t="s">
        <v>290</v>
      </c>
      <c r="D49" s="144"/>
      <c r="E49" s="141"/>
      <c r="F49" s="150">
        <v>0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50"/>
      <c r="Z49" s="150"/>
      <c r="AA49" s="150"/>
      <c r="AB49" s="150"/>
      <c r="AC49" s="142"/>
      <c r="AD49" s="142"/>
      <c r="AE49" s="142"/>
      <c r="AF49" s="142"/>
      <c r="AG49" s="142"/>
      <c r="AH49" s="142"/>
      <c r="AI49" s="142"/>
      <c r="AJ49" s="142"/>
      <c r="AK49" s="142"/>
      <c r="AL49" s="150"/>
      <c r="AM49" s="150"/>
      <c r="AN49" s="150"/>
      <c r="AO49" s="150"/>
      <c r="AP49" s="150"/>
      <c r="AQ49" s="150"/>
      <c r="AR49" s="150"/>
      <c r="AS49" s="150"/>
      <c r="AT49" s="150"/>
      <c r="AU49" s="141"/>
      <c r="AV49" s="149">
        <f t="shared" si="14"/>
        <v>0</v>
      </c>
      <c r="AW49" s="149">
        <f t="shared" si="15"/>
        <v>0</v>
      </c>
      <c r="AX49" s="145"/>
      <c r="AY49" s="149"/>
      <c r="AZ49" s="146"/>
      <c r="BA49" s="146"/>
      <c r="BB49" s="145"/>
    </row>
    <row r="50" spans="1:54" ht="14.1" customHeight="1">
      <c r="A50" s="145">
        <v>50</v>
      </c>
      <c r="B50" s="144" t="s">
        <v>312</v>
      </c>
      <c r="C50" s="144" t="s">
        <v>291</v>
      </c>
      <c r="D50" s="144"/>
      <c r="E50" s="141"/>
      <c r="F50" s="150">
        <v>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50"/>
      <c r="Z50" s="150"/>
      <c r="AA50" s="150"/>
      <c r="AB50" s="150"/>
      <c r="AC50" s="142"/>
      <c r="AD50" s="142"/>
      <c r="AE50" s="142"/>
      <c r="AF50" s="142"/>
      <c r="AG50" s="142"/>
      <c r="AH50" s="142"/>
      <c r="AI50" s="142"/>
      <c r="AJ50" s="142"/>
      <c r="AK50" s="142"/>
      <c r="AL50" s="150"/>
      <c r="AM50" s="150"/>
      <c r="AN50" s="150"/>
      <c r="AO50" s="150"/>
      <c r="AP50" s="150"/>
      <c r="AQ50" s="150"/>
      <c r="AR50" s="150"/>
      <c r="AS50" s="150"/>
      <c r="AT50" s="150"/>
      <c r="AU50" s="141"/>
      <c r="AV50" s="149">
        <f t="shared" si="14"/>
        <v>0</v>
      </c>
      <c r="AW50" s="149">
        <f t="shared" si="15"/>
        <v>0</v>
      </c>
      <c r="AX50" s="145"/>
      <c r="AY50" s="149"/>
      <c r="AZ50" s="146"/>
      <c r="BA50" s="146"/>
      <c r="BB50" s="145"/>
    </row>
    <row r="51" spans="1:54" ht="14.1" customHeight="1">
      <c r="A51" s="145">
        <v>51</v>
      </c>
      <c r="B51" s="144" t="s">
        <v>313</v>
      </c>
      <c r="C51" s="144" t="s">
        <v>292</v>
      </c>
      <c r="D51" s="144"/>
      <c r="E51" s="141"/>
      <c r="F51" s="150">
        <v>0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50"/>
      <c r="Z51" s="150"/>
      <c r="AA51" s="150"/>
      <c r="AB51" s="150"/>
      <c r="AC51" s="142"/>
      <c r="AD51" s="142"/>
      <c r="AE51" s="142"/>
      <c r="AF51" s="142"/>
      <c r="AG51" s="142"/>
      <c r="AH51" s="142"/>
      <c r="AI51" s="142"/>
      <c r="AJ51" s="142"/>
      <c r="AK51" s="142"/>
      <c r="AL51" s="150"/>
      <c r="AM51" s="150"/>
      <c r="AN51" s="150"/>
      <c r="AO51" s="150"/>
      <c r="AP51" s="150"/>
      <c r="AQ51" s="150"/>
      <c r="AR51" s="150"/>
      <c r="AS51" s="150"/>
      <c r="AT51" s="150"/>
      <c r="AU51" s="141"/>
      <c r="AV51" s="149">
        <f t="shared" si="14"/>
        <v>0</v>
      </c>
      <c r="AW51" s="149">
        <f t="shared" si="15"/>
        <v>0</v>
      </c>
      <c r="AX51" s="145"/>
      <c r="AY51" s="149"/>
      <c r="AZ51" s="146"/>
      <c r="BA51" s="146"/>
      <c r="BB51" s="145"/>
    </row>
    <row r="52" spans="1:54" ht="14.1" customHeight="1">
      <c r="A52" s="145">
        <v>52</v>
      </c>
      <c r="B52" s="144" t="s">
        <v>314</v>
      </c>
      <c r="C52" s="144" t="s">
        <v>293</v>
      </c>
      <c r="D52" s="144"/>
      <c r="E52" s="141"/>
      <c r="F52" s="150">
        <v>0</v>
      </c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50"/>
      <c r="Z52" s="150"/>
      <c r="AA52" s="150"/>
      <c r="AB52" s="150"/>
      <c r="AC52" s="142"/>
      <c r="AD52" s="142"/>
      <c r="AE52" s="142"/>
      <c r="AF52" s="142"/>
      <c r="AG52" s="142"/>
      <c r="AH52" s="142"/>
      <c r="AI52" s="142"/>
      <c r="AJ52" s="142"/>
      <c r="AK52" s="142"/>
      <c r="AL52" s="150"/>
      <c r="AM52" s="150"/>
      <c r="AN52" s="150"/>
      <c r="AO52" s="150"/>
      <c r="AP52" s="150"/>
      <c r="AQ52" s="150"/>
      <c r="AR52" s="150"/>
      <c r="AS52" s="150"/>
      <c r="AT52" s="150"/>
      <c r="AU52" s="141"/>
      <c r="AV52" s="149">
        <f t="shared" si="14"/>
        <v>0</v>
      </c>
      <c r="AW52" s="149">
        <f t="shared" si="15"/>
        <v>0</v>
      </c>
      <c r="AX52" s="145"/>
      <c r="AY52" s="149"/>
      <c r="AZ52" s="146"/>
      <c r="BA52" s="146"/>
      <c r="BB52" s="145"/>
    </row>
    <row r="53" spans="1:54" ht="14.1" customHeight="1">
      <c r="A53" s="145">
        <v>53</v>
      </c>
      <c r="B53" s="144" t="s">
        <v>315</v>
      </c>
      <c r="C53" s="144" t="s">
        <v>317</v>
      </c>
      <c r="D53" s="144"/>
      <c r="E53" s="141"/>
      <c r="F53" s="150">
        <v>0</v>
      </c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50"/>
      <c r="Z53" s="150"/>
      <c r="AA53" s="150"/>
      <c r="AB53" s="150"/>
      <c r="AC53" s="142"/>
      <c r="AD53" s="142"/>
      <c r="AE53" s="142"/>
      <c r="AF53" s="142"/>
      <c r="AG53" s="142"/>
      <c r="AH53" s="142"/>
      <c r="AI53" s="142"/>
      <c r="AJ53" s="142"/>
      <c r="AK53" s="142"/>
      <c r="AL53" s="150"/>
      <c r="AM53" s="150"/>
      <c r="AN53" s="150"/>
      <c r="AO53" s="150"/>
      <c r="AP53" s="150"/>
      <c r="AQ53" s="150"/>
      <c r="AR53" s="150"/>
      <c r="AS53" s="150"/>
      <c r="AT53" s="150"/>
      <c r="AU53" s="141"/>
      <c r="AV53" s="149">
        <f t="shared" si="14"/>
        <v>0</v>
      </c>
      <c r="AW53" s="149">
        <f t="shared" si="15"/>
        <v>0</v>
      </c>
      <c r="AX53" s="145"/>
      <c r="AY53" s="149"/>
      <c r="AZ53" s="146"/>
      <c r="BA53" s="146"/>
      <c r="BB53" s="145"/>
    </row>
    <row r="54" spans="1:54" ht="14.1" customHeight="1">
      <c r="A54" s="145">
        <v>54</v>
      </c>
      <c r="B54" s="144" t="s">
        <v>316</v>
      </c>
      <c r="C54" s="144" t="s">
        <v>242</v>
      </c>
      <c r="D54" s="144"/>
      <c r="E54" s="141"/>
      <c r="F54" s="150">
        <v>1492000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50"/>
      <c r="Z54" s="150"/>
      <c r="AA54" s="150"/>
      <c r="AB54" s="150"/>
      <c r="AC54" s="142"/>
      <c r="AD54" s="142"/>
      <c r="AE54" s="142"/>
      <c r="AF54" s="142"/>
      <c r="AG54" s="142"/>
      <c r="AH54" s="142"/>
      <c r="AI54" s="142"/>
      <c r="AJ54" s="142"/>
      <c r="AK54" s="142"/>
      <c r="AL54" s="150">
        <v>236000</v>
      </c>
      <c r="AM54" s="150"/>
      <c r="AN54" s="150"/>
      <c r="AO54" s="150"/>
      <c r="AP54" s="150"/>
      <c r="AQ54" s="150"/>
      <c r="AR54" s="150"/>
      <c r="AS54" s="150"/>
      <c r="AT54" s="150"/>
      <c r="AU54" s="141"/>
      <c r="AV54" s="149">
        <f t="shared" si="14"/>
        <v>236000</v>
      </c>
      <c r="AW54" s="149">
        <f t="shared" si="15"/>
        <v>1728000</v>
      </c>
      <c r="AX54" s="145"/>
      <c r="AY54" s="149">
        <f>ROUND(AW54/1000,0)*1000</f>
        <v>1728000</v>
      </c>
      <c r="AZ54" s="146"/>
      <c r="BA54" s="146"/>
      <c r="BB54" s="145"/>
    </row>
    <row r="55" spans="1:54" s="154" customFormat="1" ht="14.1" customHeight="1">
      <c r="A55" s="145">
        <v>55</v>
      </c>
      <c r="B55" s="157"/>
      <c r="C55" s="157" t="s">
        <v>319</v>
      </c>
      <c r="D55" s="157"/>
      <c r="E55" s="156"/>
      <c r="F55" s="159">
        <f>SUM(F35:F54)</f>
        <v>2063000</v>
      </c>
      <c r="G55" s="159">
        <f t="shared" ref="G55:AR55" si="16">SUM(G35:G54)</f>
        <v>0</v>
      </c>
      <c r="H55" s="159">
        <f t="shared" si="16"/>
        <v>0</v>
      </c>
      <c r="I55" s="159">
        <f t="shared" si="16"/>
        <v>0</v>
      </c>
      <c r="J55" s="159">
        <f>SUM(J35:J54)</f>
        <v>0</v>
      </c>
      <c r="K55" s="159">
        <f>SUM(K35:K54)</f>
        <v>0</v>
      </c>
      <c r="L55" s="159">
        <f t="shared" si="16"/>
        <v>0</v>
      </c>
      <c r="M55" s="159">
        <f t="shared" si="16"/>
        <v>0</v>
      </c>
      <c r="N55" s="159">
        <f t="shared" si="16"/>
        <v>0</v>
      </c>
      <c r="O55" s="159">
        <f t="shared" si="16"/>
        <v>0</v>
      </c>
      <c r="P55" s="159">
        <f>SUM(P35:P54)</f>
        <v>0</v>
      </c>
      <c r="Q55" s="159">
        <f>SUM(Q35:Q54)</f>
        <v>0</v>
      </c>
      <c r="R55" s="159">
        <f>SUM(R35:R54)</f>
        <v>0</v>
      </c>
      <c r="S55" s="159">
        <f>SUM(S35:S54)</f>
        <v>0</v>
      </c>
      <c r="T55" s="159">
        <f>SUM(T35:T54)</f>
        <v>0</v>
      </c>
      <c r="U55" s="159">
        <f t="shared" si="16"/>
        <v>0</v>
      </c>
      <c r="V55" s="159">
        <f t="shared" ref="V55:AB55" si="17">SUM(V35:V54)</f>
        <v>0</v>
      </c>
      <c r="W55" s="159">
        <f t="shared" si="17"/>
        <v>0</v>
      </c>
      <c r="X55" s="159">
        <f t="shared" si="17"/>
        <v>0</v>
      </c>
      <c r="Y55" s="159">
        <f t="shared" si="17"/>
        <v>0</v>
      </c>
      <c r="Z55" s="159">
        <f t="shared" si="17"/>
        <v>0</v>
      </c>
      <c r="AA55" s="159">
        <f t="shared" si="17"/>
        <v>0</v>
      </c>
      <c r="AB55" s="159">
        <f t="shared" si="17"/>
        <v>0</v>
      </c>
      <c r="AC55" s="159">
        <f t="shared" si="16"/>
        <v>0</v>
      </c>
      <c r="AD55" s="159">
        <f t="shared" si="16"/>
        <v>0</v>
      </c>
      <c r="AE55" s="159">
        <f t="shared" si="16"/>
        <v>0</v>
      </c>
      <c r="AF55" s="159">
        <f t="shared" si="16"/>
        <v>0</v>
      </c>
      <c r="AG55" s="159">
        <f t="shared" si="16"/>
        <v>0</v>
      </c>
      <c r="AH55" s="159">
        <f t="shared" si="16"/>
        <v>0</v>
      </c>
      <c r="AI55" s="159">
        <f>SUM(AI35:AI54)</f>
        <v>0</v>
      </c>
      <c r="AJ55" s="159">
        <f>SUM(AJ35:AJ54)</f>
        <v>0</v>
      </c>
      <c r="AK55" s="159">
        <f t="shared" si="16"/>
        <v>0</v>
      </c>
      <c r="AL55" s="159">
        <f t="shared" si="16"/>
        <v>236000</v>
      </c>
      <c r="AM55" s="159">
        <f t="shared" si="16"/>
        <v>0</v>
      </c>
      <c r="AN55" s="159">
        <f t="shared" si="16"/>
        <v>0</v>
      </c>
      <c r="AO55" s="159">
        <f t="shared" si="16"/>
        <v>0</v>
      </c>
      <c r="AP55" s="159">
        <f t="shared" si="16"/>
        <v>0</v>
      </c>
      <c r="AQ55" s="159">
        <f t="shared" si="16"/>
        <v>0</v>
      </c>
      <c r="AR55" s="159">
        <f t="shared" si="16"/>
        <v>0</v>
      </c>
      <c r="AS55" s="159">
        <f t="shared" ref="AS55:AT55" si="18">SUM(AS35:AS54)</f>
        <v>0</v>
      </c>
      <c r="AT55" s="159">
        <f t="shared" si="18"/>
        <v>0</v>
      </c>
      <c r="AU55" s="158"/>
      <c r="AV55" s="158">
        <f>SUM(AV35:AV54)</f>
        <v>236000</v>
      </c>
      <c r="AW55" s="158">
        <f>SUM(AW35:AW54)</f>
        <v>2299000</v>
      </c>
      <c r="AX55" s="152" t="str">
        <f>IF(ROUND(SUM(F55:AT55),0)=ROUND(AW55,0),"ok","crossfoot error")</f>
        <v>ok</v>
      </c>
      <c r="AY55" s="158">
        <f>SUM(AY35:AY54)/1000</f>
        <v>2299</v>
      </c>
      <c r="AZ55" s="147">
        <v>2298.134</v>
      </c>
      <c r="BA55" s="146">
        <f>AY55-AZ55</f>
        <v>0.86599999999998545</v>
      </c>
      <c r="BB55" s="152"/>
    </row>
    <row r="56" spans="1:54" ht="14.1" customHeight="1">
      <c r="A56" s="145">
        <v>56</v>
      </c>
      <c r="B56" s="144"/>
      <c r="C56" s="144"/>
      <c r="D56" s="144"/>
      <c r="E56" s="141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1"/>
      <c r="AV56" s="149"/>
      <c r="AW56" s="149"/>
      <c r="AX56" s="145"/>
      <c r="AY56" s="149"/>
      <c r="AZ56" s="146"/>
      <c r="BA56" s="146"/>
      <c r="BB56" s="145"/>
    </row>
    <row r="57" spans="1:54" ht="14.1" customHeight="1">
      <c r="A57" s="145">
        <v>57</v>
      </c>
      <c r="B57" s="144"/>
      <c r="C57" s="144"/>
      <c r="D57" s="144"/>
      <c r="E57" s="141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1"/>
      <c r="AV57" s="149"/>
      <c r="AW57" s="149"/>
      <c r="AX57" s="145"/>
      <c r="AY57" s="149"/>
      <c r="AZ57" s="146"/>
      <c r="BA57" s="146"/>
      <c r="BB57" s="145"/>
    </row>
    <row r="58" spans="1:54" ht="14.1" customHeight="1">
      <c r="A58" s="145">
        <v>58</v>
      </c>
      <c r="B58" s="144"/>
      <c r="C58" s="144"/>
      <c r="D58" s="144"/>
      <c r="E58" s="141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1"/>
      <c r="AV58" s="149"/>
      <c r="AW58" s="149"/>
      <c r="AX58" s="145"/>
      <c r="AY58" s="149"/>
      <c r="AZ58" s="146"/>
      <c r="BA58" s="146"/>
      <c r="BB58" s="145"/>
    </row>
    <row r="59" spans="1:54" ht="14.1" customHeight="1">
      <c r="A59" s="145">
        <v>59</v>
      </c>
      <c r="B59" s="144"/>
      <c r="C59" s="144"/>
      <c r="D59" s="144"/>
      <c r="E59" s="141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1"/>
      <c r="AV59" s="149"/>
      <c r="AW59" s="149"/>
      <c r="AX59" s="145"/>
      <c r="AY59" s="149"/>
      <c r="AZ59" s="146"/>
      <c r="BA59" s="146"/>
      <c r="BB59" s="145"/>
    </row>
    <row r="60" spans="1:54" ht="14.1" customHeight="1">
      <c r="A60" s="145">
        <v>60</v>
      </c>
      <c r="B60" s="144" t="str">
        <f>$B$1</f>
        <v>Proforma</v>
      </c>
      <c r="C60" s="144"/>
      <c r="D60" s="144"/>
      <c r="E60" s="149"/>
      <c r="F60" s="173"/>
      <c r="G60" s="173"/>
      <c r="H60" s="173"/>
      <c r="I60" s="173" t="str">
        <f>$I$1</f>
        <v>Natural Gas Utility</v>
      </c>
      <c r="J60" s="173"/>
      <c r="K60" s="173"/>
      <c r="L60" s="173"/>
      <c r="M60" s="458"/>
      <c r="O60" s="173"/>
      <c r="P60" s="173"/>
      <c r="Q60" s="173"/>
      <c r="R60" s="173"/>
      <c r="S60" s="466"/>
      <c r="T60" s="466"/>
      <c r="U60" s="173"/>
      <c r="V60" s="173"/>
      <c r="W60" s="173"/>
      <c r="X60" s="173"/>
      <c r="Y60" s="173"/>
      <c r="Z60" s="173"/>
      <c r="AA60" s="173"/>
      <c r="AB60" s="173"/>
      <c r="AD60" s="173"/>
      <c r="AE60" s="139" t="s">
        <v>624</v>
      </c>
      <c r="AG60" s="173"/>
      <c r="AH60" s="173"/>
      <c r="AI60" s="458"/>
      <c r="AJ60" s="458"/>
      <c r="AK60" s="458"/>
      <c r="AL60" s="173"/>
      <c r="AM60" s="173"/>
      <c r="AN60" s="173"/>
      <c r="AO60" s="173"/>
      <c r="AP60" s="173"/>
      <c r="AQ60" s="173"/>
      <c r="AR60" s="173"/>
      <c r="AS60" s="173"/>
      <c r="AT60" s="173"/>
      <c r="AU60" s="149"/>
      <c r="AV60" s="149"/>
      <c r="AW60" s="177"/>
      <c r="AX60" s="145"/>
      <c r="AY60" s="177"/>
      <c r="AZ60" s="146"/>
      <c r="BA60" s="146"/>
      <c r="BB60" s="145"/>
    </row>
    <row r="61" spans="1:54" ht="14.1" customHeight="1">
      <c r="A61" s="145">
        <v>61</v>
      </c>
      <c r="B61" s="144" t="str">
        <f>$B$2</f>
        <v>Pro Forma Results of Operations</v>
      </c>
      <c r="C61" s="144"/>
      <c r="D61" s="144"/>
      <c r="E61" s="149" t="s">
        <v>668</v>
      </c>
      <c r="F61" s="173"/>
      <c r="G61" s="173"/>
      <c r="H61" s="173"/>
      <c r="I61" s="173"/>
      <c r="J61" s="173"/>
      <c r="K61" s="173"/>
      <c r="M61" s="176"/>
      <c r="O61" s="173" t="str">
        <f>$E61</f>
        <v>Operation and Maintenance Expenses</v>
      </c>
      <c r="P61" s="173"/>
      <c r="Q61" s="173"/>
      <c r="R61" s="173"/>
      <c r="S61" s="176"/>
      <c r="T61" s="176"/>
      <c r="U61" s="173"/>
      <c r="V61" s="173"/>
      <c r="W61" s="173"/>
      <c r="X61" s="173"/>
      <c r="AC61" s="173"/>
      <c r="AD61" s="173"/>
      <c r="AE61" s="173" t="str">
        <f>$E61</f>
        <v>Operation and Maintenance Expenses</v>
      </c>
      <c r="AF61" s="173"/>
      <c r="AG61" s="173"/>
      <c r="AH61" s="173"/>
      <c r="AI61" s="176"/>
      <c r="AJ61" s="176"/>
      <c r="AK61" s="176"/>
      <c r="AU61" s="149"/>
      <c r="AV61" s="149"/>
      <c r="AW61" s="175"/>
      <c r="AX61" s="145"/>
      <c r="AY61" s="175"/>
      <c r="AZ61" s="146"/>
      <c r="BA61" s="146"/>
      <c r="BB61" s="145"/>
    </row>
    <row r="62" spans="1:54" ht="14.1" customHeight="1">
      <c r="A62" s="145">
        <v>62</v>
      </c>
      <c r="B62" s="144" t="str">
        <f>$B$3</f>
        <v>Company Base Case</v>
      </c>
      <c r="C62" s="144"/>
      <c r="D62" s="144"/>
      <c r="E62" s="149"/>
      <c r="F62" s="173"/>
      <c r="G62" s="173"/>
      <c r="H62" s="173"/>
      <c r="I62" s="173"/>
      <c r="J62" s="173"/>
      <c r="K62" s="173"/>
      <c r="L62" s="173"/>
      <c r="M62" s="459"/>
      <c r="O62" s="173"/>
      <c r="P62" s="173"/>
      <c r="Q62" s="173"/>
      <c r="R62" s="173"/>
      <c r="S62" s="459"/>
      <c r="T62" s="459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49"/>
      <c r="AV62" s="149"/>
      <c r="AW62" s="174"/>
      <c r="AX62" s="145"/>
      <c r="AY62" s="174"/>
      <c r="AZ62" s="146"/>
      <c r="BA62" s="146"/>
      <c r="BB62" s="145"/>
    </row>
    <row r="63" spans="1:54" ht="14.1" customHeight="1">
      <c r="A63" s="145">
        <v>63</v>
      </c>
      <c r="B63" s="144"/>
      <c r="C63" s="144"/>
      <c r="D63" s="144"/>
      <c r="E63" s="149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49"/>
      <c r="AV63" s="149"/>
      <c r="AW63" s="149"/>
      <c r="AX63" s="145"/>
      <c r="AY63" s="149"/>
      <c r="AZ63" s="146"/>
      <c r="BA63" s="146"/>
      <c r="BB63" s="145"/>
    </row>
    <row r="64" spans="1:54" ht="14.1" customHeight="1">
      <c r="A64" s="145">
        <v>64</v>
      </c>
      <c r="B64" s="171"/>
      <c r="C64" s="171"/>
      <c r="D64" s="171"/>
      <c r="E64" s="171"/>
      <c r="F64" s="172">
        <f t="shared" ref="F64:AM64" si="19">F5</f>
        <v>1</v>
      </c>
      <c r="G64" s="453">
        <f t="shared" si="19"/>
        <v>1.01</v>
      </c>
      <c r="H64" s="453">
        <f t="shared" si="19"/>
        <v>1.02</v>
      </c>
      <c r="I64" s="453">
        <f t="shared" si="19"/>
        <v>1.03</v>
      </c>
      <c r="J64" s="453">
        <f t="shared" ref="J64:K67" si="20">J5</f>
        <v>2.0099999999999998</v>
      </c>
      <c r="K64" s="453">
        <f t="shared" si="20"/>
        <v>2.02</v>
      </c>
      <c r="L64" s="453">
        <f t="shared" si="19"/>
        <v>2.0299999999999998</v>
      </c>
      <c r="M64" s="453">
        <f t="shared" si="19"/>
        <v>2.04</v>
      </c>
      <c r="N64" s="453">
        <f t="shared" si="19"/>
        <v>2.0499999999999998</v>
      </c>
      <c r="O64" s="453">
        <f t="shared" si="19"/>
        <v>2.06</v>
      </c>
      <c r="P64" s="453">
        <f t="shared" ref="P64:R67" si="21">P5</f>
        <v>2.0699999999999998</v>
      </c>
      <c r="Q64" s="453">
        <f t="shared" si="21"/>
        <v>2.08</v>
      </c>
      <c r="R64" s="453">
        <f t="shared" si="21"/>
        <v>2.09</v>
      </c>
      <c r="S64" s="453">
        <f t="shared" ref="S64:T67" si="22">S5</f>
        <v>2.1</v>
      </c>
      <c r="T64" s="453">
        <f t="shared" si="22"/>
        <v>2.11</v>
      </c>
      <c r="U64" s="453">
        <f t="shared" si="19"/>
        <v>2.12</v>
      </c>
      <c r="V64" s="453">
        <f t="shared" ref="V64:W67" si="23">V5</f>
        <v>2.13</v>
      </c>
      <c r="W64" s="453">
        <f t="shared" si="23"/>
        <v>2.14</v>
      </c>
      <c r="X64" s="453">
        <f t="shared" ref="X64:AA67" si="24">X5</f>
        <v>2.15</v>
      </c>
      <c r="Y64" s="453">
        <f t="shared" si="24"/>
        <v>3.01</v>
      </c>
      <c r="Z64" s="453">
        <f t="shared" si="24"/>
        <v>3.02</v>
      </c>
      <c r="AA64" s="453">
        <f t="shared" si="24"/>
        <v>3.03</v>
      </c>
      <c r="AB64" s="453">
        <f t="shared" ref="AB64" si="25">AB5</f>
        <v>3.04</v>
      </c>
      <c r="AC64" s="453">
        <f t="shared" si="19"/>
        <v>3.05</v>
      </c>
      <c r="AD64" s="453">
        <f t="shared" si="19"/>
        <v>3.06</v>
      </c>
      <c r="AE64" s="453">
        <f t="shared" si="19"/>
        <v>3.07</v>
      </c>
      <c r="AF64" s="453">
        <f t="shared" ref="AF64:AH64" si="26">AF5</f>
        <v>3.08</v>
      </c>
      <c r="AG64" s="453">
        <f t="shared" si="26"/>
        <v>3.09</v>
      </c>
      <c r="AH64" s="453">
        <f t="shared" si="26"/>
        <v>3.1</v>
      </c>
      <c r="AI64" s="453">
        <f t="shared" ref="AI64:AJ67" si="27">AI5</f>
        <v>3.11</v>
      </c>
      <c r="AJ64" s="453">
        <f t="shared" si="27"/>
        <v>3.12</v>
      </c>
      <c r="AK64" s="453">
        <f t="shared" ref="AK64:AK67" si="28">AK5</f>
        <v>3.13</v>
      </c>
      <c r="AL64" s="453">
        <f t="shared" si="19"/>
        <v>3.14</v>
      </c>
      <c r="AM64" s="453">
        <f t="shared" si="19"/>
        <v>3.15</v>
      </c>
      <c r="AN64" s="453">
        <f t="shared" ref="AN64:AR64" si="29">AN5</f>
        <v>3.16</v>
      </c>
      <c r="AO64" s="453">
        <f t="shared" si="29"/>
        <v>3.17</v>
      </c>
      <c r="AP64" s="453">
        <f t="shared" si="29"/>
        <v>3.18</v>
      </c>
      <c r="AQ64" s="453">
        <f t="shared" si="29"/>
        <v>3.19</v>
      </c>
      <c r="AR64" s="453">
        <f t="shared" si="29"/>
        <v>3.2</v>
      </c>
      <c r="AS64" s="453">
        <f t="shared" ref="AS64:AT67" si="30">AS5</f>
        <v>4.01</v>
      </c>
      <c r="AT64" s="453">
        <f t="shared" si="30"/>
        <v>4.0199999999999996</v>
      </c>
      <c r="AU64" s="171"/>
      <c r="AV64" s="171" t="str">
        <f>AV$5</f>
        <v>(av)</v>
      </c>
      <c r="AW64" s="171" t="str">
        <f>AW$5</f>
        <v>(aw)</v>
      </c>
      <c r="AX64" s="171" t="str">
        <f>AX$5</f>
        <v>(ax)</v>
      </c>
      <c r="AY64" s="171" t="str">
        <f>AY$5</f>
        <v>(ay)</v>
      </c>
      <c r="AZ64" s="146"/>
      <c r="BA64" s="146"/>
      <c r="BB64" s="145"/>
    </row>
    <row r="65" spans="1:54" ht="14.1" customHeight="1">
      <c r="A65" s="145">
        <v>65</v>
      </c>
      <c r="B65" s="168" t="str">
        <f>IF(ISBLANK(B$6),"",B$6)</f>
        <v/>
      </c>
      <c r="C65" s="168" t="str">
        <f>IF(ISBLANK(C$6),"",C$6)</f>
        <v/>
      </c>
      <c r="D65" s="168" t="str">
        <f>IF(ISBLANK(D$6),"",D$6)</f>
        <v/>
      </c>
      <c r="E65" s="168" t="str">
        <f>IF(ISBLANK(E$6),"",E$6)</f>
        <v>Notes</v>
      </c>
      <c r="F65" s="168" t="s">
        <v>622</v>
      </c>
      <c r="G65" s="454" t="str">
        <f t="shared" ref="G65:I67" si="31">G6</f>
        <v>Deferred FIT</v>
      </c>
      <c r="H65" s="454" t="str">
        <f t="shared" si="31"/>
        <v>Deferred Debits</v>
      </c>
      <c r="I65" s="454" t="str">
        <f t="shared" si="31"/>
        <v xml:space="preserve">Working </v>
      </c>
      <c r="J65" s="454" t="str">
        <f t="shared" si="20"/>
        <v>Eliminate</v>
      </c>
      <c r="K65" s="454" t="str">
        <f t="shared" si="20"/>
        <v>Restate</v>
      </c>
      <c r="L65" s="454" t="str">
        <f t="shared" ref="L65:O67" si="32">L6</f>
        <v>Uncollectible</v>
      </c>
      <c r="M65" s="454" t="str">
        <f t="shared" si="32"/>
        <v>Regulatory</v>
      </c>
      <c r="N65" s="454" t="str">
        <f t="shared" si="32"/>
        <v>Injuries &amp;</v>
      </c>
      <c r="O65" s="454" t="str">
        <f t="shared" si="32"/>
        <v>FIT/DFIT</v>
      </c>
      <c r="P65" s="454" t="str">
        <f t="shared" si="21"/>
        <v>Office Space</v>
      </c>
      <c r="Q65" s="454" t="str">
        <f t="shared" si="21"/>
        <v>Restate</v>
      </c>
      <c r="R65" s="454" t="str">
        <f t="shared" si="21"/>
        <v>Net Gains/</v>
      </c>
      <c r="S65" s="454" t="str">
        <f t="shared" si="22"/>
        <v>Weather Normalization</v>
      </c>
      <c r="T65" s="454" t="str">
        <f t="shared" si="22"/>
        <v>Eliminate</v>
      </c>
      <c r="U65" s="454" t="str">
        <f>U6</f>
        <v>Misc. Restating</v>
      </c>
      <c r="V65" s="454" t="str">
        <f t="shared" si="23"/>
        <v xml:space="preserve">Restating </v>
      </c>
      <c r="W65" s="454" t="str">
        <f t="shared" si="23"/>
        <v xml:space="preserve">Restate </v>
      </c>
      <c r="X65" s="454" t="str">
        <f t="shared" si="24"/>
        <v xml:space="preserve">Restate </v>
      </c>
      <c r="Y65" s="454" t="str">
        <f t="shared" si="24"/>
        <v>Pro Forma Revenue</v>
      </c>
      <c r="Z65" s="454" t="str">
        <f t="shared" si="24"/>
        <v xml:space="preserve">Pro Forma Def. </v>
      </c>
      <c r="AA65" s="454" t="str">
        <f t="shared" si="24"/>
        <v>Pro Forma</v>
      </c>
      <c r="AB65" s="454" t="str">
        <f t="shared" ref="AB65" si="33">AB6</f>
        <v>Pro Forma</v>
      </c>
      <c r="AC65" s="454" t="str">
        <f t="shared" ref="AC65:AE67" si="34">AC6</f>
        <v>Pro Forma</v>
      </c>
      <c r="AD65" s="454" t="str">
        <f t="shared" si="34"/>
        <v>Pro Forma</v>
      </c>
      <c r="AE65" s="454" t="str">
        <f t="shared" si="34"/>
        <v>Pro Forma</v>
      </c>
      <c r="AF65" s="454" t="str">
        <f t="shared" ref="AF65:AH65" si="35">AF6</f>
        <v>Pro Forma</v>
      </c>
      <c r="AG65" s="454" t="str">
        <f t="shared" si="35"/>
        <v>Remove</v>
      </c>
      <c r="AH65" s="454" t="str">
        <f t="shared" si="35"/>
        <v>Pro Forma</v>
      </c>
      <c r="AI65" s="454" t="str">
        <f t="shared" si="27"/>
        <v>Pro Forma</v>
      </c>
      <c r="AJ65" s="454" t="str">
        <f t="shared" si="27"/>
        <v>Pro Forma</v>
      </c>
      <c r="AK65" s="454" t="str">
        <f t="shared" si="28"/>
        <v>Pro Forma</v>
      </c>
      <c r="AL65" s="454" t="str">
        <f t="shared" ref="AL65:AM67" si="36">AL6</f>
        <v xml:space="preserve">Pro Forma </v>
      </c>
      <c r="AM65" s="454" t="str">
        <f t="shared" si="36"/>
        <v>Pro Forma</v>
      </c>
      <c r="AN65" s="454" t="str">
        <f t="shared" ref="AN65:AR65" si="37">AN6</f>
        <v>Pro Forma</v>
      </c>
      <c r="AO65" s="454" t="str">
        <f t="shared" si="37"/>
        <v>Pro Forma</v>
      </c>
      <c r="AP65" s="454" t="str">
        <f t="shared" si="37"/>
        <v>Pro Forma</v>
      </c>
      <c r="AQ65" s="454" t="str">
        <f t="shared" si="37"/>
        <v>Pro Forma</v>
      </c>
      <c r="AR65" s="454" t="str">
        <f t="shared" si="37"/>
        <v>Pro Forma</v>
      </c>
      <c r="AS65" s="454" t="str">
        <f t="shared" si="30"/>
        <v>Provisional Capital Add.</v>
      </c>
      <c r="AT65" s="454" t="str">
        <f t="shared" si="30"/>
        <v>2024-2025</v>
      </c>
      <c r="AU65" s="168"/>
      <c r="AV65" s="168" t="str">
        <f>IF(ISBLANK(AV$6),"",AV$6)</f>
        <v>Net Total</v>
      </c>
      <c r="AW65" s="168" t="str">
        <f>IF(ISBLANK(AW$6),"",AW$6)</f>
        <v>Total</v>
      </c>
      <c r="AX65" s="168" t="str">
        <f>IF(ISBLANK(AX$6),"",AX$6)</f>
        <v>check</v>
      </c>
      <c r="AY65" s="168" t="str">
        <f>IF(ISBLANK(AY$6),"",AY$6)</f>
        <v>Total</v>
      </c>
      <c r="AZ65" s="146"/>
      <c r="BA65" s="146"/>
      <c r="BB65" s="145"/>
    </row>
    <row r="66" spans="1:54" ht="14.1" customHeight="1">
      <c r="A66" s="145">
        <v>66</v>
      </c>
      <c r="B66" s="170" t="str">
        <f>IF(ISBLANK(B$7),"",B$7)</f>
        <v>Account</v>
      </c>
      <c r="C66" s="169" t="str">
        <f>IF(ISBLANK(C$7),"",C$7)</f>
        <v>Description</v>
      </c>
      <c r="D66" s="168"/>
      <c r="E66" s="168" t="str">
        <f>IF(ISBLANK(E$7),"",E$7)</f>
        <v/>
      </c>
      <c r="F66" s="168" t="s">
        <v>621</v>
      </c>
      <c r="G66" s="454" t="str">
        <f t="shared" si="31"/>
        <v>Rate Base</v>
      </c>
      <c r="H66" s="454" t="str">
        <f t="shared" si="31"/>
        <v>and Credits</v>
      </c>
      <c r="I66" s="454" t="str">
        <f t="shared" si="31"/>
        <v>Capital</v>
      </c>
      <c r="J66" s="454" t="str">
        <f t="shared" si="20"/>
        <v>B &amp; O Taxes</v>
      </c>
      <c r="K66" s="454" t="str">
        <f t="shared" si="20"/>
        <v>Property Taxes</v>
      </c>
      <c r="L66" s="454" t="str">
        <f t="shared" si="32"/>
        <v>Expense</v>
      </c>
      <c r="M66" s="454" t="str">
        <f t="shared" si="32"/>
        <v>Expense</v>
      </c>
      <c r="N66" s="454" t="str">
        <f t="shared" si="32"/>
        <v>Damages</v>
      </c>
      <c r="O66" s="454" t="str">
        <f t="shared" si="32"/>
        <v>Expense</v>
      </c>
      <c r="P66" s="454" t="str">
        <f t="shared" si="21"/>
        <v>Charges to Subs</v>
      </c>
      <c r="Q66" s="454" t="str">
        <f t="shared" si="21"/>
        <v>Excise Tax</v>
      </c>
      <c r="R66" s="454" t="str">
        <f t="shared" si="21"/>
        <v>Losses</v>
      </c>
      <c r="S66" s="454" t="str">
        <f t="shared" si="22"/>
        <v>Gas Cost Adjust</v>
      </c>
      <c r="T66" s="454" t="str">
        <f t="shared" si="22"/>
        <v>Adder Schedules</v>
      </c>
      <c r="U66" s="454" t="str">
        <f>U7</f>
        <v>Adjustments</v>
      </c>
      <c r="V66" s="454" t="str">
        <f t="shared" si="23"/>
        <v>Incentives</v>
      </c>
      <c r="W66" s="454" t="str">
        <f t="shared" si="23"/>
        <v>Debt Int</v>
      </c>
      <c r="X66" s="454" t="str">
        <f t="shared" si="24"/>
        <v>09.2021 Rate Base</v>
      </c>
      <c r="Y66" s="454" t="str">
        <f t="shared" si="24"/>
        <v>Normalization</v>
      </c>
      <c r="Z66" s="454" t="str">
        <f t="shared" si="24"/>
        <v>Debits &amp; Credits</v>
      </c>
      <c r="AA66" s="454" t="str">
        <f t="shared" si="24"/>
        <v>EDIT (RSGM)</v>
      </c>
      <c r="AB66" s="454" t="str">
        <f t="shared" ref="AB66" si="38">AB7</f>
        <v>AMI Amortization</v>
      </c>
      <c r="AC66" s="454" t="str">
        <f t="shared" si="34"/>
        <v>Non-Exec Labor</v>
      </c>
      <c r="AD66" s="454" t="str">
        <f t="shared" si="34"/>
        <v>Exec Labor</v>
      </c>
      <c r="AE66" s="454" t="str">
        <f t="shared" si="34"/>
        <v>Empl. Benefits</v>
      </c>
      <c r="AF66" s="454" t="str">
        <f t="shared" ref="AF66:AH66" si="39">AF7</f>
        <v>Incentives</v>
      </c>
      <c r="AG66" s="454" t="str">
        <f t="shared" si="39"/>
        <v>LIRAP Labor</v>
      </c>
      <c r="AH66" s="454" t="str">
        <f t="shared" si="39"/>
        <v>CCA Labor</v>
      </c>
      <c r="AI66" s="454" t="str">
        <f t="shared" si="27"/>
        <v>Property Tax</v>
      </c>
      <c r="AJ66" s="454" t="str">
        <f t="shared" si="27"/>
        <v>Insurance Expense</v>
      </c>
      <c r="AK66" s="454" t="str">
        <f t="shared" si="28"/>
        <v>IS/IT</v>
      </c>
      <c r="AL66" s="454" t="str">
        <f t="shared" si="36"/>
        <v>Misc O&amp;M Expense</v>
      </c>
      <c r="AM66" s="454" t="str">
        <f t="shared" si="36"/>
        <v>Capital Add. To 12/31/23 EOP</v>
      </c>
      <c r="AN66" s="454" t="str">
        <f t="shared" ref="AN66:AR66" si="40">AN7</f>
        <v>Dep. Expense</v>
      </c>
      <c r="AO66" s="454" t="str">
        <f t="shared" si="40"/>
        <v>Capital Add. To 12/31/24 EOP</v>
      </c>
      <c r="AP66" s="454" t="str">
        <f t="shared" si="40"/>
        <v>New Reg. Amort.</v>
      </c>
      <c r="AQ66" s="454" t="str">
        <f t="shared" si="40"/>
        <v>Nucleus/ETRM Exp.</v>
      </c>
      <c r="AR66" s="454" t="str">
        <f t="shared" si="40"/>
        <v>BOD Fees Exp.</v>
      </c>
      <c r="AS66" s="454" t="str">
        <f t="shared" si="30"/>
        <v>to 12.31.25 AMA</v>
      </c>
      <c r="AT66" s="454" t="str">
        <f t="shared" si="30"/>
        <v xml:space="preserve">Cap. Adds O&amp;M and Rev. </v>
      </c>
      <c r="AU66" s="168"/>
      <c r="AV66" s="168" t="str">
        <f>IF(ISBLANK(AV$7),"",AV$7)</f>
        <v>of All</v>
      </c>
      <c r="AW66" s="168" t="str">
        <f>IF(ISBLANK(AW$7),"",AW$7)</f>
        <v/>
      </c>
      <c r="AX66" s="168" t="str">
        <f>IF(ISBLANK(AX$7),"",AX$7)</f>
        <v/>
      </c>
      <c r="AY66" s="168" t="str">
        <f>IF(ISBLANK(AY$7),"",AY$7)</f>
        <v>$000's</v>
      </c>
      <c r="AZ66" s="146"/>
      <c r="BA66" s="146"/>
      <c r="BB66" s="168"/>
    </row>
    <row r="67" spans="1:54" ht="14.1" customHeight="1">
      <c r="A67" s="145">
        <v>67</v>
      </c>
      <c r="B67" s="168" t="str">
        <f>IF(ISBLANK(B$8),"",B$8)</f>
        <v/>
      </c>
      <c r="C67" s="168" t="str">
        <f>IF(ISBLANK(C$8),"",C$8)</f>
        <v/>
      </c>
      <c r="D67" s="168" t="str">
        <f>IF(ISBLANK(D$8),"",D$8)</f>
        <v/>
      </c>
      <c r="E67" s="168" t="str">
        <f>IF(ISBLANK(E$8),"",E$8)</f>
        <v/>
      </c>
      <c r="F67" s="168"/>
      <c r="G67" s="454" t="str">
        <f t="shared" si="31"/>
        <v>G-DFIT</v>
      </c>
      <c r="H67" s="454" t="str">
        <f t="shared" si="31"/>
        <v>G-DDC</v>
      </c>
      <c r="I67" s="454" t="str">
        <f t="shared" si="31"/>
        <v>G-WC</v>
      </c>
      <c r="J67" s="454" t="str">
        <f t="shared" si="20"/>
        <v>G-EBO</v>
      </c>
      <c r="K67" s="454" t="str">
        <f t="shared" si="20"/>
        <v>G-RPT</v>
      </c>
      <c r="L67" s="454" t="str">
        <f t="shared" si="32"/>
        <v>G-UE</v>
      </c>
      <c r="M67" s="454" t="str">
        <f t="shared" si="32"/>
        <v>G-RE</v>
      </c>
      <c r="N67" s="454" t="str">
        <f t="shared" si="32"/>
        <v>G-ID</v>
      </c>
      <c r="O67" s="454" t="str">
        <f t="shared" si="32"/>
        <v>G-FIT</v>
      </c>
      <c r="P67" s="454" t="str">
        <f t="shared" si="21"/>
        <v>G-OSC</v>
      </c>
      <c r="Q67" s="454" t="str">
        <f t="shared" si="21"/>
        <v>G-RET</v>
      </c>
      <c r="R67" s="454" t="str">
        <f t="shared" si="21"/>
        <v>G-NGL</v>
      </c>
      <c r="S67" s="454" t="str">
        <f t="shared" si="22"/>
        <v>G-WNGC</v>
      </c>
      <c r="T67" s="454" t="str">
        <f t="shared" si="22"/>
        <v>G-EAS</v>
      </c>
      <c r="U67" s="454" t="str">
        <f>U8</f>
        <v>G-MR</v>
      </c>
      <c r="V67" s="454" t="str">
        <f t="shared" si="23"/>
        <v>G-RI</v>
      </c>
      <c r="W67" s="454" t="str">
        <f t="shared" si="23"/>
        <v>G-DI</v>
      </c>
      <c r="X67" s="454" t="str">
        <f t="shared" si="24"/>
        <v>G-EOP09.2021</v>
      </c>
      <c r="Y67" s="454" t="str">
        <f t="shared" si="24"/>
        <v>G-PREV</v>
      </c>
      <c r="Z67" s="454" t="str">
        <f t="shared" si="24"/>
        <v>G-PRA</v>
      </c>
      <c r="AA67" s="454" t="str">
        <f t="shared" si="24"/>
        <v>G-EDIT</v>
      </c>
      <c r="AB67" s="454" t="str">
        <f t="shared" ref="AB67" si="41">AB8</f>
        <v>G-PAMI</v>
      </c>
      <c r="AC67" s="454" t="str">
        <f t="shared" si="34"/>
        <v>G-PLN</v>
      </c>
      <c r="AD67" s="454" t="str">
        <f t="shared" si="34"/>
        <v>G-PLE</v>
      </c>
      <c r="AE67" s="454" t="str">
        <f t="shared" si="34"/>
        <v>G-PEB</v>
      </c>
      <c r="AF67" s="454" t="str">
        <f t="shared" ref="AF67:AH67" si="42">AF8</f>
        <v>G-Pinc</v>
      </c>
      <c r="AG67" s="454" t="str">
        <f t="shared" si="42"/>
        <v>G-LIRAP</v>
      </c>
      <c r="AH67" s="454" t="str">
        <f t="shared" si="42"/>
        <v>G-CCA</v>
      </c>
      <c r="AI67" s="454" t="str">
        <f t="shared" si="27"/>
        <v>G-PPT</v>
      </c>
      <c r="AJ67" s="454" t="str">
        <f t="shared" si="27"/>
        <v>G-PINS</v>
      </c>
      <c r="AK67" s="454" t="str">
        <f t="shared" si="28"/>
        <v>G-PIT</v>
      </c>
      <c r="AL67" s="454" t="str">
        <f t="shared" si="36"/>
        <v>G-PMisc</v>
      </c>
      <c r="AM67" s="454" t="str">
        <f t="shared" si="36"/>
        <v>G-CAP23E</v>
      </c>
      <c r="AN67" s="454" t="str">
        <f t="shared" ref="AN67:AR67" si="43">AN8</f>
        <v>G-DEP</v>
      </c>
      <c r="AO67" s="454" t="str">
        <f t="shared" si="43"/>
        <v>G-CAP24E</v>
      </c>
      <c r="AP67" s="454" t="str">
        <f t="shared" si="43"/>
        <v>G-NRA</v>
      </c>
      <c r="AQ67" s="454" t="str">
        <f t="shared" si="43"/>
        <v>G-ETRM</v>
      </c>
      <c r="AR67" s="454" t="str">
        <f t="shared" si="43"/>
        <v>G-PBOD</v>
      </c>
      <c r="AS67" s="454" t="str">
        <f t="shared" si="30"/>
        <v>G-CAP25A</v>
      </c>
      <c r="AT67" s="454" t="str">
        <f t="shared" si="30"/>
        <v>G-Offsets25</v>
      </c>
      <c r="AU67" s="168"/>
      <c r="AV67" s="168" t="str">
        <f>IF(ISBLANK(AV$8),"",AV$8)</f>
        <v>Adjustments</v>
      </c>
      <c r="AW67" s="168" t="str">
        <f>IF(ISBLANK(AW$8),"",AW$8)</f>
        <v/>
      </c>
      <c r="AX67" s="168" t="str">
        <f>IF(ISBLANK(AX$8),"",AX$8)</f>
        <v/>
      </c>
      <c r="AY67" s="168" t="str">
        <f>IF(ISBLANK(AY$8),"",AY$8)</f>
        <v>in bold</v>
      </c>
      <c r="AZ67" s="146"/>
      <c r="BA67" s="146"/>
      <c r="BB67" s="168"/>
    </row>
    <row r="68" spans="1:54" ht="14.1" customHeight="1">
      <c r="A68" s="145">
        <v>68</v>
      </c>
      <c r="B68" s="144"/>
      <c r="C68" s="157" t="s">
        <v>6</v>
      </c>
      <c r="D68" s="144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1"/>
      <c r="AV68" s="149"/>
      <c r="AW68" s="149"/>
      <c r="AX68" s="145"/>
      <c r="AY68" s="149"/>
      <c r="AZ68" s="146"/>
      <c r="BA68" s="146"/>
      <c r="BB68" s="145"/>
    </row>
    <row r="69" spans="1:54" ht="14.1" customHeight="1">
      <c r="A69" s="145">
        <v>69</v>
      </c>
      <c r="B69" s="144"/>
      <c r="C69" s="182" t="s">
        <v>667</v>
      </c>
      <c r="D69" s="144"/>
      <c r="E69" s="141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1"/>
      <c r="AV69" s="149"/>
      <c r="AW69" s="149"/>
      <c r="AX69" s="145"/>
      <c r="AY69" s="149"/>
      <c r="AZ69" s="146"/>
      <c r="BA69" s="146"/>
      <c r="BB69" s="145"/>
    </row>
    <row r="70" spans="1:54" ht="14.1" customHeight="1">
      <c r="A70" s="145">
        <v>70</v>
      </c>
      <c r="B70" s="144" t="s">
        <v>320</v>
      </c>
      <c r="C70" s="144" t="s">
        <v>1</v>
      </c>
      <c r="D70" s="144"/>
      <c r="E70" s="141"/>
      <c r="F70" s="150">
        <v>1610000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66">
        <v>0</v>
      </c>
      <c r="V70" s="166"/>
      <c r="W70" s="166"/>
      <c r="X70" s="166"/>
      <c r="Y70" s="142"/>
      <c r="Z70" s="142"/>
      <c r="AA70" s="142"/>
      <c r="AB70" s="166"/>
      <c r="AC70" s="150">
        <f>ROUND(F70/($F$81+$F$92)*815000,-3)</f>
        <v>102000</v>
      </c>
      <c r="AD70" s="150"/>
      <c r="AE70" s="150">
        <f>ROUND(F70/($F$81+$F$92)*18000,-3)</f>
        <v>2000</v>
      </c>
      <c r="AF70" s="150"/>
      <c r="AG70" s="166"/>
      <c r="AH70" s="166"/>
      <c r="AI70" s="142"/>
      <c r="AJ70" s="142"/>
      <c r="AK70" s="142"/>
      <c r="AL70" s="150">
        <f>ROUND(F70/($F$81+$F$92)*580000,-3)</f>
        <v>72000</v>
      </c>
      <c r="AM70" s="142"/>
      <c r="AN70" s="142"/>
      <c r="AO70" s="142"/>
      <c r="AP70" s="142"/>
      <c r="AQ70" s="142"/>
      <c r="AR70" s="142"/>
      <c r="AS70" s="142"/>
      <c r="AT70" s="150">
        <f>ROUND(F70/($F$81+$F$92)*-190000,-3)</f>
        <v>-24000</v>
      </c>
      <c r="AU70" s="141"/>
      <c r="AV70" s="149">
        <f t="shared" ref="AV70:AV80" si="44">SUM(G70:AT70)</f>
        <v>152000</v>
      </c>
      <c r="AW70" s="149">
        <f t="shared" ref="AW70:AW80" si="45">F70+AV70</f>
        <v>1762000</v>
      </c>
      <c r="AX70" s="145"/>
      <c r="AY70" s="149">
        <f t="shared" ref="AY70:AY80" si="46">ROUND(AW70/1000,0)*1000</f>
        <v>1762000</v>
      </c>
      <c r="AZ70" s="146"/>
      <c r="BA70" s="146"/>
      <c r="BB70" s="145"/>
    </row>
    <row r="71" spans="1:54" ht="14.1" customHeight="1">
      <c r="A71" s="145">
        <v>71</v>
      </c>
      <c r="B71" s="144" t="s">
        <v>321</v>
      </c>
      <c r="C71" s="144" t="s">
        <v>330</v>
      </c>
      <c r="D71" s="144"/>
      <c r="E71" s="141"/>
      <c r="F71" s="150">
        <v>0</v>
      </c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66"/>
      <c r="AC71" s="150">
        <f t="shared" ref="AC71:AC80" si="47">ROUND(F71/($F$81+$F$92)*815000,-3)</f>
        <v>0</v>
      </c>
      <c r="AD71" s="142"/>
      <c r="AE71" s="150">
        <f t="shared" ref="AE71:AE80" si="48">ROUND(F71/($F$81+$F$92)*18000,-3)</f>
        <v>0</v>
      </c>
      <c r="AF71" s="150"/>
      <c r="AG71" s="142"/>
      <c r="AH71" s="142"/>
      <c r="AI71" s="142"/>
      <c r="AJ71" s="142"/>
      <c r="AK71" s="142"/>
      <c r="AL71" s="150">
        <f t="shared" ref="AL71:AL80" si="49">ROUND(F71/($F$81+$F$92)*580000,-3)</f>
        <v>0</v>
      </c>
      <c r="AM71" s="142"/>
      <c r="AN71" s="142"/>
      <c r="AO71" s="142"/>
      <c r="AP71" s="142"/>
      <c r="AQ71" s="142"/>
      <c r="AR71" s="142"/>
      <c r="AS71" s="142"/>
      <c r="AT71" s="150">
        <f t="shared" ref="AT71:AT80" si="50">ROUND(F71/($F$81+$F$92)*-190000,-3)</f>
        <v>0</v>
      </c>
      <c r="AU71" s="141"/>
      <c r="AV71" s="149">
        <f t="shared" si="44"/>
        <v>0</v>
      </c>
      <c r="AW71" s="149">
        <f t="shared" si="45"/>
        <v>0</v>
      </c>
      <c r="AX71" s="145"/>
      <c r="AY71" s="149">
        <f t="shared" si="46"/>
        <v>0</v>
      </c>
      <c r="AZ71" s="146"/>
      <c r="BA71" s="146"/>
      <c r="BB71" s="145"/>
    </row>
    <row r="72" spans="1:54" ht="14.1" customHeight="1">
      <c r="A72" s="145">
        <v>72</v>
      </c>
      <c r="B72" s="144" t="s">
        <v>666</v>
      </c>
      <c r="C72" s="144" t="s">
        <v>665</v>
      </c>
      <c r="D72" s="144"/>
      <c r="E72" s="141"/>
      <c r="F72" s="150">
        <v>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66"/>
      <c r="AC72" s="150">
        <f t="shared" si="47"/>
        <v>0</v>
      </c>
      <c r="AD72" s="142"/>
      <c r="AE72" s="150">
        <f t="shared" si="48"/>
        <v>0</v>
      </c>
      <c r="AF72" s="150"/>
      <c r="AG72" s="142"/>
      <c r="AH72" s="142"/>
      <c r="AI72" s="142"/>
      <c r="AJ72" s="142"/>
      <c r="AK72" s="142"/>
      <c r="AL72" s="150">
        <f t="shared" si="49"/>
        <v>0</v>
      </c>
      <c r="AM72" s="142"/>
      <c r="AN72" s="142"/>
      <c r="AO72" s="142"/>
      <c r="AP72" s="142"/>
      <c r="AQ72" s="142"/>
      <c r="AR72" s="142"/>
      <c r="AS72" s="142"/>
      <c r="AT72" s="150">
        <f t="shared" si="50"/>
        <v>0</v>
      </c>
      <c r="AU72" s="141"/>
      <c r="AV72" s="149">
        <f t="shared" si="44"/>
        <v>0</v>
      </c>
      <c r="AW72" s="149">
        <f t="shared" si="45"/>
        <v>0</v>
      </c>
      <c r="AX72" s="145"/>
      <c r="AY72" s="149">
        <f t="shared" si="46"/>
        <v>0</v>
      </c>
      <c r="AZ72" s="146"/>
      <c r="BA72" s="146"/>
      <c r="BB72" s="145"/>
    </row>
    <row r="73" spans="1:54" ht="14.1" customHeight="1">
      <c r="A73" s="145">
        <v>73</v>
      </c>
      <c r="B73" s="144" t="s">
        <v>322</v>
      </c>
      <c r="C73" s="144" t="s">
        <v>331</v>
      </c>
      <c r="D73" s="144"/>
      <c r="E73" s="141"/>
      <c r="F73" s="150">
        <v>3230000</v>
      </c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66">
        <v>-3000</v>
      </c>
      <c r="V73" s="142"/>
      <c r="W73" s="142"/>
      <c r="X73" s="142"/>
      <c r="Y73" s="142"/>
      <c r="Z73" s="142"/>
      <c r="AA73" s="142"/>
      <c r="AB73" s="166"/>
      <c r="AC73" s="150">
        <f>ROUND(F73/($F$81+$F$92)*815000,-3)-2000</f>
        <v>202000</v>
      </c>
      <c r="AD73" s="142"/>
      <c r="AE73" s="150">
        <f>ROUND(F73/($F$81+$F$92)*18000,-3)+1000</f>
        <v>6000</v>
      </c>
      <c r="AF73" s="150"/>
      <c r="AG73" s="142"/>
      <c r="AH73" s="142"/>
      <c r="AI73" s="166"/>
      <c r="AJ73" s="166"/>
      <c r="AK73" s="166"/>
      <c r="AL73" s="150">
        <f>ROUND(F73/($F$81+$F$92)*580000,-3)+1000</f>
        <v>146000</v>
      </c>
      <c r="AM73" s="142"/>
      <c r="AN73" s="142"/>
      <c r="AO73" s="142"/>
      <c r="AP73" s="142"/>
      <c r="AQ73" s="142"/>
      <c r="AR73" s="142"/>
      <c r="AS73" s="142"/>
      <c r="AT73" s="150">
        <f>ROUND(F73/($F$81+$F$92)*-190000,-3)+1000</f>
        <v>-47000</v>
      </c>
      <c r="AU73" s="141"/>
      <c r="AV73" s="149">
        <f t="shared" si="44"/>
        <v>304000</v>
      </c>
      <c r="AW73" s="149">
        <f t="shared" si="45"/>
        <v>3534000</v>
      </c>
      <c r="AX73" s="145"/>
      <c r="AY73" s="485">
        <f>ROUND(AW73/1000,0)*1000+1000</f>
        <v>3535000</v>
      </c>
      <c r="AZ73" s="146"/>
      <c r="BA73" s="146"/>
      <c r="BB73" s="145"/>
    </row>
    <row r="74" spans="1:54" ht="14.1" customHeight="1">
      <c r="A74" s="145">
        <v>74</v>
      </c>
      <c r="B74" s="144" t="s">
        <v>323</v>
      </c>
      <c r="C74" s="144" t="s">
        <v>332</v>
      </c>
      <c r="D74" s="144"/>
      <c r="E74" s="141"/>
      <c r="F74" s="150">
        <v>89000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66"/>
      <c r="AC74" s="150">
        <f t="shared" si="47"/>
        <v>6000</v>
      </c>
      <c r="AD74" s="142"/>
      <c r="AE74" s="150">
        <f t="shared" si="48"/>
        <v>0</v>
      </c>
      <c r="AF74" s="150"/>
      <c r="AG74" s="142"/>
      <c r="AH74" s="142"/>
      <c r="AI74" s="142"/>
      <c r="AJ74" s="142"/>
      <c r="AK74" s="142"/>
      <c r="AL74" s="150">
        <f t="shared" si="49"/>
        <v>4000</v>
      </c>
      <c r="AM74" s="142"/>
      <c r="AN74" s="142"/>
      <c r="AO74" s="142"/>
      <c r="AP74" s="142"/>
      <c r="AQ74" s="142"/>
      <c r="AR74" s="142"/>
      <c r="AS74" s="142"/>
      <c r="AT74" s="150">
        <f t="shared" si="50"/>
        <v>-1000</v>
      </c>
      <c r="AU74" s="141"/>
      <c r="AV74" s="149">
        <f t="shared" si="44"/>
        <v>9000</v>
      </c>
      <c r="AW74" s="149">
        <f t="shared" si="45"/>
        <v>98000</v>
      </c>
      <c r="AX74" s="145"/>
      <c r="AY74" s="149">
        <f t="shared" si="46"/>
        <v>98000</v>
      </c>
      <c r="AZ74" s="146"/>
      <c r="BA74" s="146"/>
      <c r="BB74" s="145"/>
    </row>
    <row r="75" spans="1:54" ht="14.1" customHeight="1">
      <c r="A75" s="145">
        <v>75</v>
      </c>
      <c r="B75" s="144" t="s">
        <v>324</v>
      </c>
      <c r="C75" s="144" t="s">
        <v>333</v>
      </c>
      <c r="D75" s="144"/>
      <c r="E75" s="141"/>
      <c r="F75" s="150">
        <v>6000</v>
      </c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66"/>
      <c r="AC75" s="150">
        <f t="shared" si="47"/>
        <v>0</v>
      </c>
      <c r="AD75" s="142"/>
      <c r="AE75" s="150">
        <f t="shared" si="48"/>
        <v>0</v>
      </c>
      <c r="AF75" s="150"/>
      <c r="AG75" s="142"/>
      <c r="AH75" s="142"/>
      <c r="AI75" s="142"/>
      <c r="AJ75" s="142"/>
      <c r="AK75" s="142"/>
      <c r="AL75" s="150">
        <f t="shared" si="49"/>
        <v>0</v>
      </c>
      <c r="AM75" s="142"/>
      <c r="AN75" s="142"/>
      <c r="AO75" s="142"/>
      <c r="AP75" s="142"/>
      <c r="AQ75" s="142"/>
      <c r="AR75" s="142"/>
      <c r="AS75" s="142"/>
      <c r="AT75" s="150">
        <f t="shared" si="50"/>
        <v>0</v>
      </c>
      <c r="AU75" s="141"/>
      <c r="AV75" s="149">
        <f t="shared" si="44"/>
        <v>0</v>
      </c>
      <c r="AW75" s="149">
        <f t="shared" si="45"/>
        <v>6000</v>
      </c>
      <c r="AX75" s="145"/>
      <c r="AY75" s="149">
        <f t="shared" si="46"/>
        <v>6000</v>
      </c>
      <c r="AZ75" s="146"/>
      <c r="BA75" s="146"/>
      <c r="BB75" s="145"/>
    </row>
    <row r="76" spans="1:54" ht="14.1" customHeight="1">
      <c r="A76" s="145">
        <v>76</v>
      </c>
      <c r="B76" s="144" t="s">
        <v>325</v>
      </c>
      <c r="C76" s="144" t="s">
        <v>334</v>
      </c>
      <c r="D76" s="144"/>
      <c r="E76" s="141"/>
      <c r="F76" s="150">
        <v>47000</v>
      </c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66"/>
      <c r="AC76" s="150">
        <f t="shared" si="47"/>
        <v>3000</v>
      </c>
      <c r="AD76" s="142"/>
      <c r="AE76" s="150">
        <f t="shared" si="48"/>
        <v>0</v>
      </c>
      <c r="AF76" s="150"/>
      <c r="AG76" s="142"/>
      <c r="AH76" s="142"/>
      <c r="AI76" s="142"/>
      <c r="AJ76" s="142"/>
      <c r="AK76" s="142"/>
      <c r="AL76" s="150">
        <f t="shared" si="49"/>
        <v>2000</v>
      </c>
      <c r="AM76" s="142"/>
      <c r="AN76" s="142"/>
      <c r="AO76" s="142"/>
      <c r="AP76" s="142"/>
      <c r="AQ76" s="142"/>
      <c r="AR76" s="142"/>
      <c r="AS76" s="142"/>
      <c r="AT76" s="150">
        <f t="shared" si="50"/>
        <v>-1000</v>
      </c>
      <c r="AU76" s="141"/>
      <c r="AV76" s="149">
        <f t="shared" si="44"/>
        <v>4000</v>
      </c>
      <c r="AW76" s="149">
        <f t="shared" si="45"/>
        <v>51000</v>
      </c>
      <c r="AX76" s="145"/>
      <c r="AY76" s="149">
        <f t="shared" si="46"/>
        <v>51000</v>
      </c>
      <c r="AZ76" s="146"/>
      <c r="BA76" s="146"/>
      <c r="BB76" s="145"/>
    </row>
    <row r="77" spans="1:54" ht="14.1" customHeight="1">
      <c r="A77" s="145">
        <v>77</v>
      </c>
      <c r="B77" s="144" t="s">
        <v>326</v>
      </c>
      <c r="C77" s="144" t="s">
        <v>335</v>
      </c>
      <c r="D77" s="144"/>
      <c r="E77" s="141"/>
      <c r="F77" s="150">
        <v>357000</v>
      </c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66">
        <v>-691000</v>
      </c>
      <c r="AC77" s="150">
        <f t="shared" si="47"/>
        <v>23000</v>
      </c>
      <c r="AD77" s="142"/>
      <c r="AE77" s="150">
        <f t="shared" si="48"/>
        <v>0</v>
      </c>
      <c r="AF77" s="150"/>
      <c r="AG77" s="142"/>
      <c r="AH77" s="142"/>
      <c r="AI77" s="142"/>
      <c r="AJ77" s="142"/>
      <c r="AK77" s="142"/>
      <c r="AL77" s="150">
        <f t="shared" si="49"/>
        <v>16000</v>
      </c>
      <c r="AM77" s="142"/>
      <c r="AN77" s="142"/>
      <c r="AO77" s="142"/>
      <c r="AP77" s="142"/>
      <c r="AQ77" s="142"/>
      <c r="AR77" s="142"/>
      <c r="AS77" s="166"/>
      <c r="AT77" s="150">
        <f t="shared" si="50"/>
        <v>-5000</v>
      </c>
      <c r="AU77" s="141"/>
      <c r="AV77" s="149">
        <f t="shared" si="44"/>
        <v>-657000</v>
      </c>
      <c r="AW77" s="149">
        <f t="shared" si="45"/>
        <v>-300000</v>
      </c>
      <c r="AX77" s="145"/>
      <c r="AY77" s="149">
        <f t="shared" si="46"/>
        <v>-300000</v>
      </c>
      <c r="AZ77" s="146"/>
      <c r="BA77" s="146"/>
      <c r="BB77" s="145"/>
    </row>
    <row r="78" spans="1:54" ht="14.1" customHeight="1">
      <c r="A78" s="145">
        <v>78</v>
      </c>
      <c r="B78" s="144" t="s">
        <v>327</v>
      </c>
      <c r="C78" s="144" t="s">
        <v>336</v>
      </c>
      <c r="D78" s="144"/>
      <c r="E78" s="141"/>
      <c r="F78" s="150">
        <v>1412000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66"/>
      <c r="AC78" s="150">
        <f t="shared" si="47"/>
        <v>89000</v>
      </c>
      <c r="AD78" s="142"/>
      <c r="AE78" s="150">
        <f t="shared" si="48"/>
        <v>2000</v>
      </c>
      <c r="AF78" s="150"/>
      <c r="AG78" s="142"/>
      <c r="AH78" s="142"/>
      <c r="AI78" s="142"/>
      <c r="AJ78" s="142"/>
      <c r="AK78" s="142"/>
      <c r="AL78" s="150">
        <f t="shared" si="49"/>
        <v>63000</v>
      </c>
      <c r="AM78" s="142"/>
      <c r="AN78" s="142"/>
      <c r="AO78" s="142"/>
      <c r="AP78" s="142"/>
      <c r="AQ78" s="142"/>
      <c r="AR78" s="142"/>
      <c r="AS78" s="142"/>
      <c r="AT78" s="150">
        <f t="shared" si="50"/>
        <v>-21000</v>
      </c>
      <c r="AU78" s="141"/>
      <c r="AV78" s="149">
        <f t="shared" si="44"/>
        <v>133000</v>
      </c>
      <c r="AW78" s="149">
        <f t="shared" si="45"/>
        <v>1545000</v>
      </c>
      <c r="AX78" s="145"/>
      <c r="AY78" s="149">
        <f t="shared" si="46"/>
        <v>1545000</v>
      </c>
      <c r="AZ78" s="146"/>
      <c r="BA78" s="146"/>
      <c r="BB78" s="145"/>
    </row>
    <row r="79" spans="1:54" ht="14.1" customHeight="1">
      <c r="A79" s="145">
        <v>79</v>
      </c>
      <c r="B79" s="144" t="s">
        <v>328</v>
      </c>
      <c r="C79" s="144" t="s">
        <v>337</v>
      </c>
      <c r="D79" s="144"/>
      <c r="E79" s="141"/>
      <c r="F79" s="150">
        <v>2144000</v>
      </c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50">
        <v>0</v>
      </c>
      <c r="V79" s="463"/>
      <c r="W79" s="463"/>
      <c r="X79" s="463"/>
      <c r="Y79" s="142"/>
      <c r="Z79" s="142"/>
      <c r="AA79" s="142"/>
      <c r="AB79" s="166"/>
      <c r="AC79" s="150">
        <f t="shared" si="47"/>
        <v>135000</v>
      </c>
      <c r="AD79" s="142"/>
      <c r="AE79" s="150">
        <f t="shared" si="48"/>
        <v>3000</v>
      </c>
      <c r="AF79" s="150"/>
      <c r="AG79" s="142"/>
      <c r="AH79" s="142"/>
      <c r="AL79" s="150">
        <f t="shared" si="49"/>
        <v>96000</v>
      </c>
      <c r="AM79" s="142"/>
      <c r="AN79" s="142"/>
      <c r="AO79" s="142"/>
      <c r="AP79" s="142"/>
      <c r="AQ79" s="142"/>
      <c r="AR79" s="142"/>
      <c r="AS79" s="166"/>
      <c r="AT79" s="150">
        <f t="shared" si="50"/>
        <v>-32000</v>
      </c>
      <c r="AU79" s="141"/>
      <c r="AV79" s="149">
        <f t="shared" si="44"/>
        <v>202000</v>
      </c>
      <c r="AW79" s="149">
        <f t="shared" si="45"/>
        <v>2346000</v>
      </c>
      <c r="AX79" s="145"/>
      <c r="AY79" s="149">
        <f t="shared" si="46"/>
        <v>2346000</v>
      </c>
      <c r="AZ79" s="146"/>
      <c r="BA79" s="146"/>
      <c r="BB79" s="145"/>
    </row>
    <row r="80" spans="1:54" ht="14.1" customHeight="1">
      <c r="A80" s="145">
        <v>80</v>
      </c>
      <c r="B80" s="144" t="s">
        <v>329</v>
      </c>
      <c r="C80" s="144" t="s">
        <v>2</v>
      </c>
      <c r="D80" s="144"/>
      <c r="E80" s="141"/>
      <c r="F80" s="150">
        <v>-5000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66"/>
      <c r="AC80" s="150">
        <f t="shared" si="47"/>
        <v>0</v>
      </c>
      <c r="AD80" s="142"/>
      <c r="AE80" s="150">
        <f t="shared" si="48"/>
        <v>0</v>
      </c>
      <c r="AF80" s="150"/>
      <c r="AG80" s="142"/>
      <c r="AH80" s="142"/>
      <c r="AI80" s="142"/>
      <c r="AJ80" s="142"/>
      <c r="AK80" s="142"/>
      <c r="AL80" s="150">
        <f t="shared" si="49"/>
        <v>0</v>
      </c>
      <c r="AM80" s="142"/>
      <c r="AN80" s="142"/>
      <c r="AO80" s="142"/>
      <c r="AP80" s="142"/>
      <c r="AQ80" s="142"/>
      <c r="AR80" s="142"/>
      <c r="AS80" s="142"/>
      <c r="AT80" s="150">
        <f t="shared" si="50"/>
        <v>0</v>
      </c>
      <c r="AU80" s="141"/>
      <c r="AV80" s="149">
        <f t="shared" si="44"/>
        <v>0</v>
      </c>
      <c r="AW80" s="149">
        <f t="shared" si="45"/>
        <v>-5000</v>
      </c>
      <c r="AX80" s="145"/>
      <c r="AY80" s="149">
        <f t="shared" si="46"/>
        <v>-5000</v>
      </c>
      <c r="AZ80" s="146"/>
      <c r="BA80" s="146"/>
      <c r="BB80" s="145"/>
    </row>
    <row r="81" spans="1:54" s="154" customFormat="1" ht="14.1" customHeight="1">
      <c r="A81" s="145">
        <v>81</v>
      </c>
      <c r="B81" s="157"/>
      <c r="C81" s="157" t="s">
        <v>664</v>
      </c>
      <c r="D81" s="157"/>
      <c r="E81" s="156"/>
      <c r="F81" s="159">
        <f t="shared" ref="F81:AR81" si="51">SUM(F70:F80)</f>
        <v>8890000</v>
      </c>
      <c r="G81" s="159">
        <f t="shared" si="51"/>
        <v>0</v>
      </c>
      <c r="H81" s="159">
        <f t="shared" si="51"/>
        <v>0</v>
      </c>
      <c r="I81" s="159">
        <f t="shared" si="51"/>
        <v>0</v>
      </c>
      <c r="J81" s="159">
        <f>SUM(J70:J80)</f>
        <v>0</v>
      </c>
      <c r="K81" s="159">
        <f>SUM(K70:K80)</f>
        <v>0</v>
      </c>
      <c r="L81" s="159">
        <f t="shared" si="51"/>
        <v>0</v>
      </c>
      <c r="M81" s="159">
        <f t="shared" si="51"/>
        <v>0</v>
      </c>
      <c r="N81" s="159">
        <f t="shared" si="51"/>
        <v>0</v>
      </c>
      <c r="O81" s="159">
        <f t="shared" si="51"/>
        <v>0</v>
      </c>
      <c r="P81" s="159">
        <f>SUM(P70:P80)</f>
        <v>0</v>
      </c>
      <c r="Q81" s="159">
        <f>SUM(Q70:Q80)</f>
        <v>0</v>
      </c>
      <c r="R81" s="159">
        <f>SUM(R70:R80)</f>
        <v>0</v>
      </c>
      <c r="S81" s="159">
        <f>SUM(S70:S80)</f>
        <v>0</v>
      </c>
      <c r="T81" s="159">
        <f>SUM(T70:T80)</f>
        <v>0</v>
      </c>
      <c r="U81" s="159">
        <f t="shared" si="51"/>
        <v>-3000</v>
      </c>
      <c r="V81" s="159">
        <f t="shared" ref="V81:AB81" si="52">SUM(V70:V80)</f>
        <v>0</v>
      </c>
      <c r="W81" s="159">
        <f t="shared" si="52"/>
        <v>0</v>
      </c>
      <c r="X81" s="159">
        <f t="shared" si="52"/>
        <v>0</v>
      </c>
      <c r="Y81" s="159">
        <f t="shared" si="52"/>
        <v>0</v>
      </c>
      <c r="Z81" s="159">
        <f t="shared" si="52"/>
        <v>0</v>
      </c>
      <c r="AA81" s="159">
        <f t="shared" si="52"/>
        <v>0</v>
      </c>
      <c r="AB81" s="159">
        <f t="shared" si="52"/>
        <v>-691000</v>
      </c>
      <c r="AC81" s="159">
        <f>SUM(AC70:AC80)</f>
        <v>560000</v>
      </c>
      <c r="AD81" s="159">
        <f t="shared" si="51"/>
        <v>0</v>
      </c>
      <c r="AE81" s="159">
        <f>SUM(AE70:AE80)</f>
        <v>13000</v>
      </c>
      <c r="AF81" s="159">
        <f t="shared" ref="AF81:AH81" si="53">SUM(AF70:AF80)</f>
        <v>0</v>
      </c>
      <c r="AG81" s="159">
        <f t="shared" si="53"/>
        <v>0</v>
      </c>
      <c r="AH81" s="159">
        <f t="shared" si="53"/>
        <v>0</v>
      </c>
      <c r="AI81" s="159">
        <f>SUM(AI70:AI80)</f>
        <v>0</v>
      </c>
      <c r="AJ81" s="159">
        <f>SUM(AJ70:AJ80)</f>
        <v>0</v>
      </c>
      <c r="AK81" s="159">
        <f t="shared" si="51"/>
        <v>0</v>
      </c>
      <c r="AL81" s="159">
        <f t="shared" si="51"/>
        <v>399000</v>
      </c>
      <c r="AM81" s="159">
        <f t="shared" si="51"/>
        <v>0</v>
      </c>
      <c r="AN81" s="159">
        <f t="shared" si="51"/>
        <v>0</v>
      </c>
      <c r="AO81" s="159">
        <f t="shared" si="51"/>
        <v>0</v>
      </c>
      <c r="AP81" s="159">
        <f t="shared" si="51"/>
        <v>0</v>
      </c>
      <c r="AQ81" s="159">
        <f t="shared" si="51"/>
        <v>0</v>
      </c>
      <c r="AR81" s="159">
        <f t="shared" si="51"/>
        <v>0</v>
      </c>
      <c r="AS81" s="159">
        <f t="shared" ref="AS81:AT81" si="54">SUM(AS70:AS80)</f>
        <v>0</v>
      </c>
      <c r="AT81" s="159">
        <f t="shared" si="54"/>
        <v>-131000</v>
      </c>
      <c r="AU81" s="158"/>
      <c r="AV81" s="158">
        <f>SUM(AV70:AV80)</f>
        <v>147000</v>
      </c>
      <c r="AW81" s="158">
        <f>SUM(AW70:AW80)</f>
        <v>9037000</v>
      </c>
      <c r="AX81" s="152" t="str">
        <f>IF(ROUND(SUM(F81:AT81),0)=ROUND(AW81,0),"ok","crossfoot error")</f>
        <v>ok</v>
      </c>
      <c r="AY81" s="158"/>
      <c r="AZ81" s="146"/>
      <c r="BA81" s="146"/>
      <c r="BB81" s="152"/>
    </row>
    <row r="82" spans="1:54" ht="14.1" customHeight="1">
      <c r="A82" s="145">
        <v>82</v>
      </c>
      <c r="B82" s="144"/>
      <c r="C82" s="182" t="s">
        <v>663</v>
      </c>
      <c r="D82" s="144"/>
      <c r="E82" s="141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1"/>
      <c r="AV82" s="149"/>
      <c r="AW82" s="149"/>
      <c r="AX82" s="145"/>
      <c r="AY82" s="149"/>
      <c r="AZ82" s="146"/>
      <c r="BA82" s="146"/>
      <c r="BB82" s="145"/>
    </row>
    <row r="83" spans="1:54" ht="14.1" customHeight="1">
      <c r="A83" s="145">
        <v>83</v>
      </c>
      <c r="B83" s="144" t="s">
        <v>339</v>
      </c>
      <c r="C83" s="144" t="s">
        <v>1</v>
      </c>
      <c r="D83" s="144"/>
      <c r="E83" s="141"/>
      <c r="F83" s="150">
        <v>15000</v>
      </c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50">
        <f>ROUND(F83/($F$81+$F$92)*815000,-3)</f>
        <v>1000</v>
      </c>
      <c r="AD83" s="150"/>
      <c r="AE83" s="150">
        <f>ROUND(F83/($F$81+$F$92)*18000,-3)</f>
        <v>0</v>
      </c>
      <c r="AF83" s="150"/>
      <c r="AG83" s="142"/>
      <c r="AH83" s="142"/>
      <c r="AI83" s="142"/>
      <c r="AJ83" s="142"/>
      <c r="AK83" s="142"/>
      <c r="AL83" s="150">
        <f>ROUND(F83/($F$81+$F$92)*580000,-3)</f>
        <v>1000</v>
      </c>
      <c r="AM83" s="142"/>
      <c r="AN83" s="142"/>
      <c r="AO83" s="142"/>
      <c r="AP83" s="142"/>
      <c r="AQ83" s="142"/>
      <c r="AR83" s="142"/>
      <c r="AS83" s="142"/>
      <c r="AT83" s="150">
        <f>ROUND(F83/($F$81+$F$92)*-190000,-3)</f>
        <v>0</v>
      </c>
      <c r="AU83" s="141"/>
      <c r="AV83" s="149">
        <f t="shared" ref="AV83:AV91" si="55">SUM(G83:AT83)</f>
        <v>2000</v>
      </c>
      <c r="AW83" s="149">
        <f t="shared" ref="AW83:AW91" si="56">F83+AV83</f>
        <v>17000</v>
      </c>
      <c r="AX83" s="145"/>
      <c r="AY83" s="149">
        <f t="shared" ref="AY83:AY91" si="57">ROUND(AW83/1000,0)*1000</f>
        <v>17000</v>
      </c>
      <c r="AZ83" s="146"/>
      <c r="BA83" s="146"/>
      <c r="BB83" s="145"/>
    </row>
    <row r="84" spans="1:54" ht="14.1" customHeight="1">
      <c r="A84" s="145">
        <v>84</v>
      </c>
      <c r="B84" s="144" t="s">
        <v>341</v>
      </c>
      <c r="C84" s="144" t="s">
        <v>244</v>
      </c>
      <c r="D84" s="144"/>
      <c r="E84" s="141"/>
      <c r="F84" s="150">
        <v>982000</v>
      </c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50">
        <f t="shared" ref="AC84:AC91" si="58">ROUND(F84/($F$81+$F$92)*815000,-3)</f>
        <v>62000</v>
      </c>
      <c r="AD84" s="142"/>
      <c r="AE84" s="150">
        <f t="shared" ref="AE84:AE91" si="59">ROUND(F84/($F$81+$F$92)*18000,-3)</f>
        <v>1000</v>
      </c>
      <c r="AF84" s="150"/>
      <c r="AG84" s="142"/>
      <c r="AH84" s="142"/>
      <c r="AI84" s="142"/>
      <c r="AJ84" s="142"/>
      <c r="AK84" s="142"/>
      <c r="AL84" s="150">
        <f t="shared" ref="AL84:AL91" si="60">ROUND(F84/($F$81+$F$92)*580000,-3)</f>
        <v>44000</v>
      </c>
      <c r="AM84" s="142"/>
      <c r="AN84" s="142"/>
      <c r="AO84" s="142"/>
      <c r="AP84" s="142"/>
      <c r="AQ84" s="142"/>
      <c r="AR84" s="142"/>
      <c r="AS84" s="142"/>
      <c r="AT84" s="150">
        <f t="shared" ref="AT84:AT91" si="61">ROUND(F84/($F$81+$F$92)*-190000,-3)</f>
        <v>-14000</v>
      </c>
      <c r="AU84" s="141"/>
      <c r="AV84" s="149">
        <f t="shared" si="55"/>
        <v>93000</v>
      </c>
      <c r="AW84" s="149">
        <f t="shared" si="56"/>
        <v>1075000</v>
      </c>
      <c r="AX84" s="145"/>
      <c r="AY84" s="149">
        <f t="shared" si="57"/>
        <v>1075000</v>
      </c>
      <c r="AZ84" s="146"/>
      <c r="BA84" s="146"/>
      <c r="BB84" s="145"/>
    </row>
    <row r="85" spans="1:54" ht="14.1" customHeight="1">
      <c r="A85" s="145">
        <v>85</v>
      </c>
      <c r="B85" s="144" t="s">
        <v>662</v>
      </c>
      <c r="C85" s="144" t="s">
        <v>239</v>
      </c>
      <c r="D85" s="144"/>
      <c r="E85" s="141"/>
      <c r="F85" s="150">
        <v>0</v>
      </c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50">
        <f t="shared" si="58"/>
        <v>0</v>
      </c>
      <c r="AD85" s="142"/>
      <c r="AE85" s="150">
        <f t="shared" si="59"/>
        <v>0</v>
      </c>
      <c r="AF85" s="150"/>
      <c r="AG85" s="142"/>
      <c r="AH85" s="142"/>
      <c r="AI85" s="142"/>
      <c r="AJ85" s="142"/>
      <c r="AK85" s="142"/>
      <c r="AL85" s="150">
        <f t="shared" si="60"/>
        <v>0</v>
      </c>
      <c r="AM85" s="142"/>
      <c r="AN85" s="142"/>
      <c r="AO85" s="142"/>
      <c r="AP85" s="142"/>
      <c r="AQ85" s="142"/>
      <c r="AR85" s="142"/>
      <c r="AS85" s="142"/>
      <c r="AT85" s="150">
        <f t="shared" si="61"/>
        <v>0</v>
      </c>
      <c r="AU85" s="141"/>
      <c r="AV85" s="149">
        <f t="shared" si="55"/>
        <v>0</v>
      </c>
      <c r="AW85" s="149">
        <f t="shared" si="56"/>
        <v>0</v>
      </c>
      <c r="AX85" s="145"/>
      <c r="AY85" s="149">
        <f t="shared" si="57"/>
        <v>0</v>
      </c>
      <c r="AZ85" s="146"/>
      <c r="BA85" s="146"/>
      <c r="BB85" s="145"/>
    </row>
    <row r="86" spans="1:54" ht="14.1" customHeight="1">
      <c r="A86" s="145">
        <v>86</v>
      </c>
      <c r="B86" s="144" t="s">
        <v>342</v>
      </c>
      <c r="C86" s="144" t="s">
        <v>332</v>
      </c>
      <c r="D86" s="144"/>
      <c r="E86" s="141"/>
      <c r="F86" s="150">
        <v>212000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50">
        <f t="shared" si="58"/>
        <v>13000</v>
      </c>
      <c r="AD86" s="142"/>
      <c r="AE86" s="150">
        <f>ROUND(F86/($F$81+$F$92)*18000,-3)+1000</f>
        <v>1000</v>
      </c>
      <c r="AF86" s="150"/>
      <c r="AG86" s="142"/>
      <c r="AH86" s="142"/>
      <c r="AI86" s="142"/>
      <c r="AJ86" s="142"/>
      <c r="AK86" s="142"/>
      <c r="AL86" s="150">
        <f t="shared" si="60"/>
        <v>10000</v>
      </c>
      <c r="AM86" s="142"/>
      <c r="AN86" s="142"/>
      <c r="AO86" s="142"/>
      <c r="AP86" s="142"/>
      <c r="AQ86" s="142"/>
      <c r="AR86" s="142"/>
      <c r="AS86" s="142"/>
      <c r="AT86" s="150">
        <f t="shared" si="61"/>
        <v>-3000</v>
      </c>
      <c r="AU86" s="141"/>
      <c r="AV86" s="149">
        <f t="shared" si="55"/>
        <v>21000</v>
      </c>
      <c r="AW86" s="149">
        <f t="shared" si="56"/>
        <v>233000</v>
      </c>
      <c r="AX86" s="145"/>
      <c r="AY86" s="149">
        <f t="shared" si="57"/>
        <v>233000</v>
      </c>
      <c r="AZ86" s="146"/>
      <c r="BA86" s="146"/>
      <c r="BB86" s="145"/>
    </row>
    <row r="87" spans="1:54" ht="14.1" customHeight="1">
      <c r="A87" s="145">
        <v>87</v>
      </c>
      <c r="B87" s="144" t="s">
        <v>343</v>
      </c>
      <c r="C87" s="144" t="s">
        <v>333</v>
      </c>
      <c r="D87" s="144"/>
      <c r="E87" s="141"/>
      <c r="F87" s="150">
        <v>8000</v>
      </c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50">
        <f t="shared" si="58"/>
        <v>1000</v>
      </c>
      <c r="AD87" s="142"/>
      <c r="AE87" s="150">
        <f t="shared" si="59"/>
        <v>0</v>
      </c>
      <c r="AF87" s="150"/>
      <c r="AG87" s="142"/>
      <c r="AH87" s="142"/>
      <c r="AI87" s="142"/>
      <c r="AJ87" s="142"/>
      <c r="AK87" s="142"/>
      <c r="AL87" s="150">
        <f t="shared" si="60"/>
        <v>0</v>
      </c>
      <c r="AM87" s="142"/>
      <c r="AN87" s="142"/>
      <c r="AO87" s="142"/>
      <c r="AP87" s="142"/>
      <c r="AQ87" s="142"/>
      <c r="AR87" s="142"/>
      <c r="AS87" s="142"/>
      <c r="AT87" s="150">
        <f t="shared" si="61"/>
        <v>0</v>
      </c>
      <c r="AU87" s="141"/>
      <c r="AV87" s="149">
        <f t="shared" si="55"/>
        <v>1000</v>
      </c>
      <c r="AW87" s="149">
        <f t="shared" si="56"/>
        <v>9000</v>
      </c>
      <c r="AX87" s="145"/>
      <c r="AY87" s="149">
        <f t="shared" si="57"/>
        <v>9000</v>
      </c>
      <c r="AZ87" s="146"/>
      <c r="BA87" s="146"/>
      <c r="BB87" s="145"/>
    </row>
    <row r="88" spans="1:54" ht="14.1" customHeight="1">
      <c r="A88" s="145">
        <v>88</v>
      </c>
      <c r="B88" s="144" t="s">
        <v>344</v>
      </c>
      <c r="C88" s="144" t="s">
        <v>334</v>
      </c>
      <c r="D88" s="144"/>
      <c r="E88" s="141"/>
      <c r="F88" s="150">
        <v>83000</v>
      </c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50">
        <f t="shared" si="58"/>
        <v>5000</v>
      </c>
      <c r="AD88" s="142"/>
      <c r="AE88" s="150">
        <f t="shared" si="59"/>
        <v>0</v>
      </c>
      <c r="AF88" s="150"/>
      <c r="AG88" s="142"/>
      <c r="AH88" s="142"/>
      <c r="AI88" s="142"/>
      <c r="AJ88" s="142"/>
      <c r="AK88" s="142"/>
      <c r="AL88" s="150">
        <f t="shared" si="60"/>
        <v>4000</v>
      </c>
      <c r="AM88" s="142"/>
      <c r="AN88" s="142"/>
      <c r="AO88" s="142"/>
      <c r="AP88" s="142"/>
      <c r="AQ88" s="142"/>
      <c r="AR88" s="142"/>
      <c r="AS88" s="142"/>
      <c r="AT88" s="150">
        <f t="shared" si="61"/>
        <v>-1000</v>
      </c>
      <c r="AU88" s="141"/>
      <c r="AV88" s="149">
        <f t="shared" si="55"/>
        <v>8000</v>
      </c>
      <c r="AW88" s="149">
        <f t="shared" si="56"/>
        <v>91000</v>
      </c>
      <c r="AX88" s="145"/>
      <c r="AY88" s="149">
        <f t="shared" si="57"/>
        <v>91000</v>
      </c>
      <c r="AZ88" s="146"/>
      <c r="BA88" s="146"/>
      <c r="BB88" s="145"/>
    </row>
    <row r="89" spans="1:54" ht="14.1" customHeight="1">
      <c r="A89" s="145">
        <v>89</v>
      </c>
      <c r="B89" s="144" t="s">
        <v>345</v>
      </c>
      <c r="C89" s="144" t="s">
        <v>91</v>
      </c>
      <c r="D89" s="144"/>
      <c r="E89" s="141"/>
      <c r="F89" s="150">
        <v>1074000</v>
      </c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66">
        <v>-2000</v>
      </c>
      <c r="V89" s="142"/>
      <c r="W89" s="142"/>
      <c r="X89" s="142"/>
      <c r="Y89" s="142"/>
      <c r="Z89" s="142"/>
      <c r="AA89" s="142"/>
      <c r="AB89" s="142"/>
      <c r="AC89" s="150">
        <f t="shared" si="58"/>
        <v>68000</v>
      </c>
      <c r="AD89" s="142"/>
      <c r="AE89" s="150">
        <f t="shared" si="59"/>
        <v>1000</v>
      </c>
      <c r="AF89" s="150"/>
      <c r="AG89" s="142"/>
      <c r="AH89" s="142"/>
      <c r="AI89" s="142"/>
      <c r="AJ89" s="142"/>
      <c r="AK89" s="142"/>
      <c r="AL89" s="150">
        <f t="shared" si="60"/>
        <v>48000</v>
      </c>
      <c r="AM89" s="142"/>
      <c r="AN89" s="142"/>
      <c r="AO89" s="142"/>
      <c r="AP89" s="142"/>
      <c r="AQ89" s="142"/>
      <c r="AR89" s="142"/>
      <c r="AS89" s="142"/>
      <c r="AT89" s="150">
        <f t="shared" si="61"/>
        <v>-16000</v>
      </c>
      <c r="AU89" s="141"/>
      <c r="AV89" s="149">
        <f t="shared" si="55"/>
        <v>99000</v>
      </c>
      <c r="AW89" s="149">
        <f t="shared" si="56"/>
        <v>1173000</v>
      </c>
      <c r="AX89" s="145"/>
      <c r="AY89" s="149">
        <f>ROUND(AW89/1000,0)*1000-1000</f>
        <v>1172000</v>
      </c>
      <c r="AZ89" s="146"/>
      <c r="BA89" s="146"/>
      <c r="BB89" s="145"/>
    </row>
    <row r="90" spans="1:54" ht="14.1" customHeight="1">
      <c r="A90" s="145">
        <v>90</v>
      </c>
      <c r="B90" s="144" t="s">
        <v>346</v>
      </c>
      <c r="C90" s="144" t="s">
        <v>338</v>
      </c>
      <c r="D90" s="144"/>
      <c r="E90" s="141"/>
      <c r="F90" s="150">
        <v>1531000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463"/>
      <c r="W90" s="463"/>
      <c r="X90" s="463"/>
      <c r="Y90" s="142"/>
      <c r="Z90" s="142"/>
      <c r="AA90" s="142"/>
      <c r="AB90" s="142"/>
      <c r="AC90" s="150">
        <f t="shared" si="58"/>
        <v>97000</v>
      </c>
      <c r="AD90" s="142"/>
      <c r="AE90" s="150">
        <f t="shared" si="59"/>
        <v>2000</v>
      </c>
      <c r="AF90" s="150"/>
      <c r="AG90" s="142"/>
      <c r="AH90" s="142"/>
      <c r="AI90" s="142"/>
      <c r="AJ90" s="142"/>
      <c r="AK90" s="142"/>
      <c r="AL90" s="150">
        <f t="shared" si="60"/>
        <v>69000</v>
      </c>
      <c r="AM90" s="142"/>
      <c r="AN90" s="142"/>
      <c r="AO90" s="142"/>
      <c r="AP90" s="142"/>
      <c r="AQ90" s="142"/>
      <c r="AR90" s="142"/>
      <c r="AS90" s="142"/>
      <c r="AT90" s="150">
        <f t="shared" si="61"/>
        <v>-23000</v>
      </c>
      <c r="AU90" s="141"/>
      <c r="AV90" s="149">
        <f t="shared" si="55"/>
        <v>145000</v>
      </c>
      <c r="AW90" s="149">
        <f t="shared" si="56"/>
        <v>1676000</v>
      </c>
      <c r="AX90" s="145"/>
      <c r="AY90" s="149">
        <f t="shared" si="57"/>
        <v>1676000</v>
      </c>
      <c r="AZ90" s="146"/>
      <c r="BA90" s="146"/>
      <c r="BB90" s="145"/>
    </row>
    <row r="91" spans="1:54" ht="14.1" customHeight="1">
      <c r="A91" s="145">
        <v>91</v>
      </c>
      <c r="B91" s="144" t="s">
        <v>347</v>
      </c>
      <c r="C91" s="144" t="s">
        <v>242</v>
      </c>
      <c r="D91" s="144"/>
      <c r="E91" s="141"/>
      <c r="F91" s="150">
        <v>121000</v>
      </c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50">
        <f t="shared" si="58"/>
        <v>8000</v>
      </c>
      <c r="AD91" s="142"/>
      <c r="AE91" s="150">
        <f t="shared" si="59"/>
        <v>0</v>
      </c>
      <c r="AF91" s="150"/>
      <c r="AG91" s="142"/>
      <c r="AH91" s="142"/>
      <c r="AI91" s="142"/>
      <c r="AJ91" s="142"/>
      <c r="AK91" s="142"/>
      <c r="AL91" s="150">
        <f t="shared" si="60"/>
        <v>5000</v>
      </c>
      <c r="AM91" s="142"/>
      <c r="AN91" s="142"/>
      <c r="AO91" s="142"/>
      <c r="AP91" s="142"/>
      <c r="AQ91" s="142"/>
      <c r="AR91" s="142"/>
      <c r="AS91" s="142"/>
      <c r="AT91" s="150">
        <f t="shared" si="61"/>
        <v>-2000</v>
      </c>
      <c r="AU91" s="141"/>
      <c r="AV91" s="149">
        <f t="shared" si="55"/>
        <v>11000</v>
      </c>
      <c r="AW91" s="149">
        <f t="shared" si="56"/>
        <v>132000</v>
      </c>
      <c r="AX91" s="145"/>
      <c r="AY91" s="149">
        <f t="shared" si="57"/>
        <v>132000</v>
      </c>
      <c r="AZ91" s="146"/>
      <c r="BA91" s="146"/>
      <c r="BB91" s="145"/>
    </row>
    <row r="92" spans="1:54" s="154" customFormat="1" ht="14.1" customHeight="1">
      <c r="A92" s="145">
        <v>92</v>
      </c>
      <c r="B92" s="157"/>
      <c r="C92" s="157" t="s">
        <v>661</v>
      </c>
      <c r="D92" s="157"/>
      <c r="E92" s="156"/>
      <c r="F92" s="159">
        <f t="shared" ref="F92:U92" si="62">SUM(F83:F87)+ SUM(F88:F91)</f>
        <v>4026000</v>
      </c>
      <c r="G92" s="159">
        <f t="shared" si="62"/>
        <v>0</v>
      </c>
      <c r="H92" s="159">
        <f t="shared" si="62"/>
        <v>0</v>
      </c>
      <c r="I92" s="159">
        <f t="shared" si="62"/>
        <v>0</v>
      </c>
      <c r="J92" s="159">
        <f>SUM(J83:J87)+ SUM(J88:J91)</f>
        <v>0</v>
      </c>
      <c r="K92" s="159">
        <f>SUM(K83:K87)+ SUM(K88:K91)</f>
        <v>0</v>
      </c>
      <c r="L92" s="159">
        <f t="shared" si="62"/>
        <v>0</v>
      </c>
      <c r="M92" s="159">
        <f t="shared" si="62"/>
        <v>0</v>
      </c>
      <c r="N92" s="159">
        <f t="shared" si="62"/>
        <v>0</v>
      </c>
      <c r="O92" s="159">
        <f t="shared" si="62"/>
        <v>0</v>
      </c>
      <c r="P92" s="159">
        <f>SUM(P83:P87)+ SUM(P88:P91)</f>
        <v>0</v>
      </c>
      <c r="Q92" s="159">
        <f>SUM(Q83:Q87)+ SUM(Q88:Q91)</f>
        <v>0</v>
      </c>
      <c r="R92" s="159">
        <f>SUM(R83:R87)+ SUM(R88:R91)</f>
        <v>0</v>
      </c>
      <c r="S92" s="159">
        <f>SUM(S83:S87)+ SUM(S88:S91)</f>
        <v>0</v>
      </c>
      <c r="T92" s="159">
        <f>SUM(T83:T87)+ SUM(T88:T91)</f>
        <v>0</v>
      </c>
      <c r="U92" s="159">
        <f t="shared" si="62"/>
        <v>-2000</v>
      </c>
      <c r="V92" s="159">
        <f t="shared" ref="V92:AA92" si="63">SUM(V83:V87)+ SUM(V88:V91)</f>
        <v>0</v>
      </c>
      <c r="W92" s="159">
        <f t="shared" si="63"/>
        <v>0</v>
      </c>
      <c r="X92" s="159">
        <f t="shared" si="63"/>
        <v>0</v>
      </c>
      <c r="Y92" s="159">
        <f t="shared" si="63"/>
        <v>0</v>
      </c>
      <c r="Z92" s="159">
        <f t="shared" si="63"/>
        <v>0</v>
      </c>
      <c r="AA92" s="159">
        <f t="shared" si="63"/>
        <v>0</v>
      </c>
      <c r="AB92" s="159">
        <f t="shared" ref="AB92" si="64">SUM(AB83:AB87)+ SUM(AB88:AB91)</f>
        <v>0</v>
      </c>
      <c r="AC92" s="159">
        <f>SUM(AC83:AC91)</f>
        <v>255000</v>
      </c>
      <c r="AD92" s="159">
        <f t="shared" ref="AD92:AR92" si="65">SUM(AD83:AD87)+ SUM(AD88:AD91)</f>
        <v>0</v>
      </c>
      <c r="AE92" s="159">
        <f t="shared" si="65"/>
        <v>5000</v>
      </c>
      <c r="AF92" s="159">
        <f t="shared" si="65"/>
        <v>0</v>
      </c>
      <c r="AG92" s="159">
        <f t="shared" si="65"/>
        <v>0</v>
      </c>
      <c r="AH92" s="159">
        <f t="shared" si="65"/>
        <v>0</v>
      </c>
      <c r="AI92" s="159">
        <f>SUM(AI83:AI87)+ SUM(AI88:AI91)</f>
        <v>0</v>
      </c>
      <c r="AJ92" s="159">
        <f>SUM(AJ83:AJ87)+ SUM(AJ88:AJ91)</f>
        <v>0</v>
      </c>
      <c r="AK92" s="159">
        <f t="shared" si="65"/>
        <v>0</v>
      </c>
      <c r="AL92" s="159">
        <f t="shared" si="65"/>
        <v>181000</v>
      </c>
      <c r="AM92" s="159">
        <f t="shared" si="65"/>
        <v>0</v>
      </c>
      <c r="AN92" s="159">
        <f t="shared" si="65"/>
        <v>0</v>
      </c>
      <c r="AO92" s="159">
        <f t="shared" si="65"/>
        <v>0</v>
      </c>
      <c r="AP92" s="159">
        <f t="shared" si="65"/>
        <v>0</v>
      </c>
      <c r="AQ92" s="159">
        <f t="shared" si="65"/>
        <v>0</v>
      </c>
      <c r="AR92" s="159">
        <f t="shared" si="65"/>
        <v>0</v>
      </c>
      <c r="AS92" s="159">
        <f t="shared" ref="AS92:AT92" si="66">SUM(AS83:AS87)+ SUM(AS88:AS91)</f>
        <v>0</v>
      </c>
      <c r="AT92" s="159">
        <f t="shared" si="66"/>
        <v>-59000</v>
      </c>
      <c r="AU92" s="158"/>
      <c r="AV92" s="158">
        <f>SUM(AV83:AV87)+ SUM(AV88:AV91)</f>
        <v>380000</v>
      </c>
      <c r="AW92" s="158">
        <f>SUM(AW83:AW87)+ SUM(AW88:AW91)</f>
        <v>4406000</v>
      </c>
      <c r="AX92" s="152" t="str">
        <f>IF(ROUND(SUM(F92:AT92),0)=ROUND(AW92,0),"ok","crossfoot error")</f>
        <v>ok</v>
      </c>
      <c r="AY92" s="158"/>
      <c r="AZ92" s="146"/>
      <c r="BA92" s="146"/>
      <c r="BB92" s="152"/>
    </row>
    <row r="93" spans="1:54" ht="14.1" customHeight="1">
      <c r="A93" s="145">
        <v>93</v>
      </c>
      <c r="B93" s="144"/>
      <c r="C93" s="144"/>
      <c r="D93" s="144"/>
      <c r="E93" s="141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1"/>
      <c r="AV93" s="191"/>
      <c r="AW93" s="191"/>
      <c r="AX93" s="145"/>
      <c r="AY93" s="191"/>
      <c r="AZ93" s="146"/>
      <c r="BA93" s="146"/>
      <c r="BB93" s="145"/>
    </row>
    <row r="94" spans="1:54" s="154" customFormat="1" ht="14.1" customHeight="1">
      <c r="A94" s="145">
        <v>94</v>
      </c>
      <c r="B94" s="157"/>
      <c r="C94" s="157" t="s">
        <v>660</v>
      </c>
      <c r="D94" s="157"/>
      <c r="E94" s="156"/>
      <c r="F94" s="190">
        <f t="shared" ref="F94:U94" si="67">F81+F92</f>
        <v>12916000</v>
      </c>
      <c r="G94" s="190">
        <f t="shared" si="67"/>
        <v>0</v>
      </c>
      <c r="H94" s="190">
        <f t="shared" si="67"/>
        <v>0</v>
      </c>
      <c r="I94" s="190">
        <f t="shared" si="67"/>
        <v>0</v>
      </c>
      <c r="J94" s="190">
        <f t="shared" si="67"/>
        <v>0</v>
      </c>
      <c r="K94" s="190">
        <f t="shared" si="67"/>
        <v>0</v>
      </c>
      <c r="L94" s="190">
        <f t="shared" si="67"/>
        <v>0</v>
      </c>
      <c r="M94" s="190">
        <f t="shared" si="67"/>
        <v>0</v>
      </c>
      <c r="N94" s="190">
        <f t="shared" si="67"/>
        <v>0</v>
      </c>
      <c r="O94" s="190">
        <f t="shared" si="67"/>
        <v>0</v>
      </c>
      <c r="P94" s="190">
        <f t="shared" si="67"/>
        <v>0</v>
      </c>
      <c r="Q94" s="190">
        <f t="shared" si="67"/>
        <v>0</v>
      </c>
      <c r="R94" s="190">
        <f t="shared" si="67"/>
        <v>0</v>
      </c>
      <c r="S94" s="190">
        <f t="shared" si="67"/>
        <v>0</v>
      </c>
      <c r="T94" s="190">
        <f t="shared" si="67"/>
        <v>0</v>
      </c>
      <c r="U94" s="190">
        <f t="shared" si="67"/>
        <v>-5000</v>
      </c>
      <c r="V94" s="190">
        <f t="shared" ref="V94:AA94" si="68">V81+V92</f>
        <v>0</v>
      </c>
      <c r="W94" s="190">
        <f t="shared" si="68"/>
        <v>0</v>
      </c>
      <c r="X94" s="190">
        <f t="shared" si="68"/>
        <v>0</v>
      </c>
      <c r="Y94" s="190">
        <f t="shared" si="68"/>
        <v>0</v>
      </c>
      <c r="Z94" s="190">
        <f t="shared" si="68"/>
        <v>0</v>
      </c>
      <c r="AA94" s="190">
        <f t="shared" si="68"/>
        <v>0</v>
      </c>
      <c r="AB94" s="190">
        <f t="shared" ref="AB94" si="69">AB81+AB92</f>
        <v>-691000</v>
      </c>
      <c r="AC94" s="190">
        <f>AC81+AC92</f>
        <v>815000</v>
      </c>
      <c r="AD94" s="190">
        <f t="shared" ref="AD94:AT94" si="70">AD81+AD92</f>
        <v>0</v>
      </c>
      <c r="AE94" s="190">
        <f>AE81+AE92</f>
        <v>18000</v>
      </c>
      <c r="AF94" s="190">
        <f t="shared" si="70"/>
        <v>0</v>
      </c>
      <c r="AG94" s="190">
        <f t="shared" si="70"/>
        <v>0</v>
      </c>
      <c r="AH94" s="190">
        <f t="shared" si="70"/>
        <v>0</v>
      </c>
      <c r="AI94" s="190">
        <f>AI81+AI92</f>
        <v>0</v>
      </c>
      <c r="AJ94" s="190">
        <f>AJ81+AJ92</f>
        <v>0</v>
      </c>
      <c r="AK94" s="190">
        <f t="shared" si="70"/>
        <v>0</v>
      </c>
      <c r="AL94" s="190">
        <f t="shared" si="70"/>
        <v>580000</v>
      </c>
      <c r="AM94" s="190">
        <f t="shared" si="70"/>
        <v>0</v>
      </c>
      <c r="AN94" s="190">
        <f t="shared" si="70"/>
        <v>0</v>
      </c>
      <c r="AO94" s="190">
        <f t="shared" si="70"/>
        <v>0</v>
      </c>
      <c r="AP94" s="190">
        <f t="shared" si="70"/>
        <v>0</v>
      </c>
      <c r="AQ94" s="190">
        <f t="shared" si="70"/>
        <v>0</v>
      </c>
      <c r="AR94" s="190">
        <f t="shared" si="70"/>
        <v>0</v>
      </c>
      <c r="AS94" s="190">
        <f t="shared" si="70"/>
        <v>0</v>
      </c>
      <c r="AT94" s="190">
        <f t="shared" si="70"/>
        <v>-190000</v>
      </c>
      <c r="AU94" s="189"/>
      <c r="AV94" s="189">
        <f>AV81+AV92</f>
        <v>527000</v>
      </c>
      <c r="AW94" s="189">
        <f>AW81+AW92</f>
        <v>13443000</v>
      </c>
      <c r="AX94" s="152" t="str">
        <f>IF(ROUND(SUM(F94:AT94),0)=ROUND(AW94,0),"ok","crossfoot error")</f>
        <v>ok</v>
      </c>
      <c r="AY94" s="189">
        <f>SUM(AY70:AY91)/1000</f>
        <v>13443</v>
      </c>
      <c r="AZ94" s="147">
        <v>13443.555</v>
      </c>
      <c r="BA94" s="146">
        <f>AY94-AZ94</f>
        <v>-0.55500000000029104</v>
      </c>
      <c r="BB94" s="152"/>
    </row>
    <row r="95" spans="1:54" ht="14.1" customHeight="1">
      <c r="A95" s="145">
        <v>95</v>
      </c>
      <c r="B95" s="144"/>
      <c r="C95" s="144"/>
      <c r="D95" s="144"/>
      <c r="E95" s="141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1"/>
      <c r="AV95" s="149"/>
      <c r="AW95" s="149"/>
      <c r="AX95" s="145"/>
      <c r="AY95" s="149"/>
      <c r="AZ95" s="146"/>
      <c r="BA95" s="146"/>
      <c r="BB95" s="145"/>
    </row>
    <row r="96" spans="1:54" ht="14.1" customHeight="1">
      <c r="A96" s="145">
        <v>96</v>
      </c>
      <c r="B96" s="144"/>
      <c r="C96" s="157" t="s">
        <v>11</v>
      </c>
      <c r="D96" s="144"/>
      <c r="E96" s="141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1"/>
      <c r="AV96" s="149"/>
      <c r="AW96" s="149"/>
      <c r="AX96" s="145"/>
      <c r="AY96" s="149"/>
      <c r="AZ96" s="146"/>
      <c r="BA96" s="146"/>
      <c r="BB96" s="145"/>
    </row>
    <row r="97" spans="1:54" ht="14.1" customHeight="1">
      <c r="A97" s="145">
        <v>97</v>
      </c>
      <c r="B97" s="144" t="s">
        <v>12</v>
      </c>
      <c r="C97" s="144" t="s">
        <v>13</v>
      </c>
      <c r="D97" s="144"/>
      <c r="E97" s="141"/>
      <c r="F97" s="150">
        <v>56000</v>
      </c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50">
        <f>ROUND((F97/$F$102)*274000,-3)</f>
        <v>4000</v>
      </c>
      <c r="AD97" s="150"/>
      <c r="AE97" s="150">
        <f>ROUND((F97/$F$102)*6000,-3)</f>
        <v>0</v>
      </c>
      <c r="AF97" s="150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1"/>
      <c r="AV97" s="149">
        <f>SUM(G97:AT97)</f>
        <v>4000</v>
      </c>
      <c r="AW97" s="149">
        <f>F97+AV97</f>
        <v>60000</v>
      </c>
      <c r="AX97" s="145"/>
      <c r="AY97" s="149">
        <f>ROUND(AW97/1000,0)*1000</f>
        <v>60000</v>
      </c>
      <c r="AZ97" s="146"/>
      <c r="BA97" s="146"/>
      <c r="BB97" s="145"/>
    </row>
    <row r="98" spans="1:54" ht="14.1" customHeight="1">
      <c r="A98" s="145">
        <v>98</v>
      </c>
      <c r="B98" s="144" t="s">
        <v>14</v>
      </c>
      <c r="C98" s="144" t="s">
        <v>15</v>
      </c>
      <c r="D98" s="144"/>
      <c r="E98" s="141"/>
      <c r="F98" s="150">
        <v>334000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50">
        <f t="shared" ref="AC98:AC101" si="71">ROUND((F98/$F$102)*274000,-3)</f>
        <v>23000</v>
      </c>
      <c r="AD98" s="142"/>
      <c r="AE98" s="150">
        <f t="shared" ref="AE98:AE101" si="72">ROUND((F98/$F$102)*6000,-3)</f>
        <v>1000</v>
      </c>
      <c r="AF98" s="150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1"/>
      <c r="AV98" s="149">
        <f>SUM(G98:AT98)</f>
        <v>24000</v>
      </c>
      <c r="AW98" s="149">
        <f>F98+AV98</f>
        <v>358000</v>
      </c>
      <c r="AX98" s="145"/>
      <c r="AY98" s="149">
        <f>ROUND(AW98/1000,0)*1000</f>
        <v>358000</v>
      </c>
      <c r="AZ98" s="146"/>
      <c r="BA98" s="146"/>
      <c r="BB98" s="145"/>
    </row>
    <row r="99" spans="1:54" ht="14.1" customHeight="1">
      <c r="A99" s="145">
        <v>99</v>
      </c>
      <c r="B99" s="144" t="s">
        <v>16</v>
      </c>
      <c r="C99" s="144" t="s">
        <v>348</v>
      </c>
      <c r="D99" s="144"/>
      <c r="E99" s="141"/>
      <c r="F99" s="150">
        <v>3432000</v>
      </c>
      <c r="G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66"/>
      <c r="V99" s="463"/>
      <c r="W99" s="463"/>
      <c r="X99" s="463"/>
      <c r="Y99" s="150"/>
      <c r="Z99" s="150"/>
      <c r="AA99" s="150"/>
      <c r="AB99" s="150"/>
      <c r="AC99" s="150">
        <f>ROUND((F99/$F$102)*274000,-3)-1000</f>
        <v>235000</v>
      </c>
      <c r="AD99" s="142"/>
      <c r="AE99" s="150">
        <f t="shared" si="72"/>
        <v>5000</v>
      </c>
      <c r="AF99" s="150"/>
      <c r="AG99" s="142"/>
      <c r="AH99" s="142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41"/>
      <c r="AV99" s="149">
        <f>SUM(G99:AT99)</f>
        <v>240000</v>
      </c>
      <c r="AW99" s="149">
        <f>F99+AV99</f>
        <v>3672000</v>
      </c>
      <c r="AX99" s="145"/>
      <c r="AY99" s="149">
        <f>ROUND(AW99/1000,0)*1000</f>
        <v>3672000</v>
      </c>
      <c r="AZ99" s="146"/>
      <c r="BA99" s="146"/>
      <c r="BB99" s="145"/>
    </row>
    <row r="100" spans="1:54" ht="14.1" customHeight="1">
      <c r="A100" s="145">
        <v>100</v>
      </c>
      <c r="B100" s="144" t="s">
        <v>17</v>
      </c>
      <c r="C100" s="144" t="s">
        <v>18</v>
      </c>
      <c r="D100" s="144"/>
      <c r="E100" s="141"/>
      <c r="F100" s="150">
        <v>16000</v>
      </c>
      <c r="G100" s="142"/>
      <c r="H100" s="142"/>
      <c r="I100" s="142"/>
      <c r="J100" s="142"/>
      <c r="K100" s="142"/>
      <c r="L100" s="150">
        <v>927000</v>
      </c>
      <c r="M100" s="142"/>
      <c r="N100" s="142"/>
      <c r="O100" s="142"/>
      <c r="P100" s="142"/>
      <c r="Q100" s="142"/>
      <c r="R100" s="142"/>
      <c r="S100" s="150">
        <v>0</v>
      </c>
      <c r="T100" s="150">
        <v>-132000</v>
      </c>
      <c r="U100" s="142"/>
      <c r="V100" s="166"/>
      <c r="W100" s="166"/>
      <c r="X100" s="166"/>
      <c r="Y100" s="166">
        <v>-443000</v>
      </c>
      <c r="Z100" s="166"/>
      <c r="AA100" s="166"/>
      <c r="AB100" s="166"/>
      <c r="AC100" s="150">
        <f t="shared" si="71"/>
        <v>1000</v>
      </c>
      <c r="AD100" s="142"/>
      <c r="AE100" s="150">
        <f t="shared" si="72"/>
        <v>0</v>
      </c>
      <c r="AF100" s="150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1"/>
      <c r="AV100" s="149">
        <f>SUM(G100:AT100)</f>
        <v>353000</v>
      </c>
      <c r="AW100" s="149">
        <f>F100+AV100</f>
        <v>369000</v>
      </c>
      <c r="AX100" s="145"/>
      <c r="AY100" s="149">
        <f>ROUND(AW100/1000,0)*1000</f>
        <v>369000</v>
      </c>
      <c r="AZ100" s="146"/>
      <c r="BA100" s="146"/>
      <c r="BB100" s="145"/>
    </row>
    <row r="101" spans="1:54" ht="14.1" customHeight="1">
      <c r="A101" s="145">
        <v>101</v>
      </c>
      <c r="B101" s="144" t="s">
        <v>19</v>
      </c>
      <c r="C101" s="144" t="s">
        <v>20</v>
      </c>
      <c r="D101" s="144"/>
      <c r="E101" s="141"/>
      <c r="F101" s="150">
        <v>155000</v>
      </c>
      <c r="G101" s="142"/>
      <c r="H101" s="166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50">
        <f t="shared" si="71"/>
        <v>11000</v>
      </c>
      <c r="AD101" s="142"/>
      <c r="AE101" s="150">
        <f t="shared" si="72"/>
        <v>0</v>
      </c>
      <c r="AF101" s="150"/>
      <c r="AG101" s="166">
        <v>0</v>
      </c>
      <c r="AH101" s="166"/>
      <c r="AI101" s="142"/>
      <c r="AJ101" s="142"/>
      <c r="AK101" s="142"/>
      <c r="AL101" s="166">
        <v>184000</v>
      </c>
      <c r="AM101" s="142"/>
      <c r="AN101" s="142"/>
      <c r="AO101" s="142"/>
      <c r="AP101" s="142"/>
      <c r="AQ101" s="142"/>
      <c r="AR101" s="142"/>
      <c r="AS101" s="142"/>
      <c r="AT101" s="142"/>
      <c r="AU101" s="141"/>
      <c r="AV101" s="149">
        <f>SUM(G101:AT101)</f>
        <v>195000</v>
      </c>
      <c r="AW101" s="149">
        <f>F101+AV101</f>
        <v>350000</v>
      </c>
      <c r="AX101" s="145"/>
      <c r="AY101" s="149">
        <f>ROUND(AW101/1000,0)*1000</f>
        <v>350000</v>
      </c>
      <c r="AZ101" s="146"/>
      <c r="BA101" s="146"/>
      <c r="BB101" s="145"/>
    </row>
    <row r="102" spans="1:54" s="154" customFormat="1" ht="14.1" customHeight="1">
      <c r="A102" s="145">
        <v>102</v>
      </c>
      <c r="B102" s="157"/>
      <c r="C102" s="157" t="s">
        <v>21</v>
      </c>
      <c r="D102" s="157"/>
      <c r="E102" s="156"/>
      <c r="F102" s="159">
        <f t="shared" ref="F102:AR102" si="73">SUM(F97:F101)</f>
        <v>3993000</v>
      </c>
      <c r="G102" s="159">
        <f t="shared" si="73"/>
        <v>0</v>
      </c>
      <c r="H102" s="159">
        <f t="shared" si="73"/>
        <v>0</v>
      </c>
      <c r="I102" s="159">
        <f t="shared" si="73"/>
        <v>0</v>
      </c>
      <c r="J102" s="159">
        <f>SUM(J97:J101)</f>
        <v>0</v>
      </c>
      <c r="K102" s="159">
        <f>SUM(K97:K101)</f>
        <v>0</v>
      </c>
      <c r="L102" s="159">
        <f t="shared" si="73"/>
        <v>927000</v>
      </c>
      <c r="M102" s="159">
        <f t="shared" si="73"/>
        <v>0</v>
      </c>
      <c r="N102" s="159">
        <f t="shared" si="73"/>
        <v>0</v>
      </c>
      <c r="O102" s="159">
        <f t="shared" si="73"/>
        <v>0</v>
      </c>
      <c r="P102" s="159">
        <f>SUM(P97:P101)</f>
        <v>0</v>
      </c>
      <c r="Q102" s="159">
        <f>SUM(Q97:Q101)</f>
        <v>0</v>
      </c>
      <c r="R102" s="159">
        <f>SUM(R97:R101)</f>
        <v>0</v>
      </c>
      <c r="S102" s="159">
        <f>SUM(S97:S101)</f>
        <v>0</v>
      </c>
      <c r="T102" s="159">
        <f>SUM(T97:T101)</f>
        <v>-132000</v>
      </c>
      <c r="U102" s="159">
        <f t="shared" si="73"/>
        <v>0</v>
      </c>
      <c r="V102" s="159">
        <f t="shared" ref="V102:AB102" si="74">SUM(V97:V101)</f>
        <v>0</v>
      </c>
      <c r="W102" s="159">
        <f t="shared" si="74"/>
        <v>0</v>
      </c>
      <c r="X102" s="159">
        <f t="shared" si="74"/>
        <v>0</v>
      </c>
      <c r="Y102" s="159">
        <f t="shared" si="74"/>
        <v>-443000</v>
      </c>
      <c r="Z102" s="159">
        <f t="shared" si="74"/>
        <v>0</v>
      </c>
      <c r="AA102" s="159">
        <f t="shared" si="74"/>
        <v>0</v>
      </c>
      <c r="AB102" s="159">
        <f t="shared" si="74"/>
        <v>0</v>
      </c>
      <c r="AC102" s="159">
        <f t="shared" si="73"/>
        <v>274000</v>
      </c>
      <c r="AD102" s="159">
        <f t="shared" si="73"/>
        <v>0</v>
      </c>
      <c r="AE102" s="159">
        <f t="shared" si="73"/>
        <v>6000</v>
      </c>
      <c r="AF102" s="159">
        <f t="shared" si="73"/>
        <v>0</v>
      </c>
      <c r="AG102" s="159">
        <f t="shared" si="73"/>
        <v>0</v>
      </c>
      <c r="AH102" s="159">
        <f t="shared" si="73"/>
        <v>0</v>
      </c>
      <c r="AI102" s="159">
        <f>SUM(AI97:AI101)</f>
        <v>0</v>
      </c>
      <c r="AJ102" s="159">
        <f>SUM(AJ97:AJ101)</f>
        <v>0</v>
      </c>
      <c r="AK102" s="159">
        <f t="shared" si="73"/>
        <v>0</v>
      </c>
      <c r="AL102" s="159">
        <f t="shared" si="73"/>
        <v>184000</v>
      </c>
      <c r="AM102" s="159">
        <f t="shared" si="73"/>
        <v>0</v>
      </c>
      <c r="AN102" s="159">
        <f t="shared" si="73"/>
        <v>0</v>
      </c>
      <c r="AO102" s="159">
        <f t="shared" si="73"/>
        <v>0</v>
      </c>
      <c r="AP102" s="159">
        <f t="shared" si="73"/>
        <v>0</v>
      </c>
      <c r="AQ102" s="159">
        <f t="shared" si="73"/>
        <v>0</v>
      </c>
      <c r="AR102" s="159">
        <f t="shared" si="73"/>
        <v>0</v>
      </c>
      <c r="AS102" s="159">
        <f t="shared" ref="AS102:AT102" si="75">SUM(AS97:AS101)</f>
        <v>0</v>
      </c>
      <c r="AT102" s="159">
        <f t="shared" si="75"/>
        <v>0</v>
      </c>
      <c r="AU102" s="158"/>
      <c r="AV102" s="158">
        <f>SUM(AV97:AV101)</f>
        <v>816000</v>
      </c>
      <c r="AW102" s="158">
        <f>SUM(AW97:AW101)</f>
        <v>4809000</v>
      </c>
      <c r="AX102" s="152" t="str">
        <f>IF(ROUND(SUM(F102:AT102),0)=ROUND(AW102,0),"ok","crossfoot error")</f>
        <v>ok</v>
      </c>
      <c r="AY102" s="158">
        <f>SUM(AY97:AY101)/1000</f>
        <v>4809</v>
      </c>
      <c r="AZ102" s="147">
        <v>4808.5339999999997</v>
      </c>
      <c r="BA102" s="146">
        <f>AY102-AZ102</f>
        <v>0.46600000000034925</v>
      </c>
      <c r="BB102" s="152"/>
    </row>
    <row r="103" spans="1:54" ht="14.1" customHeight="1">
      <c r="A103" s="145">
        <v>103</v>
      </c>
      <c r="B103" s="144"/>
      <c r="C103" s="144"/>
      <c r="D103" s="144"/>
      <c r="E103" s="141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1"/>
      <c r="AV103" s="149"/>
      <c r="AW103" s="149"/>
      <c r="AX103" s="145"/>
      <c r="AY103" s="149"/>
      <c r="AZ103" s="146"/>
      <c r="BA103" s="146"/>
      <c r="BB103" s="145"/>
    </row>
    <row r="104" spans="1:54" ht="14.1" customHeight="1">
      <c r="A104" s="145">
        <v>104</v>
      </c>
      <c r="B104" s="144"/>
      <c r="C104" s="157" t="s">
        <v>659</v>
      </c>
      <c r="D104" s="144"/>
      <c r="E104" s="141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1"/>
      <c r="AV104" s="149"/>
      <c r="AW104" s="149"/>
      <c r="AX104" s="145"/>
      <c r="AY104" s="149"/>
      <c r="AZ104" s="146"/>
      <c r="BA104" s="146"/>
      <c r="BB104" s="145"/>
    </row>
    <row r="105" spans="1:54" ht="14.1" customHeight="1">
      <c r="A105" s="145">
        <v>105</v>
      </c>
      <c r="B105" s="144" t="s">
        <v>23</v>
      </c>
      <c r="C105" s="144" t="s">
        <v>13</v>
      </c>
      <c r="D105" s="144"/>
      <c r="E105" s="141"/>
      <c r="F105" s="150">
        <v>0</v>
      </c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66">
        <v>0</v>
      </c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1"/>
      <c r="AV105" s="149">
        <f>SUM(G105:AT105)</f>
        <v>0</v>
      </c>
      <c r="AW105" s="149">
        <f>F105+AV105</f>
        <v>0</v>
      </c>
      <c r="AX105" s="145"/>
      <c r="AY105" s="149">
        <f>ROUND(AW105/1000,0)*1000</f>
        <v>0</v>
      </c>
      <c r="AZ105" s="146"/>
      <c r="BA105" s="146"/>
      <c r="BB105" s="145"/>
    </row>
    <row r="106" spans="1:54" ht="14.1" customHeight="1">
      <c r="A106" s="145">
        <v>106</v>
      </c>
      <c r="B106" s="144" t="s">
        <v>24</v>
      </c>
      <c r="C106" s="144" t="s">
        <v>25</v>
      </c>
      <c r="D106" s="144"/>
      <c r="E106" s="141"/>
      <c r="F106" s="150">
        <v>13606000</v>
      </c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50">
        <v>0</v>
      </c>
      <c r="T106" s="150">
        <v>-13330000</v>
      </c>
      <c r="U106" s="150"/>
      <c r="V106" s="142"/>
      <c r="W106" s="142"/>
      <c r="X106" s="142"/>
      <c r="Y106" s="142"/>
      <c r="Z106" s="142"/>
      <c r="AA106" s="142"/>
      <c r="AB106" s="142"/>
      <c r="AC106" s="150">
        <f>ROUND((F106/$F$109)*20000,-3)</f>
        <v>19000</v>
      </c>
      <c r="AD106" s="150"/>
      <c r="AE106" s="150">
        <f>ROUND((F106/$F$109)*0,-3)</f>
        <v>0</v>
      </c>
      <c r="AF106" s="150"/>
      <c r="AG106" s="142"/>
      <c r="AH106" s="142"/>
      <c r="AI106" s="463"/>
      <c r="AJ106" s="463"/>
      <c r="AK106" s="463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1"/>
      <c r="AV106" s="149">
        <f>SUM(G106:AT106)</f>
        <v>-13311000</v>
      </c>
      <c r="AW106" s="149">
        <f>F106+AV106</f>
        <v>295000</v>
      </c>
      <c r="AX106" s="145"/>
      <c r="AY106" s="149">
        <f>ROUND(AW106/1000,0)*1000</f>
        <v>295000</v>
      </c>
      <c r="AZ106" s="146"/>
      <c r="BA106" s="146"/>
      <c r="BB106" s="145"/>
    </row>
    <row r="107" spans="1:54" ht="14.1" customHeight="1">
      <c r="A107" s="145">
        <v>107</v>
      </c>
      <c r="B107" s="144" t="s">
        <v>26</v>
      </c>
      <c r="C107" s="144" t="s">
        <v>27</v>
      </c>
      <c r="D107" s="144"/>
      <c r="E107" s="141"/>
      <c r="F107" s="150">
        <v>358000</v>
      </c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50">
        <v>-1000</v>
      </c>
      <c r="V107" s="463"/>
      <c r="W107" s="463"/>
      <c r="X107" s="463"/>
      <c r="Y107" s="142"/>
      <c r="Z107" s="142"/>
      <c r="AA107" s="142"/>
      <c r="AB107" s="142"/>
      <c r="AC107" s="150">
        <f t="shared" ref="AC107:AC108" si="76">ROUND((F107/$F$109)*20000,-3)</f>
        <v>1000</v>
      </c>
      <c r="AD107" s="142"/>
      <c r="AE107" s="150">
        <f t="shared" ref="AE107:AE108" si="77">ROUND((F107/$F$109)*0,-3)</f>
        <v>0</v>
      </c>
      <c r="AF107" s="150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1"/>
      <c r="AV107" s="149">
        <f>SUM(G107:AT107)</f>
        <v>0</v>
      </c>
      <c r="AW107" s="149">
        <f>F107+AV107</f>
        <v>358000</v>
      </c>
      <c r="AX107" s="145"/>
      <c r="AY107" s="149">
        <f>ROUND(AW107/1000,0)*1000</f>
        <v>358000</v>
      </c>
      <c r="AZ107" s="146"/>
      <c r="BA107" s="146"/>
      <c r="BB107" s="145"/>
    </row>
    <row r="108" spans="1:54" ht="14.1" customHeight="1">
      <c r="A108" s="145">
        <v>108</v>
      </c>
      <c r="B108" s="144" t="s">
        <v>28</v>
      </c>
      <c r="C108" s="144" t="s">
        <v>349</v>
      </c>
      <c r="D108" s="144"/>
      <c r="E108" s="141"/>
      <c r="F108" s="150">
        <v>103000</v>
      </c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66"/>
      <c r="U108" s="166"/>
      <c r="V108" s="166"/>
      <c r="W108" s="166"/>
      <c r="X108" s="166"/>
      <c r="Y108" s="142"/>
      <c r="Z108" s="142"/>
      <c r="AA108" s="142"/>
      <c r="AB108" s="142"/>
      <c r="AC108" s="150">
        <f t="shared" si="76"/>
        <v>0</v>
      </c>
      <c r="AD108" s="142"/>
      <c r="AE108" s="150">
        <f t="shared" si="77"/>
        <v>0</v>
      </c>
      <c r="AF108" s="150"/>
      <c r="AG108" s="166">
        <v>78000</v>
      </c>
      <c r="AH108" s="142"/>
      <c r="AI108" s="142"/>
      <c r="AJ108" s="142"/>
      <c r="AK108" s="142"/>
      <c r="AL108" s="166">
        <v>65000</v>
      </c>
      <c r="AM108" s="142"/>
      <c r="AN108" s="142"/>
      <c r="AO108" s="142"/>
      <c r="AP108" s="142"/>
      <c r="AQ108" s="142"/>
      <c r="AR108" s="142"/>
      <c r="AS108" s="142"/>
      <c r="AT108" s="142"/>
      <c r="AU108" s="141"/>
      <c r="AV108" s="149">
        <f>SUM(G108:AT108)</f>
        <v>143000</v>
      </c>
      <c r="AW108" s="149">
        <f>F108+AV108</f>
        <v>246000</v>
      </c>
      <c r="AX108" s="145"/>
      <c r="AY108" s="149">
        <f>ROUND(AW108/1000,0)*1000</f>
        <v>246000</v>
      </c>
      <c r="AZ108" s="146"/>
      <c r="BA108" s="146"/>
      <c r="BB108" s="145"/>
    </row>
    <row r="109" spans="1:54" s="154" customFormat="1" ht="14.1" customHeight="1">
      <c r="A109" s="145">
        <v>109</v>
      </c>
      <c r="B109" s="157"/>
      <c r="C109" s="157" t="s">
        <v>658</v>
      </c>
      <c r="D109" s="157"/>
      <c r="E109" s="156"/>
      <c r="F109" s="159">
        <f t="shared" ref="F109:AR109" si="78">SUM(F105:F108)</f>
        <v>14067000</v>
      </c>
      <c r="G109" s="159">
        <f t="shared" si="78"/>
        <v>0</v>
      </c>
      <c r="H109" s="159">
        <f t="shared" si="78"/>
        <v>0</v>
      </c>
      <c r="I109" s="159">
        <f t="shared" si="78"/>
        <v>0</v>
      </c>
      <c r="J109" s="159">
        <f>SUM(J105:J108)</f>
        <v>0</v>
      </c>
      <c r="K109" s="159">
        <f>SUM(K105:K108)</f>
        <v>0</v>
      </c>
      <c r="L109" s="159">
        <f t="shared" si="78"/>
        <v>0</v>
      </c>
      <c r="M109" s="159">
        <f t="shared" si="78"/>
        <v>0</v>
      </c>
      <c r="N109" s="159">
        <f t="shared" si="78"/>
        <v>0</v>
      </c>
      <c r="O109" s="159">
        <f t="shared" si="78"/>
        <v>0</v>
      </c>
      <c r="P109" s="159">
        <f>SUM(P105:P108)</f>
        <v>0</v>
      </c>
      <c r="Q109" s="159">
        <f>SUM(Q105:Q108)</f>
        <v>0</v>
      </c>
      <c r="R109" s="159">
        <f>SUM(R105:R108)</f>
        <v>0</v>
      </c>
      <c r="S109" s="159">
        <f>SUM(S105:S108)</f>
        <v>0</v>
      </c>
      <c r="T109" s="159">
        <f>SUM(T105:T108)</f>
        <v>-13330000</v>
      </c>
      <c r="U109" s="159">
        <f t="shared" si="78"/>
        <v>-1000</v>
      </c>
      <c r="V109" s="159">
        <f t="shared" ref="V109:AB109" si="79">SUM(V105:V108)</f>
        <v>0</v>
      </c>
      <c r="W109" s="159">
        <f t="shared" si="79"/>
        <v>0</v>
      </c>
      <c r="X109" s="159">
        <f t="shared" si="79"/>
        <v>0</v>
      </c>
      <c r="Y109" s="159">
        <f t="shared" si="79"/>
        <v>0</v>
      </c>
      <c r="Z109" s="159">
        <f t="shared" si="79"/>
        <v>0</v>
      </c>
      <c r="AA109" s="159">
        <f t="shared" si="79"/>
        <v>0</v>
      </c>
      <c r="AB109" s="159">
        <f t="shared" si="79"/>
        <v>0</v>
      </c>
      <c r="AC109" s="159">
        <f t="shared" si="78"/>
        <v>20000</v>
      </c>
      <c r="AD109" s="159">
        <f t="shared" si="78"/>
        <v>0</v>
      </c>
      <c r="AE109" s="159">
        <f t="shared" si="78"/>
        <v>0</v>
      </c>
      <c r="AF109" s="159">
        <f t="shared" si="78"/>
        <v>0</v>
      </c>
      <c r="AG109" s="159">
        <f t="shared" si="78"/>
        <v>78000</v>
      </c>
      <c r="AH109" s="159">
        <f t="shared" si="78"/>
        <v>0</v>
      </c>
      <c r="AI109" s="159">
        <f>SUM(AI105:AI108)</f>
        <v>0</v>
      </c>
      <c r="AJ109" s="159">
        <f>SUM(AJ105:AJ108)</f>
        <v>0</v>
      </c>
      <c r="AK109" s="159">
        <f t="shared" si="78"/>
        <v>0</v>
      </c>
      <c r="AL109" s="159">
        <f t="shared" si="78"/>
        <v>65000</v>
      </c>
      <c r="AM109" s="159">
        <f t="shared" si="78"/>
        <v>0</v>
      </c>
      <c r="AN109" s="159">
        <f t="shared" si="78"/>
        <v>0</v>
      </c>
      <c r="AO109" s="159">
        <f t="shared" si="78"/>
        <v>0</v>
      </c>
      <c r="AP109" s="159">
        <f t="shared" si="78"/>
        <v>0</v>
      </c>
      <c r="AQ109" s="159">
        <f t="shared" si="78"/>
        <v>0</v>
      </c>
      <c r="AR109" s="159">
        <f t="shared" si="78"/>
        <v>0</v>
      </c>
      <c r="AS109" s="159">
        <f t="shared" ref="AS109:AT109" si="80">SUM(AS105:AS108)</f>
        <v>0</v>
      </c>
      <c r="AT109" s="159">
        <f t="shared" si="80"/>
        <v>0</v>
      </c>
      <c r="AU109" s="158"/>
      <c r="AV109" s="158">
        <f>SUM(AV105:AV108)</f>
        <v>-13168000</v>
      </c>
      <c r="AW109" s="158">
        <f>SUM(AW105:AW108)</f>
        <v>899000</v>
      </c>
      <c r="AX109" s="152" t="str">
        <f>IF(ROUND(SUM(F109:AT109),0)=ROUND(AW109,0),"ok","crossfoot error")</f>
        <v>ok</v>
      </c>
      <c r="AY109" s="158">
        <f>SUM(AY105:AY108)/1000</f>
        <v>899</v>
      </c>
      <c r="AZ109" s="147">
        <v>899.47500000000002</v>
      </c>
      <c r="BA109" s="146">
        <f>AY109-AZ109</f>
        <v>-0.47500000000002274</v>
      </c>
      <c r="BB109" s="152"/>
    </row>
    <row r="110" spans="1:54" ht="14.1" customHeight="1">
      <c r="A110" s="145">
        <v>110</v>
      </c>
      <c r="B110" s="144"/>
      <c r="C110" s="144"/>
      <c r="D110" s="144"/>
      <c r="E110" s="141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1"/>
      <c r="AV110" s="149"/>
      <c r="AW110" s="149"/>
      <c r="AX110" s="145"/>
      <c r="AY110" s="149"/>
      <c r="AZ110" s="146"/>
      <c r="BA110" s="146"/>
      <c r="BB110" s="145"/>
    </row>
    <row r="111" spans="1:54" ht="14.1" customHeight="1">
      <c r="A111" s="145">
        <v>111</v>
      </c>
      <c r="B111" s="144"/>
      <c r="C111" s="157" t="s">
        <v>30</v>
      </c>
      <c r="D111" s="144"/>
      <c r="E111" s="141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1"/>
      <c r="AV111" s="149"/>
      <c r="AW111" s="149"/>
      <c r="AX111" s="145"/>
      <c r="AY111" s="149"/>
      <c r="AZ111" s="146"/>
      <c r="BA111" s="146"/>
      <c r="BB111" s="145"/>
    </row>
    <row r="112" spans="1:54" ht="14.1" customHeight="1">
      <c r="A112" s="145">
        <v>112</v>
      </c>
      <c r="B112" s="144" t="s">
        <v>31</v>
      </c>
      <c r="C112" s="144" t="s">
        <v>13</v>
      </c>
      <c r="D112" s="144"/>
      <c r="E112" s="141"/>
      <c r="F112" s="150">
        <v>0</v>
      </c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1"/>
      <c r="AV112" s="149">
        <f>SUM(G112:AT112)+501</f>
        <v>501</v>
      </c>
      <c r="AW112" s="149">
        <f>F112+AV112</f>
        <v>501</v>
      </c>
      <c r="AX112" s="145"/>
      <c r="AY112" s="149">
        <f>ROUND(AW112/1000,0)*1000</f>
        <v>1000</v>
      </c>
      <c r="AZ112" s="146"/>
      <c r="BA112" s="146"/>
      <c r="BB112" s="145"/>
    </row>
    <row r="113" spans="1:54" ht="14.1" customHeight="1">
      <c r="A113" s="145">
        <v>113</v>
      </c>
      <c r="B113" s="144" t="s">
        <v>32</v>
      </c>
      <c r="C113" s="144" t="s">
        <v>33</v>
      </c>
      <c r="D113" s="144"/>
      <c r="E113" s="141"/>
      <c r="F113" s="150">
        <v>0</v>
      </c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50"/>
      <c r="V113" s="142"/>
      <c r="W113" s="142"/>
      <c r="X113" s="142"/>
      <c r="Y113" s="142"/>
      <c r="Z113" s="142"/>
      <c r="AA113" s="142"/>
      <c r="AB113" s="142"/>
      <c r="AC113" s="150"/>
      <c r="AD113" s="142"/>
      <c r="AE113" s="150"/>
      <c r="AF113" s="150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1"/>
      <c r="AV113" s="149">
        <f>SUM(G113:AT113)</f>
        <v>0</v>
      </c>
      <c r="AW113" s="149">
        <f>F113+AV113</f>
        <v>0</v>
      </c>
      <c r="AX113" s="145"/>
      <c r="AY113" s="149">
        <f>ROUND(AW113/1000,0)*1000</f>
        <v>0</v>
      </c>
      <c r="AZ113" s="146"/>
      <c r="BA113" s="146"/>
      <c r="BB113" s="145"/>
    </row>
    <row r="114" spans="1:54" ht="14.1" customHeight="1">
      <c r="A114" s="145">
        <v>114</v>
      </c>
      <c r="B114" s="144" t="s">
        <v>34</v>
      </c>
      <c r="C114" s="144" t="s">
        <v>35</v>
      </c>
      <c r="D114" s="144"/>
      <c r="E114" s="141"/>
      <c r="F114" s="150">
        <v>0</v>
      </c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50"/>
      <c r="V114" s="142"/>
      <c r="W114" s="142"/>
      <c r="X114" s="142"/>
      <c r="Y114" s="142"/>
      <c r="Z114" s="142"/>
      <c r="AA114" s="142"/>
      <c r="AB114" s="142"/>
      <c r="AC114" s="150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1"/>
      <c r="AV114" s="149">
        <f>SUM(G114:AT114)</f>
        <v>0</v>
      </c>
      <c r="AW114" s="149">
        <f>F114+AV114</f>
        <v>0</v>
      </c>
      <c r="AX114" s="145"/>
      <c r="AY114" s="149">
        <f>ROUND(AW114/1000,0)*1000</f>
        <v>0</v>
      </c>
      <c r="AZ114" s="146"/>
      <c r="BA114" s="146"/>
      <c r="BB114" s="145"/>
    </row>
    <row r="115" spans="1:54" ht="14.1" customHeight="1">
      <c r="A115" s="145">
        <v>115</v>
      </c>
      <c r="B115" s="144" t="s">
        <v>36</v>
      </c>
      <c r="C115" s="144" t="s">
        <v>37</v>
      </c>
      <c r="D115" s="144"/>
      <c r="E115" s="141"/>
      <c r="F115" s="150">
        <v>0</v>
      </c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50"/>
      <c r="AD115" s="142"/>
      <c r="AE115" s="150"/>
      <c r="AF115" s="150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1"/>
      <c r="AV115" s="149">
        <f>SUM(G115:AT115)</f>
        <v>0</v>
      </c>
      <c r="AW115" s="149">
        <f>F115+AV115</f>
        <v>0</v>
      </c>
      <c r="AX115" s="145"/>
      <c r="AY115" s="149">
        <f>ROUND(AW115/1000,0)*1000</f>
        <v>0</v>
      </c>
      <c r="AZ115" s="146"/>
      <c r="BA115" s="146"/>
      <c r="BB115" s="145"/>
    </row>
    <row r="116" spans="1:54" s="154" customFormat="1" ht="14.1" customHeight="1">
      <c r="A116" s="145">
        <v>116</v>
      </c>
      <c r="B116" s="157"/>
      <c r="C116" s="157" t="s">
        <v>38</v>
      </c>
      <c r="D116" s="157"/>
      <c r="E116" s="156"/>
      <c r="F116" s="159">
        <f t="shared" ref="F116:AR116" si="81">SUM(F112:F115)</f>
        <v>0</v>
      </c>
      <c r="G116" s="159">
        <f t="shared" si="81"/>
        <v>0</v>
      </c>
      <c r="H116" s="159">
        <f t="shared" si="81"/>
        <v>0</v>
      </c>
      <c r="I116" s="159">
        <f t="shared" si="81"/>
        <v>0</v>
      </c>
      <c r="J116" s="159">
        <f>SUM(J112:J115)</f>
        <v>0</v>
      </c>
      <c r="K116" s="159">
        <f>SUM(K112:K115)</f>
        <v>0</v>
      </c>
      <c r="L116" s="159">
        <f t="shared" si="81"/>
        <v>0</v>
      </c>
      <c r="M116" s="159">
        <f t="shared" si="81"/>
        <v>0</v>
      </c>
      <c r="N116" s="159">
        <f t="shared" si="81"/>
        <v>0</v>
      </c>
      <c r="O116" s="159">
        <f t="shared" si="81"/>
        <v>0</v>
      </c>
      <c r="P116" s="159">
        <f>SUM(P112:P115)</f>
        <v>0</v>
      </c>
      <c r="Q116" s="159">
        <f>SUM(Q112:Q115)</f>
        <v>0</v>
      </c>
      <c r="R116" s="159">
        <f>SUM(R112:R115)</f>
        <v>0</v>
      </c>
      <c r="S116" s="159">
        <f>SUM(S112:S115)</f>
        <v>0</v>
      </c>
      <c r="T116" s="159">
        <f>SUM(T112:T115)</f>
        <v>0</v>
      </c>
      <c r="U116" s="159">
        <f t="shared" si="81"/>
        <v>0</v>
      </c>
      <c r="V116" s="159">
        <f t="shared" ref="V116:AA116" si="82">SUM(V112:V115)</f>
        <v>0</v>
      </c>
      <c r="W116" s="159">
        <f t="shared" si="82"/>
        <v>0</v>
      </c>
      <c r="X116" s="159">
        <f t="shared" si="82"/>
        <v>0</v>
      </c>
      <c r="Y116" s="159">
        <f t="shared" si="82"/>
        <v>0</v>
      </c>
      <c r="Z116" s="159">
        <f t="shared" si="82"/>
        <v>0</v>
      </c>
      <c r="AA116" s="159">
        <f t="shared" si="82"/>
        <v>0</v>
      </c>
      <c r="AB116" s="159">
        <f t="shared" ref="AB116" si="83">SUM(AB112:AB115)</f>
        <v>0</v>
      </c>
      <c r="AC116" s="159">
        <f t="shared" si="81"/>
        <v>0</v>
      </c>
      <c r="AD116" s="159">
        <f t="shared" si="81"/>
        <v>0</v>
      </c>
      <c r="AE116" s="159">
        <f t="shared" si="81"/>
        <v>0</v>
      </c>
      <c r="AF116" s="159">
        <f t="shared" si="81"/>
        <v>0</v>
      </c>
      <c r="AG116" s="159">
        <f t="shared" si="81"/>
        <v>0</v>
      </c>
      <c r="AH116" s="159">
        <f t="shared" si="81"/>
        <v>0</v>
      </c>
      <c r="AI116" s="159">
        <f>SUM(AI112:AI115)</f>
        <v>0</v>
      </c>
      <c r="AJ116" s="159">
        <f>SUM(AJ112:AJ115)</f>
        <v>0</v>
      </c>
      <c r="AK116" s="159">
        <f t="shared" si="81"/>
        <v>0</v>
      </c>
      <c r="AL116" s="159">
        <f t="shared" si="81"/>
        <v>0</v>
      </c>
      <c r="AM116" s="159">
        <f t="shared" si="81"/>
        <v>0</v>
      </c>
      <c r="AN116" s="159">
        <f t="shared" si="81"/>
        <v>0</v>
      </c>
      <c r="AO116" s="159">
        <f t="shared" si="81"/>
        <v>0</v>
      </c>
      <c r="AP116" s="159">
        <f t="shared" si="81"/>
        <v>0</v>
      </c>
      <c r="AQ116" s="159">
        <f t="shared" si="81"/>
        <v>0</v>
      </c>
      <c r="AR116" s="159">
        <f t="shared" si="81"/>
        <v>0</v>
      </c>
      <c r="AS116" s="159">
        <f t="shared" ref="AS116:AT116" si="84">SUM(AS112:AS115)</f>
        <v>0</v>
      </c>
      <c r="AT116" s="159">
        <f t="shared" si="84"/>
        <v>0</v>
      </c>
      <c r="AU116" s="158"/>
      <c r="AV116" s="158">
        <f>SUM(AV112:AV115)</f>
        <v>501</v>
      </c>
      <c r="AW116" s="158">
        <f>SUM(AW112:AW115)</f>
        <v>501</v>
      </c>
      <c r="AX116" s="152" t="str">
        <f>IF(ROUND(SUM(F116:AT116),0)=ROUND(AW116,0),"ok","crossfoot error")</f>
        <v>crossfoot error</v>
      </c>
      <c r="AY116" s="158">
        <f>SUM(AY112:AY115)/1000</f>
        <v>1</v>
      </c>
      <c r="AZ116" s="147">
        <v>0</v>
      </c>
      <c r="BA116" s="146">
        <f>AY116-AZ116</f>
        <v>1</v>
      </c>
      <c r="BB116" s="152"/>
    </row>
    <row r="117" spans="1:54" ht="14.1" customHeight="1">
      <c r="A117" s="145">
        <v>117</v>
      </c>
      <c r="B117" s="144"/>
      <c r="C117" s="144"/>
      <c r="D117" s="144"/>
      <c r="E117" s="141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1"/>
      <c r="AV117" s="191"/>
      <c r="AW117" s="191"/>
      <c r="AX117" s="145"/>
      <c r="AY117" s="191"/>
      <c r="AZ117" s="146"/>
      <c r="BA117" s="146"/>
      <c r="BB117" s="145"/>
    </row>
    <row r="118" spans="1:54" s="154" customFormat="1" ht="14.1" customHeight="1">
      <c r="A118" s="145">
        <v>118</v>
      </c>
      <c r="B118" s="157"/>
      <c r="C118" s="157" t="s">
        <v>39</v>
      </c>
      <c r="D118" s="157"/>
      <c r="E118" s="156"/>
      <c r="F118" s="155">
        <f t="shared" ref="F118:AR118" si="85">F116+F109+F102+F94+F55+F32</f>
        <v>182519000</v>
      </c>
      <c r="G118" s="155">
        <f t="shared" si="85"/>
        <v>0</v>
      </c>
      <c r="H118" s="155">
        <f t="shared" si="85"/>
        <v>0</v>
      </c>
      <c r="I118" s="155">
        <f t="shared" si="85"/>
        <v>0</v>
      </c>
      <c r="J118" s="155">
        <f>J116+J109+J102+J94+J55+J32</f>
        <v>0</v>
      </c>
      <c r="K118" s="155">
        <f>K116+K109+K102+K94+K55+K32</f>
        <v>0</v>
      </c>
      <c r="L118" s="155">
        <f t="shared" si="85"/>
        <v>927000</v>
      </c>
      <c r="M118" s="155">
        <f t="shared" si="85"/>
        <v>0</v>
      </c>
      <c r="N118" s="155">
        <f t="shared" si="85"/>
        <v>0</v>
      </c>
      <c r="O118" s="155">
        <f t="shared" si="85"/>
        <v>0</v>
      </c>
      <c r="P118" s="155">
        <f>P116+P109+P102+P94+P55+P32</f>
        <v>0</v>
      </c>
      <c r="Q118" s="155">
        <f>Q116+Q109+Q102+Q94+Q55+Q32</f>
        <v>0</v>
      </c>
      <c r="R118" s="155">
        <f>R116+R109+R102+R94+R55+R32</f>
        <v>0</v>
      </c>
      <c r="S118" s="155">
        <f>S116+S109+S102+S94+S55+S32</f>
        <v>-57000</v>
      </c>
      <c r="T118" s="155">
        <f>T116+T109+T102+T94+T55+T32</f>
        <v>-71645000</v>
      </c>
      <c r="U118" s="155">
        <f t="shared" si="85"/>
        <v>-6000</v>
      </c>
      <c r="V118" s="155">
        <f t="shared" ref="V118:AA118" si="86">V116+V109+V102+V94+V55+V32</f>
        <v>0</v>
      </c>
      <c r="W118" s="155">
        <f t="shared" si="86"/>
        <v>0</v>
      </c>
      <c r="X118" s="155">
        <f t="shared" si="86"/>
        <v>0</v>
      </c>
      <c r="Y118" s="155">
        <f t="shared" si="86"/>
        <v>-90813000</v>
      </c>
      <c r="Z118" s="155">
        <f t="shared" si="86"/>
        <v>0</v>
      </c>
      <c r="AA118" s="155">
        <f t="shared" si="86"/>
        <v>0</v>
      </c>
      <c r="AB118" s="155">
        <f t="shared" ref="AB118" si="87">AB116+AB109+AB102+AB94+AB55+AB32</f>
        <v>-691000</v>
      </c>
      <c r="AC118" s="155">
        <f t="shared" si="85"/>
        <v>1178000</v>
      </c>
      <c r="AD118" s="155">
        <f t="shared" si="85"/>
        <v>0</v>
      </c>
      <c r="AE118" s="155">
        <f t="shared" si="85"/>
        <v>26000</v>
      </c>
      <c r="AF118" s="155">
        <f t="shared" si="85"/>
        <v>0</v>
      </c>
      <c r="AG118" s="155">
        <f t="shared" si="85"/>
        <v>78000</v>
      </c>
      <c r="AH118" s="155">
        <f t="shared" si="85"/>
        <v>0</v>
      </c>
      <c r="AI118" s="155">
        <f>AI116+AI109+AI102+AI94+AI55+AI32</f>
        <v>0</v>
      </c>
      <c r="AJ118" s="155">
        <f>AJ116+AJ109+AJ102+AJ94+AJ55+AJ32</f>
        <v>0</v>
      </c>
      <c r="AK118" s="155">
        <f t="shared" si="85"/>
        <v>0</v>
      </c>
      <c r="AL118" s="155">
        <f t="shared" si="85"/>
        <v>1078000</v>
      </c>
      <c r="AM118" s="155">
        <f t="shared" si="85"/>
        <v>0</v>
      </c>
      <c r="AN118" s="155">
        <f t="shared" si="85"/>
        <v>0</v>
      </c>
      <c r="AO118" s="155">
        <f t="shared" si="85"/>
        <v>0</v>
      </c>
      <c r="AP118" s="155">
        <f t="shared" si="85"/>
        <v>0</v>
      </c>
      <c r="AQ118" s="155">
        <f t="shared" si="85"/>
        <v>0</v>
      </c>
      <c r="AR118" s="155">
        <f t="shared" si="85"/>
        <v>0</v>
      </c>
      <c r="AS118" s="155">
        <f t="shared" ref="AS118:AT118" si="88">AS116+AS109+AS102+AS94+AS55+AS32</f>
        <v>0</v>
      </c>
      <c r="AT118" s="155">
        <f t="shared" si="88"/>
        <v>-190000</v>
      </c>
      <c r="AU118" s="148"/>
      <c r="AV118" s="148">
        <f>AV116+AV109+AV102+AV94+AV55+AV32</f>
        <v>-160114499</v>
      </c>
      <c r="AW118" s="148">
        <f>AW116+AW109+AW102+AW94+AW55+AW32</f>
        <v>22404501</v>
      </c>
      <c r="AX118" s="152" t="str">
        <f>IF(ROUND(SUM(F118:AT118),0)=ROUND(AW118,0),"ok","crossfoot error")</f>
        <v>crossfoot error</v>
      </c>
      <c r="AY118" s="148">
        <f>AY116+AY109+AY102+AY94+AY55+AY32</f>
        <v>22405</v>
      </c>
      <c r="AZ118" s="146"/>
      <c r="BA118" s="146"/>
      <c r="BB118" s="152"/>
    </row>
    <row r="119" spans="1:54" ht="14.1" customHeight="1">
      <c r="A119" s="145">
        <v>119</v>
      </c>
      <c r="B119" s="144" t="str">
        <f>$B$1</f>
        <v>Proforma</v>
      </c>
      <c r="C119" s="144"/>
      <c r="D119" s="144"/>
      <c r="E119" s="149"/>
      <c r="F119" s="173"/>
      <c r="G119" s="173"/>
      <c r="H119" s="173"/>
      <c r="I119" s="173" t="str">
        <f>$I$1</f>
        <v>Natural Gas Utility</v>
      </c>
      <c r="J119" s="173"/>
      <c r="K119" s="173"/>
      <c r="L119" s="173"/>
      <c r="M119" s="458"/>
      <c r="O119" s="173"/>
      <c r="P119" s="173"/>
      <c r="Q119" s="173"/>
      <c r="R119" s="173"/>
      <c r="S119" s="466"/>
      <c r="T119" s="466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39" t="s">
        <v>624</v>
      </c>
      <c r="AG119" s="173"/>
      <c r="AH119" s="173"/>
      <c r="AI119" s="458"/>
      <c r="AJ119" s="458"/>
      <c r="AK119" s="458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49"/>
      <c r="AV119" s="149"/>
      <c r="AW119" s="177"/>
      <c r="AX119" s="145"/>
      <c r="AY119" s="177"/>
      <c r="AZ119" s="146"/>
      <c r="BA119" s="146"/>
      <c r="BB119" s="145"/>
    </row>
    <row r="120" spans="1:54" ht="14.1" customHeight="1">
      <c r="A120" s="145">
        <v>120</v>
      </c>
      <c r="B120" s="144" t="str">
        <f>$B$2</f>
        <v>Pro Forma Results of Operations</v>
      </c>
      <c r="C120" s="144"/>
      <c r="D120" s="144"/>
      <c r="E120" s="149" t="s">
        <v>657</v>
      </c>
      <c r="F120" s="173"/>
      <c r="G120" s="173"/>
      <c r="H120" s="173"/>
      <c r="I120" s="173"/>
      <c r="J120" s="173"/>
      <c r="K120" s="173"/>
      <c r="L120" s="173"/>
      <c r="M120" s="176"/>
      <c r="O120" s="173" t="str">
        <f>E120</f>
        <v>Admin, &amp; General, Other Taxes &amp; Depreciation Expense</v>
      </c>
      <c r="P120" s="173"/>
      <c r="Q120" s="173"/>
      <c r="R120" s="173"/>
      <c r="S120" s="176"/>
      <c r="T120" s="176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 t="str">
        <f>O120</f>
        <v>Admin, &amp; General, Other Taxes &amp; Depreciation Expense</v>
      </c>
      <c r="AF120" s="173"/>
      <c r="AG120" s="173"/>
      <c r="AH120" s="173"/>
      <c r="AI120" s="176"/>
      <c r="AJ120" s="176"/>
      <c r="AK120" s="176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49"/>
      <c r="AV120" s="149"/>
      <c r="AW120" s="175"/>
      <c r="AX120" s="145"/>
      <c r="AY120" s="175"/>
      <c r="AZ120" s="146"/>
      <c r="BA120" s="146"/>
      <c r="BB120" s="145"/>
    </row>
    <row r="121" spans="1:54" ht="14.1" customHeight="1">
      <c r="A121" s="145">
        <v>121</v>
      </c>
      <c r="B121" s="144" t="str">
        <f>$B$3</f>
        <v>Company Base Case</v>
      </c>
      <c r="C121" s="144"/>
      <c r="D121" s="144"/>
      <c r="E121" s="149"/>
      <c r="F121" s="173"/>
      <c r="G121" s="173"/>
      <c r="H121" s="173"/>
      <c r="I121" s="173"/>
      <c r="J121" s="173"/>
      <c r="K121" s="173"/>
      <c r="L121" s="173"/>
      <c r="M121" s="459"/>
      <c r="O121" s="173"/>
      <c r="P121" s="173"/>
      <c r="Q121" s="173"/>
      <c r="R121" s="173"/>
      <c r="S121" s="459"/>
      <c r="T121" s="459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49"/>
      <c r="AV121" s="149"/>
      <c r="AW121" s="174"/>
      <c r="AX121" s="145"/>
      <c r="AY121" s="174"/>
      <c r="AZ121" s="146"/>
      <c r="BA121" s="146"/>
      <c r="BB121" s="145"/>
    </row>
    <row r="122" spans="1:54" ht="14.1" customHeight="1">
      <c r="A122" s="145">
        <v>122</v>
      </c>
      <c r="B122" s="144"/>
      <c r="C122" s="144"/>
      <c r="D122" s="144"/>
      <c r="E122" s="149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49"/>
      <c r="AV122" s="149"/>
      <c r="AW122" s="149"/>
      <c r="AX122" s="145"/>
      <c r="AY122" s="149"/>
      <c r="AZ122" s="146"/>
      <c r="BA122" s="146"/>
      <c r="BB122" s="145"/>
    </row>
    <row r="123" spans="1:54" ht="14.1" customHeight="1">
      <c r="A123" s="145">
        <v>123</v>
      </c>
      <c r="B123" s="171"/>
      <c r="C123" s="171"/>
      <c r="D123" s="171"/>
      <c r="E123" s="171"/>
      <c r="F123" s="172">
        <f t="shared" ref="F123:AM123" si="89">F5</f>
        <v>1</v>
      </c>
      <c r="G123" s="453">
        <f t="shared" si="89"/>
        <v>1.01</v>
      </c>
      <c r="H123" s="453">
        <f t="shared" si="89"/>
        <v>1.02</v>
      </c>
      <c r="I123" s="453">
        <f t="shared" si="89"/>
        <v>1.03</v>
      </c>
      <c r="J123" s="453">
        <f>J5</f>
        <v>2.0099999999999998</v>
      </c>
      <c r="K123" s="453">
        <f>K5</f>
        <v>2.02</v>
      </c>
      <c r="L123" s="453">
        <f t="shared" si="89"/>
        <v>2.0299999999999998</v>
      </c>
      <c r="M123" s="453">
        <f t="shared" si="89"/>
        <v>2.04</v>
      </c>
      <c r="N123" s="453">
        <f t="shared" si="89"/>
        <v>2.0499999999999998</v>
      </c>
      <c r="O123" s="453">
        <f t="shared" si="89"/>
        <v>2.06</v>
      </c>
      <c r="P123" s="453">
        <f>P5</f>
        <v>2.0699999999999998</v>
      </c>
      <c r="Q123" s="453">
        <f>Q5</f>
        <v>2.08</v>
      </c>
      <c r="R123" s="453">
        <f>R5</f>
        <v>2.09</v>
      </c>
      <c r="S123" s="453">
        <f>S5</f>
        <v>2.1</v>
      </c>
      <c r="T123" s="453">
        <f>T5</f>
        <v>2.11</v>
      </c>
      <c r="U123" s="453">
        <f t="shared" si="89"/>
        <v>2.12</v>
      </c>
      <c r="V123" s="453">
        <f t="shared" ref="V123:AA123" si="90">V5</f>
        <v>2.13</v>
      </c>
      <c r="W123" s="453">
        <f t="shared" si="90"/>
        <v>2.14</v>
      </c>
      <c r="X123" s="453">
        <f t="shared" si="90"/>
        <v>2.15</v>
      </c>
      <c r="Y123" s="453">
        <f t="shared" si="90"/>
        <v>3.01</v>
      </c>
      <c r="Z123" s="453">
        <f t="shared" si="90"/>
        <v>3.02</v>
      </c>
      <c r="AA123" s="453">
        <f t="shared" si="90"/>
        <v>3.03</v>
      </c>
      <c r="AB123" s="453">
        <f t="shared" ref="AB123" si="91">AB5</f>
        <v>3.04</v>
      </c>
      <c r="AC123" s="453">
        <f t="shared" si="89"/>
        <v>3.05</v>
      </c>
      <c r="AD123" s="453">
        <f t="shared" si="89"/>
        <v>3.06</v>
      </c>
      <c r="AE123" s="453">
        <f t="shared" si="89"/>
        <v>3.07</v>
      </c>
      <c r="AF123" s="453">
        <f t="shared" ref="AF123:AH123" si="92">AF5</f>
        <v>3.08</v>
      </c>
      <c r="AG123" s="453">
        <f t="shared" si="92"/>
        <v>3.09</v>
      </c>
      <c r="AH123" s="453">
        <f t="shared" si="92"/>
        <v>3.1</v>
      </c>
      <c r="AI123" s="453">
        <f>AI5</f>
        <v>3.11</v>
      </c>
      <c r="AJ123" s="453">
        <f>AJ5</f>
        <v>3.12</v>
      </c>
      <c r="AK123" s="453">
        <f>AK5</f>
        <v>3.13</v>
      </c>
      <c r="AL123" s="453">
        <f t="shared" si="89"/>
        <v>3.14</v>
      </c>
      <c r="AM123" s="453">
        <f t="shared" si="89"/>
        <v>3.15</v>
      </c>
      <c r="AN123" s="453">
        <f t="shared" ref="AN123:AR123" si="93">AN5</f>
        <v>3.16</v>
      </c>
      <c r="AO123" s="453">
        <f t="shared" si="93"/>
        <v>3.17</v>
      </c>
      <c r="AP123" s="453">
        <f t="shared" si="93"/>
        <v>3.18</v>
      </c>
      <c r="AQ123" s="453">
        <f t="shared" si="93"/>
        <v>3.19</v>
      </c>
      <c r="AR123" s="453">
        <f t="shared" si="93"/>
        <v>3.2</v>
      </c>
      <c r="AS123" s="453">
        <f t="shared" ref="AS123:AT123" si="94">AS5</f>
        <v>4.01</v>
      </c>
      <c r="AT123" s="453">
        <f t="shared" si="94"/>
        <v>4.0199999999999996</v>
      </c>
      <c r="AU123" s="171"/>
      <c r="AV123" s="171" t="str">
        <f>AV$5</f>
        <v>(av)</v>
      </c>
      <c r="AW123" s="171" t="str">
        <f>AW$5</f>
        <v>(aw)</v>
      </c>
      <c r="AX123" s="171" t="str">
        <f>AX$5</f>
        <v>(ax)</v>
      </c>
      <c r="AY123" s="171" t="str">
        <f>AY$5</f>
        <v>(ay)</v>
      </c>
      <c r="AZ123" s="146"/>
      <c r="BA123" s="146"/>
      <c r="BB123" s="145"/>
    </row>
    <row r="124" spans="1:54" ht="14.1" customHeight="1">
      <c r="A124" s="145">
        <v>124</v>
      </c>
      <c r="B124" s="168" t="str">
        <f>IF(ISBLANK(B$6),"",B$6)</f>
        <v/>
      </c>
      <c r="C124" s="168" t="str">
        <f>IF(ISBLANK(C$6),"",C$6)</f>
        <v/>
      </c>
      <c r="D124" s="168" t="str">
        <f>IF(ISBLANK(D$6),"",D$6)</f>
        <v/>
      </c>
      <c r="E124" s="168" t="str">
        <f>IF(ISBLANK(E$6),"",E$6)</f>
        <v>Notes</v>
      </c>
      <c r="F124" s="168" t="s">
        <v>622</v>
      </c>
      <c r="G124" s="454" t="str">
        <f t="shared" ref="G124:AT124" si="95">IF(ISBLANK(G$6),"",G$6)</f>
        <v>Deferred FIT</v>
      </c>
      <c r="H124" s="454" t="str">
        <f t="shared" si="95"/>
        <v>Deferred Debits</v>
      </c>
      <c r="I124" s="454" t="str">
        <f t="shared" si="95"/>
        <v xml:space="preserve">Working </v>
      </c>
      <c r="J124" s="454" t="str">
        <f t="shared" si="95"/>
        <v>Eliminate</v>
      </c>
      <c r="K124" s="454" t="str">
        <f t="shared" si="95"/>
        <v>Restate</v>
      </c>
      <c r="L124" s="454" t="str">
        <f t="shared" si="95"/>
        <v>Uncollectible</v>
      </c>
      <c r="M124" s="454" t="str">
        <f t="shared" si="95"/>
        <v>Regulatory</v>
      </c>
      <c r="N124" s="454" t="str">
        <f t="shared" si="95"/>
        <v>Injuries &amp;</v>
      </c>
      <c r="O124" s="454" t="str">
        <f t="shared" si="95"/>
        <v>FIT/DFIT</v>
      </c>
      <c r="P124" s="454" t="str">
        <f t="shared" si="95"/>
        <v>Office Space</v>
      </c>
      <c r="Q124" s="454" t="str">
        <f t="shared" si="95"/>
        <v>Restate</v>
      </c>
      <c r="R124" s="454" t="str">
        <f t="shared" si="95"/>
        <v>Net Gains/</v>
      </c>
      <c r="S124" s="454" t="str">
        <f>IF(ISBLANK(S$6),"",S$6)</f>
        <v>Weather Normalization</v>
      </c>
      <c r="T124" s="454" t="str">
        <f>IF(ISBLANK(T$6),"",T$6)</f>
        <v>Eliminate</v>
      </c>
      <c r="U124" s="454" t="str">
        <f t="shared" si="95"/>
        <v>Misc. Restating</v>
      </c>
      <c r="V124" s="454" t="str">
        <f t="shared" si="95"/>
        <v xml:space="preserve">Restating </v>
      </c>
      <c r="W124" s="454" t="str">
        <f t="shared" si="95"/>
        <v xml:space="preserve">Restate </v>
      </c>
      <c r="X124" s="454" t="str">
        <f t="shared" si="95"/>
        <v xml:space="preserve">Restate </v>
      </c>
      <c r="Y124" s="454" t="str">
        <f t="shared" si="95"/>
        <v>Pro Forma Revenue</v>
      </c>
      <c r="Z124" s="454" t="str">
        <f t="shared" si="95"/>
        <v xml:space="preserve">Pro Forma Def. </v>
      </c>
      <c r="AA124" s="454" t="str">
        <f t="shared" si="95"/>
        <v>Pro Forma</v>
      </c>
      <c r="AB124" s="454" t="str">
        <f t="shared" si="95"/>
        <v>Pro Forma</v>
      </c>
      <c r="AC124" s="454" t="str">
        <f t="shared" si="95"/>
        <v>Pro Forma</v>
      </c>
      <c r="AD124" s="454" t="str">
        <f t="shared" si="95"/>
        <v>Pro Forma</v>
      </c>
      <c r="AE124" s="454" t="str">
        <f t="shared" si="95"/>
        <v>Pro Forma</v>
      </c>
      <c r="AF124" s="454" t="str">
        <f t="shared" si="95"/>
        <v>Pro Forma</v>
      </c>
      <c r="AG124" s="454" t="str">
        <f t="shared" si="95"/>
        <v>Remove</v>
      </c>
      <c r="AH124" s="454" t="str">
        <f t="shared" si="95"/>
        <v>Pro Forma</v>
      </c>
      <c r="AI124" s="454" t="str">
        <f>IF(ISBLANK(AI$6),"",AI$6)</f>
        <v>Pro Forma</v>
      </c>
      <c r="AJ124" s="454" t="str">
        <f>IF(ISBLANK(AJ$6),"",AJ$6)</f>
        <v>Pro Forma</v>
      </c>
      <c r="AK124" s="454" t="str">
        <f t="shared" si="95"/>
        <v>Pro Forma</v>
      </c>
      <c r="AL124" s="454" t="str">
        <f t="shared" si="95"/>
        <v xml:space="preserve">Pro Forma </v>
      </c>
      <c r="AM124" s="454" t="str">
        <f t="shared" si="95"/>
        <v>Pro Forma</v>
      </c>
      <c r="AN124" s="454" t="str">
        <f t="shared" si="95"/>
        <v>Pro Forma</v>
      </c>
      <c r="AO124" s="454" t="str">
        <f t="shared" si="95"/>
        <v>Pro Forma</v>
      </c>
      <c r="AP124" s="454" t="str">
        <f t="shared" si="95"/>
        <v>Pro Forma</v>
      </c>
      <c r="AQ124" s="454" t="str">
        <f t="shared" si="95"/>
        <v>Pro Forma</v>
      </c>
      <c r="AR124" s="454" t="str">
        <f t="shared" si="95"/>
        <v>Pro Forma</v>
      </c>
      <c r="AS124" s="454" t="str">
        <f t="shared" si="95"/>
        <v>Provisional Capital Add.</v>
      </c>
      <c r="AT124" s="454" t="str">
        <f t="shared" si="95"/>
        <v>2024-2025</v>
      </c>
      <c r="AU124" s="168"/>
      <c r="AV124" s="168" t="str">
        <f>IF(ISBLANK(AV$6),"",AV$6)</f>
        <v>Net Total</v>
      </c>
      <c r="AW124" s="168" t="str">
        <f>IF(ISBLANK(AW$6),"",AW$6)</f>
        <v>Total</v>
      </c>
      <c r="AX124" s="168" t="str">
        <f>IF(ISBLANK(AX$6),"",AX$6)</f>
        <v>check</v>
      </c>
      <c r="AY124" s="168" t="str">
        <f>IF(ISBLANK(AY$6),"",AY$6)</f>
        <v>Total</v>
      </c>
      <c r="AZ124" s="146"/>
      <c r="BA124" s="146"/>
      <c r="BB124" s="145"/>
    </row>
    <row r="125" spans="1:54" ht="14.1" customHeight="1">
      <c r="A125" s="145">
        <v>125</v>
      </c>
      <c r="B125" s="170" t="str">
        <f>IF(ISBLANK(B$7),"",B$7)</f>
        <v>Account</v>
      </c>
      <c r="C125" s="169" t="str">
        <f>IF(ISBLANK(C$7),"",C$7)</f>
        <v>Description</v>
      </c>
      <c r="D125" s="168"/>
      <c r="E125" s="168" t="str">
        <f>IF(ISBLANK(E$7),"",E$7)</f>
        <v/>
      </c>
      <c r="F125" s="168" t="s">
        <v>621</v>
      </c>
      <c r="G125" s="454" t="str">
        <f t="shared" ref="G125:AT125" si="96">IF(ISBLANK(G$7),"",G$7)</f>
        <v>Rate Base</v>
      </c>
      <c r="H125" s="454" t="str">
        <f t="shared" si="96"/>
        <v>and Credits</v>
      </c>
      <c r="I125" s="454" t="str">
        <f t="shared" si="96"/>
        <v>Capital</v>
      </c>
      <c r="J125" s="454" t="str">
        <f t="shared" si="96"/>
        <v>B &amp; O Taxes</v>
      </c>
      <c r="K125" s="454" t="str">
        <f t="shared" si="96"/>
        <v>Property Taxes</v>
      </c>
      <c r="L125" s="454" t="str">
        <f t="shared" si="96"/>
        <v>Expense</v>
      </c>
      <c r="M125" s="454" t="str">
        <f t="shared" si="96"/>
        <v>Expense</v>
      </c>
      <c r="N125" s="454" t="str">
        <f t="shared" si="96"/>
        <v>Damages</v>
      </c>
      <c r="O125" s="454" t="str">
        <f t="shared" si="96"/>
        <v>Expense</v>
      </c>
      <c r="P125" s="454" t="str">
        <f t="shared" si="96"/>
        <v>Charges to Subs</v>
      </c>
      <c r="Q125" s="454" t="str">
        <f t="shared" si="96"/>
        <v>Excise Tax</v>
      </c>
      <c r="R125" s="454" t="str">
        <f t="shared" si="96"/>
        <v>Losses</v>
      </c>
      <c r="S125" s="454" t="str">
        <f>IF(ISBLANK(S$7),"",S$7)</f>
        <v>Gas Cost Adjust</v>
      </c>
      <c r="T125" s="454" t="str">
        <f>IF(ISBLANK(T$7),"",T$7)</f>
        <v>Adder Schedules</v>
      </c>
      <c r="U125" s="454" t="str">
        <f t="shared" si="96"/>
        <v>Adjustments</v>
      </c>
      <c r="V125" s="454" t="str">
        <f t="shared" si="96"/>
        <v>Incentives</v>
      </c>
      <c r="W125" s="454" t="str">
        <f t="shared" si="96"/>
        <v>Debt Int</v>
      </c>
      <c r="X125" s="454" t="str">
        <f t="shared" si="96"/>
        <v>09.2021 Rate Base</v>
      </c>
      <c r="Y125" s="454" t="str">
        <f t="shared" si="96"/>
        <v>Normalization</v>
      </c>
      <c r="Z125" s="454" t="str">
        <f t="shared" si="96"/>
        <v>Debits &amp; Credits</v>
      </c>
      <c r="AA125" s="454" t="str">
        <f t="shared" si="96"/>
        <v>EDIT (RSGM)</v>
      </c>
      <c r="AB125" s="454" t="str">
        <f t="shared" si="96"/>
        <v>AMI Amortization</v>
      </c>
      <c r="AC125" s="454" t="str">
        <f t="shared" si="96"/>
        <v>Non-Exec Labor</v>
      </c>
      <c r="AD125" s="454" t="str">
        <f t="shared" si="96"/>
        <v>Exec Labor</v>
      </c>
      <c r="AE125" s="454" t="str">
        <f t="shared" si="96"/>
        <v>Empl. Benefits</v>
      </c>
      <c r="AF125" s="454" t="str">
        <f t="shared" si="96"/>
        <v>Incentives</v>
      </c>
      <c r="AG125" s="454" t="str">
        <f t="shared" si="96"/>
        <v>LIRAP Labor</v>
      </c>
      <c r="AH125" s="454" t="str">
        <f t="shared" si="96"/>
        <v>CCA Labor</v>
      </c>
      <c r="AI125" s="454" t="str">
        <f>IF(ISBLANK(AI$7),"",AI$7)</f>
        <v>Property Tax</v>
      </c>
      <c r="AJ125" s="454" t="str">
        <f>IF(ISBLANK(AJ$7),"",AJ$7)</f>
        <v>Insurance Expense</v>
      </c>
      <c r="AK125" s="454" t="str">
        <f t="shared" si="96"/>
        <v>IS/IT</v>
      </c>
      <c r="AL125" s="454" t="str">
        <f t="shared" si="96"/>
        <v>Misc O&amp;M Expense</v>
      </c>
      <c r="AM125" s="454" t="str">
        <f t="shared" si="96"/>
        <v>Capital Add. To 12/31/23 EOP</v>
      </c>
      <c r="AN125" s="454" t="str">
        <f t="shared" si="96"/>
        <v>Dep. Expense</v>
      </c>
      <c r="AO125" s="454" t="str">
        <f t="shared" si="96"/>
        <v>Capital Add. To 12/31/24 EOP</v>
      </c>
      <c r="AP125" s="454" t="str">
        <f t="shared" si="96"/>
        <v>New Reg. Amort.</v>
      </c>
      <c r="AQ125" s="454" t="str">
        <f t="shared" si="96"/>
        <v>Nucleus/ETRM Exp.</v>
      </c>
      <c r="AR125" s="454" t="str">
        <f t="shared" si="96"/>
        <v>BOD Fees Exp.</v>
      </c>
      <c r="AS125" s="454" t="str">
        <f t="shared" si="96"/>
        <v>to 12.31.25 AMA</v>
      </c>
      <c r="AT125" s="454" t="str">
        <f t="shared" si="96"/>
        <v xml:space="preserve">Cap. Adds O&amp;M and Rev. </v>
      </c>
      <c r="AU125" s="168"/>
      <c r="AV125" s="168" t="str">
        <f>IF(ISBLANK(AV$7),"",AV$7)</f>
        <v>of All</v>
      </c>
      <c r="AW125" s="168" t="str">
        <f>IF(ISBLANK(AW$7),"",AW$7)</f>
        <v/>
      </c>
      <c r="AX125" s="168" t="str">
        <f>IF(ISBLANK(AX$7),"",AX$7)</f>
        <v/>
      </c>
      <c r="AY125" s="168" t="str">
        <f>IF(ISBLANK(AY$7),"",AY$7)</f>
        <v>$000's</v>
      </c>
      <c r="AZ125" s="146"/>
      <c r="BA125" s="146"/>
      <c r="BB125" s="168"/>
    </row>
    <row r="126" spans="1:54" ht="14.1" customHeight="1">
      <c r="A126" s="145">
        <v>126</v>
      </c>
      <c r="B126" s="168" t="str">
        <f>IF(ISBLANK(B$8),"",B$8)</f>
        <v/>
      </c>
      <c r="C126" s="168" t="str">
        <f>IF(ISBLANK(C$8),"",C$8)</f>
        <v/>
      </c>
      <c r="D126" s="168" t="str">
        <f>IF(ISBLANK(D$8),"",D$8)</f>
        <v/>
      </c>
      <c r="E126" s="168" t="str">
        <f>IF(ISBLANK(E$8),"",E$8)</f>
        <v/>
      </c>
      <c r="F126" s="168"/>
      <c r="G126" s="454" t="str">
        <f t="shared" ref="G126:AT126" si="97">IF(ISBLANK(G$8),"",G$8)</f>
        <v>G-DFIT</v>
      </c>
      <c r="H126" s="454" t="str">
        <f t="shared" si="97"/>
        <v>G-DDC</v>
      </c>
      <c r="I126" s="454" t="str">
        <f t="shared" si="97"/>
        <v>G-WC</v>
      </c>
      <c r="J126" s="454" t="str">
        <f t="shared" si="97"/>
        <v>G-EBO</v>
      </c>
      <c r="K126" s="454" t="str">
        <f t="shared" si="97"/>
        <v>G-RPT</v>
      </c>
      <c r="L126" s="454" t="str">
        <f t="shared" si="97"/>
        <v>G-UE</v>
      </c>
      <c r="M126" s="454" t="str">
        <f t="shared" si="97"/>
        <v>G-RE</v>
      </c>
      <c r="N126" s="454" t="str">
        <f t="shared" si="97"/>
        <v>G-ID</v>
      </c>
      <c r="O126" s="454" t="str">
        <f t="shared" si="97"/>
        <v>G-FIT</v>
      </c>
      <c r="P126" s="454" t="str">
        <f t="shared" si="97"/>
        <v>G-OSC</v>
      </c>
      <c r="Q126" s="454" t="str">
        <f t="shared" si="97"/>
        <v>G-RET</v>
      </c>
      <c r="R126" s="454" t="str">
        <f t="shared" si="97"/>
        <v>G-NGL</v>
      </c>
      <c r="S126" s="454" t="str">
        <f>IF(ISBLANK(S$8),"",S$8)</f>
        <v>G-WNGC</v>
      </c>
      <c r="T126" s="454" t="str">
        <f>IF(ISBLANK(T$8),"",T$8)</f>
        <v>G-EAS</v>
      </c>
      <c r="U126" s="454" t="str">
        <f t="shared" si="97"/>
        <v>G-MR</v>
      </c>
      <c r="V126" s="454" t="str">
        <f t="shared" si="97"/>
        <v>G-RI</v>
      </c>
      <c r="W126" s="454" t="str">
        <f t="shared" si="97"/>
        <v>G-DI</v>
      </c>
      <c r="X126" s="454" t="str">
        <f t="shared" si="97"/>
        <v>G-EOP09.2021</v>
      </c>
      <c r="Y126" s="454" t="str">
        <f t="shared" si="97"/>
        <v>G-PREV</v>
      </c>
      <c r="Z126" s="454" t="str">
        <f t="shared" si="97"/>
        <v>G-PRA</v>
      </c>
      <c r="AA126" s="454" t="str">
        <f t="shared" si="97"/>
        <v>G-EDIT</v>
      </c>
      <c r="AB126" s="454" t="str">
        <f t="shared" si="97"/>
        <v>G-PAMI</v>
      </c>
      <c r="AC126" s="454" t="str">
        <f t="shared" si="97"/>
        <v>G-PLN</v>
      </c>
      <c r="AD126" s="454" t="str">
        <f t="shared" si="97"/>
        <v>G-PLE</v>
      </c>
      <c r="AE126" s="454" t="str">
        <f t="shared" si="97"/>
        <v>G-PEB</v>
      </c>
      <c r="AF126" s="454" t="str">
        <f t="shared" si="97"/>
        <v>G-Pinc</v>
      </c>
      <c r="AG126" s="454" t="str">
        <f t="shared" si="97"/>
        <v>G-LIRAP</v>
      </c>
      <c r="AH126" s="454" t="str">
        <f t="shared" si="97"/>
        <v>G-CCA</v>
      </c>
      <c r="AI126" s="454" t="str">
        <f>IF(ISBLANK(AI$8),"",AI$8)</f>
        <v>G-PPT</v>
      </c>
      <c r="AJ126" s="454" t="str">
        <f>IF(ISBLANK(AJ$8),"",AJ$8)</f>
        <v>G-PINS</v>
      </c>
      <c r="AK126" s="454" t="str">
        <f t="shared" si="97"/>
        <v>G-PIT</v>
      </c>
      <c r="AL126" s="454" t="str">
        <f t="shared" si="97"/>
        <v>G-PMisc</v>
      </c>
      <c r="AM126" s="454" t="str">
        <f t="shared" si="97"/>
        <v>G-CAP23E</v>
      </c>
      <c r="AN126" s="454" t="str">
        <f t="shared" si="97"/>
        <v>G-DEP</v>
      </c>
      <c r="AO126" s="454" t="str">
        <f t="shared" si="97"/>
        <v>G-CAP24E</v>
      </c>
      <c r="AP126" s="454" t="str">
        <f t="shared" si="97"/>
        <v>G-NRA</v>
      </c>
      <c r="AQ126" s="454" t="str">
        <f t="shared" si="97"/>
        <v>G-ETRM</v>
      </c>
      <c r="AR126" s="454" t="str">
        <f t="shared" si="97"/>
        <v>G-PBOD</v>
      </c>
      <c r="AS126" s="454" t="str">
        <f t="shared" si="97"/>
        <v>G-CAP25A</v>
      </c>
      <c r="AT126" s="454" t="str">
        <f t="shared" si="97"/>
        <v>G-Offsets25</v>
      </c>
      <c r="AU126" s="168"/>
      <c r="AV126" s="168" t="str">
        <f>IF(ISBLANK(AV$8),"",AV$8)</f>
        <v>Adjustments</v>
      </c>
      <c r="AW126" s="168" t="str">
        <f>IF(ISBLANK(AW$8),"",AW$8)</f>
        <v/>
      </c>
      <c r="AX126" s="168" t="str">
        <f>IF(ISBLANK(AX$8),"",AX$8)</f>
        <v/>
      </c>
      <c r="AY126" s="168" t="str">
        <f>IF(ISBLANK(AY$8),"",AY$8)</f>
        <v>in bold</v>
      </c>
      <c r="AZ126" s="146"/>
      <c r="BA126" s="146"/>
      <c r="BB126" s="168"/>
    </row>
    <row r="127" spans="1:54" ht="14.1" customHeight="1">
      <c r="A127" s="145">
        <v>127</v>
      </c>
      <c r="B127" s="144"/>
      <c r="C127" s="157" t="s">
        <v>40</v>
      </c>
      <c r="D127" s="144"/>
      <c r="AV127" s="144"/>
      <c r="AW127" s="144"/>
      <c r="AX127" s="168">
        <f>AX$9</f>
        <v>0</v>
      </c>
      <c r="AY127" s="144"/>
      <c r="AZ127" s="146"/>
      <c r="BA127" s="146"/>
      <c r="BB127" s="168"/>
    </row>
    <row r="128" spans="1:54" ht="14.1" customHeight="1">
      <c r="A128" s="145">
        <v>128</v>
      </c>
      <c r="B128" s="144" t="s">
        <v>41</v>
      </c>
      <c r="C128" s="144" t="s">
        <v>656</v>
      </c>
      <c r="D128" s="144"/>
      <c r="E128" s="141"/>
      <c r="F128" s="150">
        <v>6401000</v>
      </c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66"/>
      <c r="T128" s="166">
        <v>-107000</v>
      </c>
      <c r="U128" s="166">
        <v>-211000</v>
      </c>
      <c r="V128" s="166">
        <v>250000</v>
      </c>
      <c r="W128" s="166"/>
      <c r="X128" s="166"/>
      <c r="Y128" s="166"/>
      <c r="Z128" s="166"/>
      <c r="AA128" s="166"/>
      <c r="AB128" s="166"/>
      <c r="AC128" s="150">
        <v>648000</v>
      </c>
      <c r="AD128" s="150">
        <v>19000</v>
      </c>
      <c r="AE128" s="150"/>
      <c r="AF128" s="150">
        <v>368000</v>
      </c>
      <c r="AG128" s="166">
        <v>0</v>
      </c>
      <c r="AH128" s="166">
        <v>113000</v>
      </c>
      <c r="AI128" s="142"/>
      <c r="AJ128" s="142"/>
      <c r="AK128" s="142"/>
      <c r="AL128" s="166"/>
      <c r="AM128" s="142"/>
      <c r="AN128" s="142"/>
      <c r="AO128" s="142"/>
      <c r="AP128" s="142"/>
      <c r="AQ128" s="142"/>
      <c r="AR128" s="166">
        <v>150000</v>
      </c>
      <c r="AS128" s="142"/>
      <c r="AT128" s="142"/>
      <c r="AU128" s="141"/>
      <c r="AV128" s="149">
        <f t="shared" ref="AV128:AV139" si="98">SUM(G128:AT128)</f>
        <v>1230000</v>
      </c>
      <c r="AW128" s="149">
        <f t="shared" ref="AW128:AW139" si="99">F128+AV128</f>
        <v>7631000</v>
      </c>
      <c r="AX128" s="145"/>
      <c r="AY128" s="149">
        <f>ROUND(AW128/1000,0)*1000</f>
        <v>7631000</v>
      </c>
      <c r="AZ128" s="146"/>
      <c r="BA128" s="146"/>
      <c r="BB128" s="145"/>
    </row>
    <row r="129" spans="1:54" ht="14.1" customHeight="1">
      <c r="A129" s="145">
        <v>129</v>
      </c>
      <c r="B129" s="144" t="s">
        <v>43</v>
      </c>
      <c r="C129" s="144" t="s">
        <v>44</v>
      </c>
      <c r="D129" s="144"/>
      <c r="E129" s="141"/>
      <c r="F129" s="150">
        <v>856000</v>
      </c>
      <c r="G129" s="142"/>
      <c r="H129" s="142"/>
      <c r="I129" s="142"/>
      <c r="J129" s="142"/>
      <c r="K129" s="142"/>
      <c r="L129" s="142"/>
      <c r="M129" s="142"/>
      <c r="N129" s="142"/>
      <c r="O129" s="142"/>
      <c r="P129" s="150">
        <v>-10000</v>
      </c>
      <c r="Q129" s="142"/>
      <c r="R129" s="142"/>
      <c r="S129" s="142"/>
      <c r="T129" s="142"/>
      <c r="U129" s="166">
        <v>0</v>
      </c>
      <c r="V129" s="142"/>
      <c r="W129" s="142"/>
      <c r="X129" s="142"/>
      <c r="Y129" s="142"/>
      <c r="Z129" s="142"/>
      <c r="AA129" s="142"/>
      <c r="AB129" s="142"/>
      <c r="AC129" s="150"/>
      <c r="AD129" s="142"/>
      <c r="AE129" s="150"/>
      <c r="AF129" s="150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1"/>
      <c r="AV129" s="149">
        <f t="shared" si="98"/>
        <v>-10000</v>
      </c>
      <c r="AW129" s="149">
        <f t="shared" si="99"/>
        <v>846000</v>
      </c>
      <c r="AX129" s="145"/>
      <c r="AY129" s="149">
        <f t="shared" ref="AY129:AY139" si="100">ROUND(AW129/1000,0)*1000</f>
        <v>846000</v>
      </c>
      <c r="AZ129" s="146"/>
      <c r="BA129" s="146"/>
      <c r="BB129" s="145"/>
    </row>
    <row r="130" spans="1:54" ht="14.1" customHeight="1">
      <c r="A130" s="145">
        <v>130</v>
      </c>
      <c r="B130" s="144" t="s">
        <v>45</v>
      </c>
      <c r="C130" s="144" t="s">
        <v>655</v>
      </c>
      <c r="D130" s="144"/>
      <c r="E130" s="141"/>
      <c r="F130" s="150">
        <v>-14000</v>
      </c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66"/>
      <c r="V130" s="142"/>
      <c r="W130" s="142"/>
      <c r="X130" s="142"/>
      <c r="Y130" s="142"/>
      <c r="Z130" s="142"/>
      <c r="AA130" s="142"/>
      <c r="AB130" s="142"/>
      <c r="AC130" s="150"/>
      <c r="AD130" s="142"/>
      <c r="AE130" s="150"/>
      <c r="AF130" s="150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1"/>
      <c r="AV130" s="149">
        <f t="shared" si="98"/>
        <v>0</v>
      </c>
      <c r="AW130" s="149">
        <f t="shared" si="99"/>
        <v>-14000</v>
      </c>
      <c r="AX130" s="145"/>
      <c r="AY130" s="149">
        <f t="shared" si="100"/>
        <v>-14000</v>
      </c>
      <c r="AZ130" s="146"/>
      <c r="BA130" s="146"/>
      <c r="BB130" s="145"/>
    </row>
    <row r="131" spans="1:54" ht="14.1" customHeight="1">
      <c r="A131" s="145">
        <v>131</v>
      </c>
      <c r="B131" s="144" t="s">
        <v>47</v>
      </c>
      <c r="C131" s="144" t="s">
        <v>48</v>
      </c>
      <c r="D131" s="144"/>
      <c r="E131" s="141"/>
      <c r="F131" s="150">
        <v>3098000</v>
      </c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66"/>
      <c r="V131" s="142"/>
      <c r="W131" s="142"/>
      <c r="X131" s="142"/>
      <c r="Y131" s="142"/>
      <c r="Z131" s="142"/>
      <c r="AA131" s="142"/>
      <c r="AB131" s="142"/>
      <c r="AC131" s="150"/>
      <c r="AD131" s="142"/>
      <c r="AE131" s="150"/>
      <c r="AF131" s="150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1"/>
      <c r="AV131" s="149">
        <f t="shared" si="98"/>
        <v>0</v>
      </c>
      <c r="AW131" s="149">
        <f t="shared" si="99"/>
        <v>3098000</v>
      </c>
      <c r="AX131" s="145"/>
      <c r="AY131" s="173">
        <f t="shared" si="100"/>
        <v>3098000</v>
      </c>
      <c r="AZ131" s="146"/>
      <c r="BA131" s="146"/>
      <c r="BB131" s="145"/>
    </row>
    <row r="132" spans="1:54" ht="14.1" customHeight="1">
      <c r="A132" s="145">
        <v>132</v>
      </c>
      <c r="B132" s="144" t="s">
        <v>49</v>
      </c>
      <c r="C132" s="144" t="s">
        <v>50</v>
      </c>
      <c r="D132" s="144"/>
      <c r="E132" s="141"/>
      <c r="F132" s="150">
        <v>445000</v>
      </c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66"/>
      <c r="V132" s="142"/>
      <c r="W132" s="142"/>
      <c r="X132" s="142"/>
      <c r="Y132" s="142"/>
      <c r="Z132" s="142"/>
      <c r="AA132" s="142"/>
      <c r="AB132" s="142"/>
      <c r="AC132" s="150"/>
      <c r="AD132" s="142"/>
      <c r="AE132" s="150"/>
      <c r="AF132" s="150"/>
      <c r="AG132" s="150"/>
      <c r="AH132" s="150"/>
      <c r="AI132" s="166"/>
      <c r="AJ132" s="166">
        <v>598000</v>
      </c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1"/>
      <c r="AV132" s="149">
        <f t="shared" si="98"/>
        <v>598000</v>
      </c>
      <c r="AW132" s="149">
        <f t="shared" si="99"/>
        <v>1043000</v>
      </c>
      <c r="AX132" s="145"/>
      <c r="AY132" s="149">
        <f t="shared" si="100"/>
        <v>1043000</v>
      </c>
      <c r="AZ132" s="146"/>
      <c r="BA132" s="146"/>
      <c r="BB132" s="145"/>
    </row>
    <row r="133" spans="1:54" ht="14.1" customHeight="1">
      <c r="A133" s="145">
        <v>133</v>
      </c>
      <c r="B133" s="144" t="s">
        <v>51</v>
      </c>
      <c r="C133" s="144" t="s">
        <v>52</v>
      </c>
      <c r="D133" s="144"/>
      <c r="E133" s="141"/>
      <c r="F133" s="150">
        <v>1297000</v>
      </c>
      <c r="G133" s="142"/>
      <c r="H133" s="142"/>
      <c r="I133" s="142"/>
      <c r="J133" s="142"/>
      <c r="K133" s="142"/>
      <c r="L133" s="142"/>
      <c r="M133" s="142"/>
      <c r="N133" s="150">
        <v>-18000</v>
      </c>
      <c r="O133" s="142"/>
      <c r="P133" s="142"/>
      <c r="Q133" s="142"/>
      <c r="R133" s="142"/>
      <c r="S133" s="142"/>
      <c r="T133" s="142"/>
      <c r="U133" s="166">
        <v>-13000</v>
      </c>
      <c r="V133" s="142"/>
      <c r="W133" s="142"/>
      <c r="X133" s="142"/>
      <c r="Y133" s="142"/>
      <c r="Z133" s="142"/>
      <c r="AA133" s="142"/>
      <c r="AB133" s="142"/>
      <c r="AC133" s="150"/>
      <c r="AD133" s="142"/>
      <c r="AE133" s="150"/>
      <c r="AF133" s="150"/>
      <c r="AG133" s="150"/>
      <c r="AH133" s="150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1"/>
      <c r="AV133" s="149">
        <f t="shared" si="98"/>
        <v>-31000</v>
      </c>
      <c r="AW133" s="149">
        <f t="shared" si="99"/>
        <v>1266000</v>
      </c>
      <c r="AX133" s="145"/>
      <c r="AY133" s="149">
        <f t="shared" si="100"/>
        <v>1266000</v>
      </c>
      <c r="AZ133" s="146"/>
      <c r="BA133" s="146"/>
      <c r="BB133" s="145"/>
    </row>
    <row r="134" spans="1:54" ht="14.1" customHeight="1">
      <c r="A134" s="145">
        <v>134</v>
      </c>
      <c r="B134" s="144" t="s">
        <v>53</v>
      </c>
      <c r="C134" s="144" t="s">
        <v>54</v>
      </c>
      <c r="D134" s="144"/>
      <c r="E134" s="141"/>
      <c r="F134" s="150">
        <v>6987000</v>
      </c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66"/>
      <c r="V134" s="142"/>
      <c r="W134" s="142"/>
      <c r="X134" s="142"/>
      <c r="Y134" s="142"/>
      <c r="Z134" s="142"/>
      <c r="AA134" s="142"/>
      <c r="AB134" s="142"/>
      <c r="AC134" s="150"/>
      <c r="AD134" s="142"/>
      <c r="AE134" s="150">
        <v>15000</v>
      </c>
      <c r="AF134" s="150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1"/>
      <c r="AV134" s="149">
        <f t="shared" si="98"/>
        <v>15000</v>
      </c>
      <c r="AW134" s="149">
        <f t="shared" si="99"/>
        <v>7002000</v>
      </c>
      <c r="AX134" s="145"/>
      <c r="AY134" s="149">
        <f t="shared" si="100"/>
        <v>7002000</v>
      </c>
      <c r="AZ134" s="146"/>
      <c r="BA134" s="146"/>
      <c r="BB134" s="145"/>
    </row>
    <row r="135" spans="1:54" ht="14.1" customHeight="1">
      <c r="A135" s="145">
        <v>135</v>
      </c>
      <c r="B135" s="144" t="s">
        <v>55</v>
      </c>
      <c r="C135" s="144" t="s">
        <v>56</v>
      </c>
      <c r="D135" s="144"/>
      <c r="E135" s="141"/>
      <c r="F135" s="150">
        <v>0</v>
      </c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66"/>
      <c r="V135" s="142"/>
      <c r="W135" s="142"/>
      <c r="X135" s="142"/>
      <c r="Y135" s="142"/>
      <c r="Z135" s="142"/>
      <c r="AA135" s="142"/>
      <c r="AB135" s="142"/>
      <c r="AC135" s="150"/>
      <c r="AD135" s="142"/>
      <c r="AE135" s="150"/>
      <c r="AF135" s="150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1"/>
      <c r="AV135" s="149">
        <f t="shared" si="98"/>
        <v>0</v>
      </c>
      <c r="AW135" s="149">
        <f t="shared" si="99"/>
        <v>0</v>
      </c>
      <c r="AX135" s="145"/>
      <c r="AY135" s="149">
        <f t="shared" si="100"/>
        <v>0</v>
      </c>
      <c r="AZ135" s="146"/>
      <c r="BA135" s="146"/>
      <c r="BB135" s="145"/>
    </row>
    <row r="136" spans="1:54" ht="14.1" customHeight="1">
      <c r="A136" s="145">
        <v>136</v>
      </c>
      <c r="B136" s="144" t="s">
        <v>57</v>
      </c>
      <c r="C136" s="144" t="s">
        <v>58</v>
      </c>
      <c r="D136" s="144"/>
      <c r="E136" s="141"/>
      <c r="F136" s="150">
        <v>901000</v>
      </c>
      <c r="G136" s="142"/>
      <c r="H136" s="142"/>
      <c r="I136" s="142"/>
      <c r="J136" s="142"/>
      <c r="K136" s="142"/>
      <c r="L136" s="142"/>
      <c r="M136" s="150">
        <v>398000</v>
      </c>
      <c r="N136" s="142"/>
      <c r="O136" s="142"/>
      <c r="P136" s="142"/>
      <c r="Q136" s="142"/>
      <c r="R136" s="142"/>
      <c r="S136" s="150">
        <v>0</v>
      </c>
      <c r="T136" s="150">
        <v>1000</v>
      </c>
      <c r="U136" s="166">
        <v>0</v>
      </c>
      <c r="V136" s="166"/>
      <c r="W136" s="166"/>
      <c r="X136" s="166"/>
      <c r="Y136" s="150">
        <v>-358000</v>
      </c>
      <c r="Z136" s="150"/>
      <c r="AA136" s="150"/>
      <c r="AB136" s="150"/>
      <c r="AC136" s="150"/>
      <c r="AD136" s="166"/>
      <c r="AE136" s="150"/>
      <c r="AF136" s="150"/>
      <c r="AG136" s="142"/>
      <c r="AH136" s="142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41"/>
      <c r="AV136" s="149">
        <f t="shared" si="98"/>
        <v>41000</v>
      </c>
      <c r="AW136" s="149">
        <f t="shared" si="99"/>
        <v>942000</v>
      </c>
      <c r="AX136" s="145"/>
      <c r="AY136" s="149">
        <f t="shared" si="100"/>
        <v>942000</v>
      </c>
      <c r="AZ136" s="146"/>
      <c r="BA136" s="146"/>
      <c r="BB136" s="145"/>
    </row>
    <row r="137" spans="1:54" ht="14.1" customHeight="1">
      <c r="A137" s="145">
        <v>137</v>
      </c>
      <c r="B137" s="144" t="s">
        <v>59</v>
      </c>
      <c r="C137" s="144" t="s">
        <v>60</v>
      </c>
      <c r="D137" s="144"/>
      <c r="E137" s="141"/>
      <c r="F137" s="150">
        <v>1217000</v>
      </c>
      <c r="G137" s="142"/>
      <c r="H137" s="166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66">
        <v>-185000</v>
      </c>
      <c r="V137" s="142"/>
      <c r="W137" s="142"/>
      <c r="X137" s="142"/>
      <c r="Y137" s="166"/>
      <c r="Z137" s="166"/>
      <c r="AA137" s="166"/>
      <c r="AB137" s="166"/>
      <c r="AC137" s="150"/>
      <c r="AD137" s="166"/>
      <c r="AE137" s="150"/>
      <c r="AF137" s="150"/>
      <c r="AG137" s="142"/>
      <c r="AH137" s="142"/>
      <c r="AI137" s="166"/>
      <c r="AJ137" s="166"/>
      <c r="AK137" s="166">
        <v>21000</v>
      </c>
      <c r="AL137" s="166">
        <v>556000</v>
      </c>
      <c r="AM137" s="166"/>
      <c r="AN137" s="166"/>
      <c r="AO137" s="166"/>
      <c r="AP137" s="166"/>
      <c r="AQ137" s="166">
        <v>178000</v>
      </c>
      <c r="AR137" s="166"/>
      <c r="AS137" s="166"/>
      <c r="AT137" s="166">
        <v>-88000</v>
      </c>
      <c r="AU137" s="141"/>
      <c r="AV137" s="149">
        <f t="shared" si="98"/>
        <v>482000</v>
      </c>
      <c r="AW137" s="149">
        <f t="shared" si="99"/>
        <v>1699000</v>
      </c>
      <c r="AX137" s="145"/>
      <c r="AY137" s="149">
        <f>ROUND(AW137/1000,0)*1000</f>
        <v>1699000</v>
      </c>
      <c r="AZ137" s="146"/>
      <c r="BA137" s="146"/>
      <c r="BB137" s="145"/>
    </row>
    <row r="138" spans="1:54" ht="14.1" customHeight="1">
      <c r="A138" s="145">
        <v>138</v>
      </c>
      <c r="B138" s="144" t="s">
        <v>61</v>
      </c>
      <c r="C138" s="144" t="s">
        <v>2</v>
      </c>
      <c r="D138" s="144"/>
      <c r="E138" s="141"/>
      <c r="F138" s="150">
        <v>103000</v>
      </c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66"/>
      <c r="V138" s="142"/>
      <c r="W138" s="142"/>
      <c r="X138" s="142"/>
      <c r="Y138" s="142"/>
      <c r="Z138" s="142"/>
      <c r="AA138" s="142"/>
      <c r="AB138" s="142"/>
      <c r="AC138" s="150"/>
      <c r="AD138" s="142"/>
      <c r="AE138" s="150"/>
      <c r="AF138" s="150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1"/>
      <c r="AV138" s="149">
        <f t="shared" si="98"/>
        <v>0</v>
      </c>
      <c r="AW138" s="149">
        <f t="shared" si="99"/>
        <v>103000</v>
      </c>
      <c r="AX138" s="145"/>
      <c r="AY138" s="149">
        <f t="shared" si="100"/>
        <v>103000</v>
      </c>
      <c r="AZ138" s="146"/>
      <c r="BA138" s="146"/>
      <c r="BB138" s="145"/>
    </row>
    <row r="139" spans="1:54" ht="14.1" customHeight="1">
      <c r="A139" s="145">
        <v>139</v>
      </c>
      <c r="B139" s="144" t="s">
        <v>62</v>
      </c>
      <c r="C139" s="144" t="s">
        <v>63</v>
      </c>
      <c r="D139" s="144"/>
      <c r="E139" s="141"/>
      <c r="F139" s="150">
        <v>3107000</v>
      </c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66">
        <v>0</v>
      </c>
      <c r="V139" s="142"/>
      <c r="W139" s="142"/>
      <c r="X139" s="142"/>
      <c r="Y139" s="166"/>
      <c r="Z139" s="166"/>
      <c r="AA139" s="166"/>
      <c r="AB139" s="166"/>
      <c r="AC139" s="150"/>
      <c r="AD139" s="142"/>
      <c r="AE139" s="150"/>
      <c r="AF139" s="150"/>
      <c r="AG139" s="142"/>
      <c r="AH139" s="142"/>
      <c r="AI139" s="166"/>
      <c r="AJ139" s="166"/>
      <c r="AK139" s="166"/>
      <c r="AL139" s="142"/>
      <c r="AM139" s="142"/>
      <c r="AN139" s="142"/>
      <c r="AO139" s="142"/>
      <c r="AP139" s="142"/>
      <c r="AQ139" s="142"/>
      <c r="AR139" s="142"/>
      <c r="AS139" s="166"/>
      <c r="AT139" s="166"/>
      <c r="AU139" s="141"/>
      <c r="AV139" s="149">
        <f t="shared" si="98"/>
        <v>0</v>
      </c>
      <c r="AW139" s="149">
        <f t="shared" si="99"/>
        <v>3107000</v>
      </c>
      <c r="AX139" s="145"/>
      <c r="AY139" s="149">
        <f t="shared" si="100"/>
        <v>3107000</v>
      </c>
      <c r="AZ139" s="146"/>
      <c r="BA139" s="146"/>
      <c r="BB139" s="145"/>
    </row>
    <row r="140" spans="1:54" s="154" customFormat="1" ht="14.1" customHeight="1">
      <c r="A140" s="145">
        <v>140</v>
      </c>
      <c r="B140" s="157"/>
      <c r="C140" s="157" t="s">
        <v>64</v>
      </c>
      <c r="D140" s="157"/>
      <c r="E140" s="156"/>
      <c r="F140" s="159">
        <f t="shared" ref="F140:AR140" si="101">SUM(F128:F139)</f>
        <v>24398000</v>
      </c>
      <c r="G140" s="159">
        <f t="shared" si="101"/>
        <v>0</v>
      </c>
      <c r="H140" s="159">
        <f t="shared" si="101"/>
        <v>0</v>
      </c>
      <c r="I140" s="159">
        <f t="shared" si="101"/>
        <v>0</v>
      </c>
      <c r="J140" s="159">
        <f>SUM(J128:J139)</f>
        <v>0</v>
      </c>
      <c r="K140" s="159">
        <f>SUM(K128:K139)</f>
        <v>0</v>
      </c>
      <c r="L140" s="159">
        <f t="shared" si="101"/>
        <v>0</v>
      </c>
      <c r="M140" s="159">
        <f t="shared" si="101"/>
        <v>398000</v>
      </c>
      <c r="N140" s="159">
        <f t="shared" si="101"/>
        <v>-18000</v>
      </c>
      <c r="O140" s="159">
        <f t="shared" si="101"/>
        <v>0</v>
      </c>
      <c r="P140" s="159">
        <f>SUM(P128:P139)</f>
        <v>-10000</v>
      </c>
      <c r="Q140" s="159">
        <f>SUM(Q128:Q139)</f>
        <v>0</v>
      </c>
      <c r="R140" s="159">
        <f>SUM(R128:R139)</f>
        <v>0</v>
      </c>
      <c r="S140" s="159">
        <f>SUM(S128:S139)</f>
        <v>0</v>
      </c>
      <c r="T140" s="159">
        <f>SUM(T128:T139)</f>
        <v>-106000</v>
      </c>
      <c r="U140" s="159">
        <f t="shared" si="101"/>
        <v>-409000</v>
      </c>
      <c r="V140" s="159">
        <f t="shared" ref="V140:AA140" si="102">SUM(V128:V139)</f>
        <v>250000</v>
      </c>
      <c r="W140" s="159">
        <f t="shared" si="102"/>
        <v>0</v>
      </c>
      <c r="X140" s="159">
        <f t="shared" si="102"/>
        <v>0</v>
      </c>
      <c r="Y140" s="159">
        <f t="shared" si="102"/>
        <v>-358000</v>
      </c>
      <c r="Z140" s="159">
        <f t="shared" si="102"/>
        <v>0</v>
      </c>
      <c r="AA140" s="159">
        <f t="shared" si="102"/>
        <v>0</v>
      </c>
      <c r="AB140" s="159">
        <f t="shared" ref="AB140" si="103">SUM(AB128:AB139)</f>
        <v>0</v>
      </c>
      <c r="AC140" s="159">
        <f t="shared" si="101"/>
        <v>648000</v>
      </c>
      <c r="AD140" s="159">
        <f t="shared" si="101"/>
        <v>19000</v>
      </c>
      <c r="AE140" s="159">
        <f t="shared" si="101"/>
        <v>15000</v>
      </c>
      <c r="AF140" s="159">
        <f t="shared" si="101"/>
        <v>368000</v>
      </c>
      <c r="AG140" s="159">
        <f t="shared" si="101"/>
        <v>0</v>
      </c>
      <c r="AH140" s="159">
        <f t="shared" si="101"/>
        <v>113000</v>
      </c>
      <c r="AI140" s="159">
        <f>SUM(AI128:AI139)</f>
        <v>0</v>
      </c>
      <c r="AJ140" s="159">
        <f>SUM(AJ128:AJ139)</f>
        <v>598000</v>
      </c>
      <c r="AK140" s="159">
        <f t="shared" si="101"/>
        <v>21000</v>
      </c>
      <c r="AL140" s="159">
        <f t="shared" si="101"/>
        <v>556000</v>
      </c>
      <c r="AM140" s="159">
        <f t="shared" si="101"/>
        <v>0</v>
      </c>
      <c r="AN140" s="159">
        <f t="shared" si="101"/>
        <v>0</v>
      </c>
      <c r="AO140" s="159">
        <f t="shared" si="101"/>
        <v>0</v>
      </c>
      <c r="AP140" s="159">
        <f t="shared" si="101"/>
        <v>0</v>
      </c>
      <c r="AQ140" s="159">
        <f t="shared" si="101"/>
        <v>178000</v>
      </c>
      <c r="AR140" s="159">
        <f t="shared" si="101"/>
        <v>150000</v>
      </c>
      <c r="AS140" s="159">
        <f t="shared" ref="AS140:AT140" si="104">SUM(AS128:AS139)</f>
        <v>0</v>
      </c>
      <c r="AT140" s="159">
        <f t="shared" si="104"/>
        <v>-88000</v>
      </c>
      <c r="AU140" s="158"/>
      <c r="AV140" s="158">
        <f>SUM(AV128:AV139)</f>
        <v>2325000</v>
      </c>
      <c r="AW140" s="158">
        <f>SUM(AW128:AW139)</f>
        <v>26723000</v>
      </c>
      <c r="AX140" s="152" t="str">
        <f>IF(ROUND(SUM(F140:AT140),0)=ROUND(AW140,0),"ok","crossfoot error")</f>
        <v>ok</v>
      </c>
      <c r="AY140" s="158">
        <f>SUM(AY128:AY139)/1000</f>
        <v>26723</v>
      </c>
      <c r="AZ140" s="147">
        <v>26721.970999999998</v>
      </c>
      <c r="BA140" s="146">
        <f>AY140-AZ140</f>
        <v>1.0290000000022701</v>
      </c>
      <c r="BB140" s="152"/>
    </row>
    <row r="141" spans="1:54" ht="14.1" customHeight="1">
      <c r="A141" s="145">
        <v>141</v>
      </c>
      <c r="B141" s="144"/>
      <c r="C141" s="144"/>
      <c r="D141" s="144"/>
      <c r="E141" s="141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1"/>
      <c r="AV141" s="149"/>
      <c r="AW141" s="149"/>
      <c r="AX141" s="145"/>
      <c r="AY141" s="149"/>
      <c r="AZ141" s="146"/>
      <c r="BA141" s="146"/>
      <c r="BB141" s="145"/>
    </row>
    <row r="142" spans="1:54" s="154" customFormat="1" ht="14.1" customHeight="1">
      <c r="A142" s="145">
        <v>142</v>
      </c>
      <c r="B142" s="157"/>
      <c r="C142" s="157" t="s">
        <v>65</v>
      </c>
      <c r="D142" s="157"/>
      <c r="E142" s="156"/>
      <c r="F142" s="155">
        <f t="shared" ref="F142:AR142" si="105">F140+F118</f>
        <v>206917000</v>
      </c>
      <c r="G142" s="155">
        <f t="shared" si="105"/>
        <v>0</v>
      </c>
      <c r="H142" s="155">
        <f>H140+H118</f>
        <v>0</v>
      </c>
      <c r="I142" s="155">
        <f t="shared" si="105"/>
        <v>0</v>
      </c>
      <c r="J142" s="155">
        <f>J140+J118</f>
        <v>0</v>
      </c>
      <c r="K142" s="155">
        <f>K140+K118</f>
        <v>0</v>
      </c>
      <c r="L142" s="155">
        <f t="shared" si="105"/>
        <v>927000</v>
      </c>
      <c r="M142" s="155">
        <f t="shared" si="105"/>
        <v>398000</v>
      </c>
      <c r="N142" s="155">
        <f t="shared" si="105"/>
        <v>-18000</v>
      </c>
      <c r="O142" s="155">
        <f t="shared" si="105"/>
        <v>0</v>
      </c>
      <c r="P142" s="155">
        <f>P140+P118</f>
        <v>-10000</v>
      </c>
      <c r="Q142" s="155">
        <f>Q140+Q118</f>
        <v>0</v>
      </c>
      <c r="R142" s="155">
        <f>R140+R118</f>
        <v>0</v>
      </c>
      <c r="S142" s="155">
        <f>S140+S118</f>
        <v>-57000</v>
      </c>
      <c r="T142" s="155">
        <f>T140+T118</f>
        <v>-71751000</v>
      </c>
      <c r="U142" s="155">
        <f t="shared" si="105"/>
        <v>-415000</v>
      </c>
      <c r="V142" s="155">
        <f t="shared" ref="V142:AA142" si="106">V140+V118</f>
        <v>250000</v>
      </c>
      <c r="W142" s="155">
        <f t="shared" si="106"/>
        <v>0</v>
      </c>
      <c r="X142" s="155">
        <f t="shared" si="106"/>
        <v>0</v>
      </c>
      <c r="Y142" s="155">
        <f t="shared" si="106"/>
        <v>-91171000</v>
      </c>
      <c r="Z142" s="155">
        <f t="shared" si="106"/>
        <v>0</v>
      </c>
      <c r="AA142" s="155">
        <f t="shared" si="106"/>
        <v>0</v>
      </c>
      <c r="AB142" s="155">
        <f t="shared" ref="AB142" si="107">AB140+AB118</f>
        <v>-691000</v>
      </c>
      <c r="AC142" s="155">
        <f t="shared" si="105"/>
        <v>1826000</v>
      </c>
      <c r="AD142" s="155">
        <f t="shared" si="105"/>
        <v>19000</v>
      </c>
      <c r="AE142" s="155">
        <f t="shared" si="105"/>
        <v>41000</v>
      </c>
      <c r="AF142" s="155">
        <f t="shared" si="105"/>
        <v>368000</v>
      </c>
      <c r="AG142" s="155">
        <f t="shared" si="105"/>
        <v>78000</v>
      </c>
      <c r="AH142" s="155">
        <f t="shared" si="105"/>
        <v>113000</v>
      </c>
      <c r="AI142" s="155">
        <f>AI140+AI118</f>
        <v>0</v>
      </c>
      <c r="AJ142" s="155">
        <f>AJ140+AJ118</f>
        <v>598000</v>
      </c>
      <c r="AK142" s="155">
        <f t="shared" si="105"/>
        <v>21000</v>
      </c>
      <c r="AL142" s="155">
        <f t="shared" si="105"/>
        <v>1634000</v>
      </c>
      <c r="AM142" s="155">
        <f t="shared" si="105"/>
        <v>0</v>
      </c>
      <c r="AN142" s="155">
        <f t="shared" si="105"/>
        <v>0</v>
      </c>
      <c r="AO142" s="155">
        <f t="shared" si="105"/>
        <v>0</v>
      </c>
      <c r="AP142" s="155">
        <f t="shared" si="105"/>
        <v>0</v>
      </c>
      <c r="AQ142" s="155">
        <f t="shared" si="105"/>
        <v>178000</v>
      </c>
      <c r="AR142" s="155">
        <f t="shared" si="105"/>
        <v>150000</v>
      </c>
      <c r="AS142" s="155">
        <f t="shared" ref="AS142:AT142" si="108">AS140+AS118</f>
        <v>0</v>
      </c>
      <c r="AT142" s="155">
        <f t="shared" si="108"/>
        <v>-278000</v>
      </c>
      <c r="AU142" s="148"/>
      <c r="AV142" s="148">
        <f>AV140+AV118</f>
        <v>-157789499</v>
      </c>
      <c r="AW142" s="148">
        <f>AW140+AW118</f>
        <v>49127501</v>
      </c>
      <c r="AX142" s="152" t="str">
        <f>IF(ROUND(SUM(F142:AT142),0)=ROUND(AW142,0),"ok","crossfoot error")</f>
        <v>crossfoot error</v>
      </c>
      <c r="AY142" s="148">
        <f>AY140+AY118</f>
        <v>49128</v>
      </c>
      <c r="AZ142" s="484">
        <v>49123.451999999997</v>
      </c>
      <c r="BA142" s="146">
        <f>AY142-AZ142</f>
        <v>4.5480000000025029</v>
      </c>
      <c r="BB142" s="152"/>
    </row>
    <row r="143" spans="1:54" ht="14.1" customHeight="1">
      <c r="A143" s="145">
        <v>143</v>
      </c>
      <c r="B143" s="144"/>
      <c r="C143" s="144"/>
      <c r="D143" s="144"/>
      <c r="E143" s="141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1"/>
      <c r="AV143" s="149"/>
      <c r="AW143" s="149"/>
      <c r="AX143" s="145"/>
      <c r="AY143" s="149"/>
      <c r="AZ143" s="146"/>
      <c r="BA143" s="146"/>
      <c r="BB143" s="145"/>
    </row>
    <row r="144" spans="1:54" ht="14.1" customHeight="1">
      <c r="A144" s="145">
        <v>144</v>
      </c>
      <c r="B144" s="157" t="s">
        <v>66</v>
      </c>
      <c r="C144" s="144"/>
      <c r="D144" s="144"/>
      <c r="E144" s="141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1"/>
      <c r="AV144" s="149"/>
      <c r="AW144" s="149"/>
      <c r="AX144" s="145"/>
      <c r="AY144" s="149"/>
      <c r="AZ144" s="146"/>
      <c r="BA144" s="146"/>
      <c r="BB144" s="145"/>
    </row>
    <row r="145" spans="1:54" ht="14.1" customHeight="1">
      <c r="A145" s="145">
        <v>145</v>
      </c>
      <c r="B145" s="144"/>
      <c r="C145" s="144" t="s">
        <v>654</v>
      </c>
      <c r="D145" s="144"/>
      <c r="E145" s="141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1"/>
      <c r="AV145" s="149"/>
      <c r="AW145" s="149"/>
      <c r="AX145" s="145"/>
      <c r="AY145" s="149"/>
      <c r="AZ145" s="146"/>
      <c r="BA145" s="146"/>
      <c r="BB145" s="145"/>
    </row>
    <row r="146" spans="1:54" ht="14.1" customHeight="1">
      <c r="A146" s="145">
        <v>146</v>
      </c>
      <c r="B146" s="144"/>
      <c r="C146" s="144" t="s">
        <v>653</v>
      </c>
      <c r="D146" s="144"/>
      <c r="E146" s="141"/>
      <c r="F146" s="166">
        <v>0</v>
      </c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1"/>
      <c r="AV146" s="149">
        <f>SUM(G146:AT146)</f>
        <v>0</v>
      </c>
      <c r="AW146" s="149">
        <f>F146+AV146</f>
        <v>0</v>
      </c>
      <c r="AX146" s="145"/>
      <c r="AY146" s="149"/>
      <c r="AZ146" s="146"/>
      <c r="BA146" s="146"/>
      <c r="BB146" s="145"/>
    </row>
    <row r="147" spans="1:54" ht="14.1" customHeight="1">
      <c r="A147" s="145">
        <v>147</v>
      </c>
      <c r="B147" s="144"/>
      <c r="C147" s="144" t="s">
        <v>652</v>
      </c>
      <c r="D147" s="144"/>
      <c r="E147" s="141"/>
      <c r="F147" s="166">
        <v>161000</v>
      </c>
      <c r="G147" s="142"/>
      <c r="H147" s="142"/>
      <c r="I147" s="142"/>
      <c r="J147" s="142"/>
      <c r="K147" s="166">
        <v>32000</v>
      </c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50"/>
      <c r="Z147" s="150"/>
      <c r="AA147" s="150"/>
      <c r="AB147" s="150"/>
      <c r="AC147" s="142"/>
      <c r="AD147" s="142"/>
      <c r="AE147" s="142"/>
      <c r="AF147" s="142"/>
      <c r="AG147" s="142"/>
      <c r="AH147" s="142"/>
      <c r="AI147" s="150">
        <v>57000</v>
      </c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41"/>
      <c r="AV147" s="149">
        <f>SUM(G147:AT147)</f>
        <v>89000</v>
      </c>
      <c r="AW147" s="149">
        <f>F147+AV147</f>
        <v>250000</v>
      </c>
      <c r="AX147" s="145"/>
      <c r="AY147" s="149">
        <f>ROUND(AW147/1000,0)</f>
        <v>250</v>
      </c>
      <c r="AZ147" s="147">
        <v>250</v>
      </c>
      <c r="BA147" s="146">
        <f>AY147-AZ147</f>
        <v>0</v>
      </c>
      <c r="BB147" s="145"/>
    </row>
    <row r="148" spans="1:54" ht="14.1" customHeight="1">
      <c r="A148" s="145">
        <v>148</v>
      </c>
      <c r="B148" s="144"/>
      <c r="C148" s="144" t="s">
        <v>644</v>
      </c>
      <c r="D148" s="144"/>
      <c r="E148" s="141"/>
      <c r="F148" s="166">
        <v>8703000</v>
      </c>
      <c r="G148" s="142"/>
      <c r="H148" s="142"/>
      <c r="I148" s="142"/>
      <c r="J148" s="166">
        <v>0</v>
      </c>
      <c r="K148" s="166">
        <v>0</v>
      </c>
      <c r="L148" s="142"/>
      <c r="M148" s="142"/>
      <c r="N148" s="142"/>
      <c r="O148" s="142"/>
      <c r="P148" s="142"/>
      <c r="Q148" s="142"/>
      <c r="R148" s="142"/>
      <c r="S148" s="166"/>
      <c r="T148" s="142"/>
      <c r="U148" s="142"/>
      <c r="V148" s="142"/>
      <c r="W148" s="142"/>
      <c r="X148" s="142"/>
      <c r="Y148" s="166">
        <v>0</v>
      </c>
      <c r="Z148" s="166"/>
      <c r="AA148" s="166"/>
      <c r="AB148" s="166"/>
      <c r="AC148" s="142"/>
      <c r="AD148" s="142"/>
      <c r="AE148" s="142"/>
      <c r="AF148" s="142"/>
      <c r="AG148" s="142"/>
      <c r="AH148" s="142"/>
      <c r="AI148" s="150">
        <v>889000</v>
      </c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41"/>
      <c r="AV148" s="149">
        <f>SUM(G148:AT148)</f>
        <v>889000</v>
      </c>
      <c r="AW148" s="149">
        <f>F148+AV148</f>
        <v>9592000</v>
      </c>
      <c r="AX148" s="145"/>
      <c r="AY148" s="149">
        <f>ROUND(AW148/1000,0)</f>
        <v>9592</v>
      </c>
      <c r="AZ148" s="147"/>
      <c r="BA148" s="146">
        <f>AY148-AZ148</f>
        <v>9592</v>
      </c>
      <c r="BB148" s="146">
        <f>BA148+BA153</f>
        <v>5672</v>
      </c>
    </row>
    <row r="149" spans="1:54" ht="14.1" customHeight="1">
      <c r="A149" s="145">
        <v>149</v>
      </c>
      <c r="B149" s="144"/>
      <c r="C149" s="144" t="s">
        <v>651</v>
      </c>
      <c r="D149" s="144"/>
      <c r="E149" s="141"/>
      <c r="F149" s="166">
        <v>1132000</v>
      </c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50"/>
      <c r="AJ149" s="150"/>
      <c r="AK149" s="150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1"/>
      <c r="AV149" s="149">
        <f>SUM(G149:AT149)</f>
        <v>0</v>
      </c>
      <c r="AW149" s="149">
        <f>F149+AV149</f>
        <v>1132000</v>
      </c>
      <c r="AX149" s="145"/>
      <c r="AY149" s="149">
        <f>ROUND(AW149/1000,0)</f>
        <v>1132</v>
      </c>
      <c r="AZ149" s="147">
        <v>1132</v>
      </c>
      <c r="BA149" s="146">
        <f>AY149-AZ149</f>
        <v>0</v>
      </c>
      <c r="BB149" s="145"/>
    </row>
    <row r="150" spans="1:54" s="154" customFormat="1" ht="14.1" customHeight="1">
      <c r="A150" s="145">
        <v>150</v>
      </c>
      <c r="B150" s="157"/>
      <c r="C150" s="157" t="s">
        <v>650</v>
      </c>
      <c r="D150" s="157"/>
      <c r="E150" s="156"/>
      <c r="F150" s="159">
        <f t="shared" ref="F150:AR150" si="109">SUM(F146:F149)</f>
        <v>9996000</v>
      </c>
      <c r="G150" s="159">
        <f t="shared" si="109"/>
        <v>0</v>
      </c>
      <c r="H150" s="159">
        <f t="shared" si="109"/>
        <v>0</v>
      </c>
      <c r="I150" s="159">
        <f t="shared" si="109"/>
        <v>0</v>
      </c>
      <c r="J150" s="159">
        <f>SUM(J146:J149)</f>
        <v>0</v>
      </c>
      <c r="K150" s="159">
        <f>SUM(K146:K149)</f>
        <v>32000</v>
      </c>
      <c r="L150" s="159">
        <f t="shared" si="109"/>
        <v>0</v>
      </c>
      <c r="M150" s="159">
        <f t="shared" si="109"/>
        <v>0</v>
      </c>
      <c r="N150" s="159">
        <f t="shared" si="109"/>
        <v>0</v>
      </c>
      <c r="O150" s="159">
        <f t="shared" si="109"/>
        <v>0</v>
      </c>
      <c r="P150" s="159">
        <f>SUM(P146:P149)</f>
        <v>0</v>
      </c>
      <c r="Q150" s="159">
        <f>SUM(Q146:Q149)</f>
        <v>0</v>
      </c>
      <c r="R150" s="159">
        <f>SUM(R146:R149)</f>
        <v>0</v>
      </c>
      <c r="S150" s="159">
        <f>SUM(S146:S149)</f>
        <v>0</v>
      </c>
      <c r="T150" s="159">
        <f>SUM(T146:T149)</f>
        <v>0</v>
      </c>
      <c r="U150" s="159">
        <f t="shared" si="109"/>
        <v>0</v>
      </c>
      <c r="V150" s="159">
        <f t="shared" ref="V150:AB150" si="110">SUM(V146:V149)</f>
        <v>0</v>
      </c>
      <c r="W150" s="159">
        <f t="shared" si="110"/>
        <v>0</v>
      </c>
      <c r="X150" s="159">
        <f t="shared" si="110"/>
        <v>0</v>
      </c>
      <c r="Y150" s="159">
        <f t="shared" si="110"/>
        <v>0</v>
      </c>
      <c r="Z150" s="159">
        <f t="shared" si="110"/>
        <v>0</v>
      </c>
      <c r="AA150" s="159">
        <f t="shared" si="110"/>
        <v>0</v>
      </c>
      <c r="AB150" s="159">
        <f t="shared" si="110"/>
        <v>0</v>
      </c>
      <c r="AC150" s="159">
        <f t="shared" si="109"/>
        <v>0</v>
      </c>
      <c r="AD150" s="159">
        <f t="shared" si="109"/>
        <v>0</v>
      </c>
      <c r="AE150" s="159">
        <f t="shared" si="109"/>
        <v>0</v>
      </c>
      <c r="AF150" s="159">
        <f t="shared" si="109"/>
        <v>0</v>
      </c>
      <c r="AG150" s="159">
        <f t="shared" si="109"/>
        <v>0</v>
      </c>
      <c r="AH150" s="159">
        <f t="shared" si="109"/>
        <v>0</v>
      </c>
      <c r="AI150" s="159">
        <f>SUM(AI146:AI149)</f>
        <v>946000</v>
      </c>
      <c r="AJ150" s="159">
        <f>SUM(AJ146:AJ149)</f>
        <v>0</v>
      </c>
      <c r="AK150" s="159">
        <f t="shared" si="109"/>
        <v>0</v>
      </c>
      <c r="AL150" s="159">
        <f t="shared" si="109"/>
        <v>0</v>
      </c>
      <c r="AM150" s="159">
        <f t="shared" si="109"/>
        <v>0</v>
      </c>
      <c r="AN150" s="159">
        <f t="shared" si="109"/>
        <v>0</v>
      </c>
      <c r="AO150" s="159">
        <f t="shared" si="109"/>
        <v>0</v>
      </c>
      <c r="AP150" s="159">
        <f t="shared" si="109"/>
        <v>0</v>
      </c>
      <c r="AQ150" s="159">
        <f t="shared" si="109"/>
        <v>0</v>
      </c>
      <c r="AR150" s="159">
        <f t="shared" si="109"/>
        <v>0</v>
      </c>
      <c r="AS150" s="159">
        <f t="shared" ref="AS150:AT150" si="111">SUM(AS146:AS149)</f>
        <v>0</v>
      </c>
      <c r="AT150" s="159">
        <f t="shared" si="111"/>
        <v>0</v>
      </c>
      <c r="AU150" s="158"/>
      <c r="AV150" s="158">
        <f>SUM(AV146:AV149)</f>
        <v>978000</v>
      </c>
      <c r="AW150" s="158">
        <f>SUM(AW146:AW149)</f>
        <v>10974000</v>
      </c>
      <c r="AX150" s="152" t="str">
        <f>IF(ROUND(SUM(F150:AT150),0)=ROUND(AW150,0),"ok","crossfoot error")</f>
        <v>ok</v>
      </c>
      <c r="AY150" s="158">
        <f>SUM(AY146:AY149)</f>
        <v>10974</v>
      </c>
      <c r="AZ150" s="146"/>
      <c r="BA150" s="146"/>
      <c r="BB150" s="152"/>
    </row>
    <row r="151" spans="1:54" ht="14.1" customHeight="1">
      <c r="A151" s="145">
        <v>151</v>
      </c>
      <c r="B151" s="144"/>
      <c r="C151" s="144"/>
      <c r="D151" s="144"/>
      <c r="E151" s="141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1"/>
      <c r="AV151" s="149"/>
      <c r="AW151" s="149"/>
      <c r="AX151" s="145"/>
      <c r="AY151" s="149"/>
      <c r="AZ151" s="146"/>
      <c r="BA151" s="146"/>
      <c r="BB151" s="145"/>
    </row>
    <row r="152" spans="1:54" ht="14.1" customHeight="1">
      <c r="A152" s="145">
        <v>152</v>
      </c>
      <c r="B152" s="144"/>
      <c r="C152" s="144" t="s">
        <v>649</v>
      </c>
      <c r="D152" s="144"/>
      <c r="E152" s="141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1"/>
      <c r="AV152" s="149"/>
      <c r="AW152" s="149"/>
      <c r="AX152" s="145"/>
      <c r="AY152" s="149"/>
      <c r="AZ152" s="146"/>
      <c r="BA152" s="146"/>
      <c r="BB152" s="145"/>
    </row>
    <row r="153" spans="1:54" ht="14.1" customHeight="1">
      <c r="A153" s="145">
        <v>153</v>
      </c>
      <c r="B153" s="144"/>
      <c r="C153" s="144" t="s">
        <v>644</v>
      </c>
      <c r="D153" s="144"/>
      <c r="E153" s="141"/>
      <c r="F153" s="150">
        <v>9540000</v>
      </c>
      <c r="G153" s="142"/>
      <c r="H153" s="142"/>
      <c r="I153" s="142"/>
      <c r="J153" s="150"/>
      <c r="K153" s="150"/>
      <c r="L153" s="166">
        <v>0</v>
      </c>
      <c r="M153" s="142"/>
      <c r="N153" s="142"/>
      <c r="O153" s="142"/>
      <c r="P153" s="142"/>
      <c r="Q153" s="150">
        <v>-4000</v>
      </c>
      <c r="R153" s="142"/>
      <c r="S153" s="150">
        <v>1000</v>
      </c>
      <c r="T153" s="150">
        <v>-1022000</v>
      </c>
      <c r="U153" s="142"/>
      <c r="V153" s="142"/>
      <c r="W153" s="142"/>
      <c r="X153" s="142"/>
      <c r="Y153" s="166">
        <v>-3429000</v>
      </c>
      <c r="Z153" s="166"/>
      <c r="AA153" s="166"/>
      <c r="AB153" s="166"/>
      <c r="AC153" s="142"/>
      <c r="AD153" s="142"/>
      <c r="AE153" s="142"/>
      <c r="AF153" s="142"/>
      <c r="AG153" s="142"/>
      <c r="AH153" s="142"/>
      <c r="AI153" s="166"/>
      <c r="AJ153" s="166"/>
      <c r="AK153" s="166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1"/>
      <c r="AV153" s="149">
        <f>SUM(G153:AU153)</f>
        <v>-4454000</v>
      </c>
      <c r="AW153" s="149">
        <f>F153+AV153</f>
        <v>5086000</v>
      </c>
      <c r="AX153" s="145"/>
      <c r="AY153" s="148">
        <f>ROUND(AW153/1000,0)</f>
        <v>5086</v>
      </c>
      <c r="AZ153" s="147">
        <v>9006</v>
      </c>
      <c r="BA153" s="146">
        <f>AY153-AZ153</f>
        <v>-3920</v>
      </c>
      <c r="BB153" s="146">
        <f>BA153+BA148</f>
        <v>5672</v>
      </c>
    </row>
    <row r="154" spans="1:54" ht="14.1" customHeight="1">
      <c r="A154" s="145">
        <v>154</v>
      </c>
      <c r="B154" s="144"/>
      <c r="C154" s="144"/>
      <c r="D154" s="144"/>
      <c r="E154" s="141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1"/>
      <c r="AV154" s="149"/>
      <c r="AW154" s="149"/>
      <c r="AX154" s="145"/>
      <c r="AY154" s="149"/>
      <c r="AZ154" s="146"/>
      <c r="BA154" s="146"/>
      <c r="BB154" s="145"/>
    </row>
    <row r="155" spans="1:54" ht="14.1" customHeight="1">
      <c r="A155" s="145">
        <v>155</v>
      </c>
      <c r="B155" s="144"/>
      <c r="C155" s="144" t="s">
        <v>648</v>
      </c>
      <c r="D155" s="144"/>
      <c r="E155" s="141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1"/>
      <c r="AV155" s="149"/>
      <c r="AW155" s="149"/>
      <c r="AX155" s="145"/>
      <c r="AY155" s="149"/>
      <c r="AZ155" s="146"/>
      <c r="BA155" s="146"/>
      <c r="BB155" s="145"/>
    </row>
    <row r="156" spans="1:54" ht="14.1" customHeight="1">
      <c r="A156" s="145">
        <v>156</v>
      </c>
      <c r="B156" s="144"/>
      <c r="C156" s="144" t="s">
        <v>644</v>
      </c>
      <c r="D156" s="144"/>
      <c r="E156" s="141"/>
      <c r="F156" s="150">
        <v>2760000</v>
      </c>
      <c r="G156" s="142"/>
      <c r="H156" s="142"/>
      <c r="I156" s="142"/>
      <c r="J156" s="150">
        <v>-8688000</v>
      </c>
      <c r="K156" s="150">
        <v>256000</v>
      </c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1"/>
      <c r="AV156" s="149">
        <f>SUM(G156:AT156)</f>
        <v>-8432000</v>
      </c>
      <c r="AW156" s="149">
        <f>F156+AV156</f>
        <v>-5672000</v>
      </c>
      <c r="AX156" s="145"/>
      <c r="AY156" s="149">
        <f>ROUND(AW156/1000,0)</f>
        <v>-5672</v>
      </c>
      <c r="AZ156" s="146"/>
      <c r="BA156" s="146"/>
      <c r="BB156" s="145"/>
    </row>
    <row r="157" spans="1:54" ht="14.1" customHeight="1">
      <c r="A157" s="145">
        <v>157</v>
      </c>
      <c r="B157" s="144"/>
      <c r="C157" s="144" t="s">
        <v>647</v>
      </c>
      <c r="D157" s="144"/>
      <c r="E157" s="141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1"/>
      <c r="AV157" s="149">
        <f>SUM(G157:AT157)</f>
        <v>0</v>
      </c>
      <c r="AW157" s="149">
        <f>F157+AV157</f>
        <v>0</v>
      </c>
      <c r="AX157" s="145"/>
      <c r="AY157" s="149">
        <f>ROUND(AW157/1000,0)</f>
        <v>0</v>
      </c>
      <c r="AZ157" s="146"/>
      <c r="BA157" s="146"/>
      <c r="BB157" s="145"/>
    </row>
    <row r="158" spans="1:54" ht="14.1" customHeight="1">
      <c r="A158" s="145">
        <v>158</v>
      </c>
      <c r="B158" s="144"/>
      <c r="C158" s="144" t="s">
        <v>647</v>
      </c>
      <c r="D158" s="144"/>
      <c r="E158" s="141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1"/>
      <c r="AV158" s="149">
        <f>SUM(G158:AT158)</f>
        <v>0</v>
      </c>
      <c r="AW158" s="149">
        <f>F158+AV158</f>
        <v>0</v>
      </c>
      <c r="AX158" s="145"/>
      <c r="AY158" s="149">
        <f>ROUND(AW158/1000,0)</f>
        <v>0</v>
      </c>
      <c r="AZ158" s="146"/>
      <c r="BA158" s="146"/>
      <c r="BB158" s="145"/>
    </row>
    <row r="159" spans="1:54" s="154" customFormat="1" ht="14.1" customHeight="1">
      <c r="A159" s="145">
        <v>159</v>
      </c>
      <c r="B159" s="157"/>
      <c r="C159" s="157" t="s">
        <v>646</v>
      </c>
      <c r="D159" s="157"/>
      <c r="E159" s="156"/>
      <c r="F159" s="159">
        <f>SUM(F156:F158)</f>
        <v>2760000</v>
      </c>
      <c r="G159" s="159">
        <f t="shared" ref="G159:AR159" si="112">SUM(G156:G158)</f>
        <v>0</v>
      </c>
      <c r="H159" s="159">
        <f t="shared" si="112"/>
        <v>0</v>
      </c>
      <c r="I159" s="159">
        <f t="shared" si="112"/>
        <v>0</v>
      </c>
      <c r="J159" s="159">
        <f>SUM(J156:J158)</f>
        <v>-8688000</v>
      </c>
      <c r="K159" s="159">
        <f>SUM(K156:K158)</f>
        <v>256000</v>
      </c>
      <c r="L159" s="159">
        <f>SUM(L156:L158)</f>
        <v>0</v>
      </c>
      <c r="M159" s="159">
        <f t="shared" si="112"/>
        <v>0</v>
      </c>
      <c r="N159" s="159">
        <f t="shared" si="112"/>
        <v>0</v>
      </c>
      <c r="O159" s="159">
        <f t="shared" si="112"/>
        <v>0</v>
      </c>
      <c r="P159" s="159">
        <f>SUM(P156:P158)</f>
        <v>0</v>
      </c>
      <c r="Q159" s="159">
        <f>SUM(Q156:Q158)</f>
        <v>0</v>
      </c>
      <c r="R159" s="159">
        <f>SUM(R156:R158)</f>
        <v>0</v>
      </c>
      <c r="S159" s="159">
        <f>SUM(S156:S158)</f>
        <v>0</v>
      </c>
      <c r="T159" s="159">
        <f>SUM(T156:T158)</f>
        <v>0</v>
      </c>
      <c r="U159" s="159">
        <f t="shared" si="112"/>
        <v>0</v>
      </c>
      <c r="V159" s="159">
        <f t="shared" ref="V159:AB159" si="113">SUM(V156:V158)</f>
        <v>0</v>
      </c>
      <c r="W159" s="159">
        <f t="shared" si="113"/>
        <v>0</v>
      </c>
      <c r="X159" s="159">
        <f t="shared" si="113"/>
        <v>0</v>
      </c>
      <c r="Y159" s="159">
        <f t="shared" si="113"/>
        <v>0</v>
      </c>
      <c r="Z159" s="159">
        <f t="shared" si="113"/>
        <v>0</v>
      </c>
      <c r="AA159" s="159">
        <f t="shared" si="113"/>
        <v>0</v>
      </c>
      <c r="AB159" s="159">
        <f t="shared" si="113"/>
        <v>0</v>
      </c>
      <c r="AC159" s="159">
        <f t="shared" si="112"/>
        <v>0</v>
      </c>
      <c r="AD159" s="159">
        <f t="shared" si="112"/>
        <v>0</v>
      </c>
      <c r="AE159" s="159">
        <f t="shared" si="112"/>
        <v>0</v>
      </c>
      <c r="AF159" s="159">
        <f t="shared" si="112"/>
        <v>0</v>
      </c>
      <c r="AG159" s="159">
        <f t="shared" si="112"/>
        <v>0</v>
      </c>
      <c r="AH159" s="159">
        <f t="shared" si="112"/>
        <v>0</v>
      </c>
      <c r="AI159" s="159">
        <f>SUM(AI156:AI158)</f>
        <v>0</v>
      </c>
      <c r="AJ159" s="159">
        <f>SUM(AJ156:AJ158)</f>
        <v>0</v>
      </c>
      <c r="AK159" s="159">
        <f t="shared" si="112"/>
        <v>0</v>
      </c>
      <c r="AL159" s="159">
        <f t="shared" si="112"/>
        <v>0</v>
      </c>
      <c r="AM159" s="159">
        <f t="shared" si="112"/>
        <v>0</v>
      </c>
      <c r="AN159" s="159">
        <f t="shared" si="112"/>
        <v>0</v>
      </c>
      <c r="AO159" s="159">
        <f t="shared" si="112"/>
        <v>0</v>
      </c>
      <c r="AP159" s="159">
        <f t="shared" si="112"/>
        <v>0</v>
      </c>
      <c r="AQ159" s="159">
        <f t="shared" si="112"/>
        <v>0</v>
      </c>
      <c r="AR159" s="159">
        <f t="shared" si="112"/>
        <v>0</v>
      </c>
      <c r="AS159" s="159">
        <f t="shared" ref="AS159:AT159" si="114">SUM(AS156:AS158)</f>
        <v>0</v>
      </c>
      <c r="AT159" s="159">
        <f t="shared" si="114"/>
        <v>0</v>
      </c>
      <c r="AU159" s="158"/>
      <c r="AV159" s="158">
        <f>SUM(AV156:AV158)</f>
        <v>-8432000</v>
      </c>
      <c r="AW159" s="158">
        <f>SUM(AW156:AW158)</f>
        <v>-5672000</v>
      </c>
      <c r="AX159" s="152" t="str">
        <f>IF(ROUND(SUM(F159:AT159),0)=ROUND(AW159,0),"ok","crossfoot error")</f>
        <v>ok</v>
      </c>
      <c r="AY159" s="158">
        <f>SUM(AY156:AY158)</f>
        <v>-5672</v>
      </c>
      <c r="AZ159" s="146"/>
      <c r="BA159" s="146"/>
      <c r="BB159" s="152"/>
    </row>
    <row r="160" spans="1:54" ht="14.1" customHeight="1">
      <c r="A160" s="145">
        <v>160</v>
      </c>
      <c r="B160" s="144"/>
      <c r="C160" s="144"/>
      <c r="D160" s="144"/>
      <c r="E160" s="141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1"/>
      <c r="AV160" s="149"/>
      <c r="AW160" s="149"/>
      <c r="AX160" s="145"/>
      <c r="AY160" s="149"/>
      <c r="AZ160" s="146"/>
      <c r="BA160" s="146"/>
      <c r="BB160" s="145"/>
    </row>
    <row r="161" spans="1:54" ht="14.1" customHeight="1">
      <c r="A161" s="145">
        <v>161</v>
      </c>
      <c r="B161" s="144"/>
      <c r="C161" s="144" t="s">
        <v>645</v>
      </c>
      <c r="D161" s="144"/>
      <c r="E161" s="141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1"/>
      <c r="AV161" s="149"/>
      <c r="AW161" s="149"/>
      <c r="AX161" s="145"/>
      <c r="AY161" s="149"/>
      <c r="AZ161" s="146"/>
      <c r="BA161" s="146"/>
      <c r="BB161" s="145"/>
    </row>
    <row r="162" spans="1:54" ht="14.1" customHeight="1">
      <c r="A162" s="145">
        <v>162</v>
      </c>
      <c r="B162" s="144"/>
      <c r="C162" s="144" t="s">
        <v>644</v>
      </c>
      <c r="D162" s="144"/>
      <c r="E162" s="141"/>
      <c r="F162" s="150">
        <v>0</v>
      </c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1"/>
      <c r="AV162" s="149">
        <f>SUM(G162:AT162)</f>
        <v>0</v>
      </c>
      <c r="AW162" s="149">
        <f>F162+AV162</f>
        <v>0</v>
      </c>
      <c r="AX162" s="145"/>
      <c r="AY162" s="149"/>
      <c r="AZ162" s="146"/>
      <c r="BA162" s="146"/>
      <c r="BB162" s="145"/>
    </row>
    <row r="163" spans="1:54" ht="14.1" customHeight="1">
      <c r="A163" s="145">
        <v>163</v>
      </c>
      <c r="B163" s="144"/>
      <c r="C163" s="144"/>
      <c r="D163" s="144"/>
      <c r="E163" s="141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1"/>
      <c r="AV163" s="149"/>
      <c r="AW163" s="149"/>
      <c r="AX163" s="145"/>
      <c r="AY163" s="149"/>
      <c r="AZ163" s="146"/>
      <c r="BA163" s="146"/>
      <c r="BB163" s="145"/>
    </row>
    <row r="164" spans="1:54" s="154" customFormat="1" ht="14.1" customHeight="1">
      <c r="A164" s="145">
        <v>164</v>
      </c>
      <c r="B164" s="157"/>
      <c r="C164" s="157" t="s">
        <v>68</v>
      </c>
      <c r="D164" s="157"/>
      <c r="E164" s="156"/>
      <c r="F164" s="155">
        <f>F162+F159+F153+F150</f>
        <v>22296000</v>
      </c>
      <c r="G164" s="155">
        <f t="shared" ref="G164:AR164" si="115">G162+G159+G153+G150</f>
        <v>0</v>
      </c>
      <c r="H164" s="155">
        <f t="shared" si="115"/>
        <v>0</v>
      </c>
      <c r="I164" s="155">
        <f t="shared" si="115"/>
        <v>0</v>
      </c>
      <c r="J164" s="155">
        <f>J162+J159+J153+J150</f>
        <v>-8688000</v>
      </c>
      <c r="K164" s="155">
        <f>K162+K159+K153+K150</f>
        <v>288000</v>
      </c>
      <c r="L164" s="155">
        <f>L162+L159+L153+L150</f>
        <v>0</v>
      </c>
      <c r="M164" s="155">
        <f t="shared" si="115"/>
        <v>0</v>
      </c>
      <c r="N164" s="155">
        <f t="shared" si="115"/>
        <v>0</v>
      </c>
      <c r="O164" s="155">
        <f t="shared" si="115"/>
        <v>0</v>
      </c>
      <c r="P164" s="155">
        <f>P162+P159+P153+P150</f>
        <v>0</v>
      </c>
      <c r="Q164" s="155">
        <f>Q162+Q159+Q153+Q150</f>
        <v>-4000</v>
      </c>
      <c r="R164" s="155">
        <f>R162+R159+R153+R150</f>
        <v>0</v>
      </c>
      <c r="S164" s="155">
        <f>S162+S159+S153+S150</f>
        <v>1000</v>
      </c>
      <c r="T164" s="155">
        <f>T162+T159+T153+T150</f>
        <v>-1022000</v>
      </c>
      <c r="U164" s="155">
        <f t="shared" si="115"/>
        <v>0</v>
      </c>
      <c r="V164" s="155">
        <f t="shared" ref="V164:AB164" si="116">V162+V159+V153+V150</f>
        <v>0</v>
      </c>
      <c r="W164" s="155">
        <f t="shared" si="116"/>
        <v>0</v>
      </c>
      <c r="X164" s="155">
        <f t="shared" si="116"/>
        <v>0</v>
      </c>
      <c r="Y164" s="155">
        <f t="shared" si="116"/>
        <v>-3429000</v>
      </c>
      <c r="Z164" s="155">
        <f t="shared" si="116"/>
        <v>0</v>
      </c>
      <c r="AA164" s="155">
        <f t="shared" si="116"/>
        <v>0</v>
      </c>
      <c r="AB164" s="155">
        <f t="shared" si="116"/>
        <v>0</v>
      </c>
      <c r="AC164" s="155">
        <f t="shared" si="115"/>
        <v>0</v>
      </c>
      <c r="AD164" s="155">
        <f t="shared" si="115"/>
        <v>0</v>
      </c>
      <c r="AE164" s="155">
        <f t="shared" si="115"/>
        <v>0</v>
      </c>
      <c r="AF164" s="155">
        <f t="shared" si="115"/>
        <v>0</v>
      </c>
      <c r="AG164" s="155">
        <f t="shared" si="115"/>
        <v>0</v>
      </c>
      <c r="AH164" s="155">
        <f t="shared" si="115"/>
        <v>0</v>
      </c>
      <c r="AI164" s="155">
        <f>AI162+AI159+AI153+AI150</f>
        <v>946000</v>
      </c>
      <c r="AJ164" s="155">
        <f>AJ162+AJ159+AJ153+AJ150</f>
        <v>0</v>
      </c>
      <c r="AK164" s="155">
        <f t="shared" si="115"/>
        <v>0</v>
      </c>
      <c r="AL164" s="155">
        <f t="shared" si="115"/>
        <v>0</v>
      </c>
      <c r="AM164" s="155">
        <f t="shared" si="115"/>
        <v>0</v>
      </c>
      <c r="AN164" s="155">
        <f t="shared" si="115"/>
        <v>0</v>
      </c>
      <c r="AO164" s="155">
        <f t="shared" si="115"/>
        <v>0</v>
      </c>
      <c r="AP164" s="155">
        <f t="shared" si="115"/>
        <v>0</v>
      </c>
      <c r="AQ164" s="155">
        <f t="shared" si="115"/>
        <v>0</v>
      </c>
      <c r="AR164" s="155">
        <f t="shared" si="115"/>
        <v>0</v>
      </c>
      <c r="AS164" s="155">
        <f t="shared" ref="AS164:AT164" si="117">AS162+AS159+AS153+AS150</f>
        <v>0</v>
      </c>
      <c r="AT164" s="155">
        <f t="shared" si="117"/>
        <v>0</v>
      </c>
      <c r="AU164" s="148"/>
      <c r="AV164" s="148">
        <f>AV162+AV159+AV153+AV150</f>
        <v>-11908000</v>
      </c>
      <c r="AW164" s="148">
        <f>AW162+AW159+AW153+AW150</f>
        <v>10388000</v>
      </c>
      <c r="AX164" s="152" t="str">
        <f>IF(ROUND(SUM(F164:AT164),0)=ROUND(AW164,0),"ok","crossfoot error")</f>
        <v>ok</v>
      </c>
      <c r="AY164" s="148">
        <f>AY162+AY159+AY153+AY150</f>
        <v>10388</v>
      </c>
      <c r="AZ164" s="484">
        <v>10388</v>
      </c>
      <c r="BA164" s="146">
        <f>AY164-AZ164</f>
        <v>0</v>
      </c>
      <c r="BB164" s="152"/>
    </row>
    <row r="165" spans="1:54" ht="14.1" customHeight="1">
      <c r="A165" s="145">
        <v>165</v>
      </c>
      <c r="B165" s="144"/>
      <c r="C165" s="144"/>
      <c r="D165" s="144"/>
      <c r="E165" s="141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1"/>
      <c r="AV165" s="149"/>
      <c r="AW165" s="149"/>
      <c r="AX165" s="145"/>
      <c r="AY165" s="149"/>
      <c r="AZ165" s="146"/>
      <c r="BA165" s="146"/>
      <c r="BB165" s="145"/>
    </row>
    <row r="166" spans="1:54" ht="14.1" customHeight="1">
      <c r="A166" s="145">
        <v>166</v>
      </c>
      <c r="B166" s="157" t="s">
        <v>69</v>
      </c>
      <c r="C166" s="144"/>
      <c r="D166" s="144"/>
      <c r="E166" s="141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1"/>
      <c r="AV166" s="149"/>
      <c r="AW166" s="149"/>
      <c r="AX166" s="145"/>
      <c r="AY166" s="149"/>
      <c r="AZ166" s="146"/>
      <c r="BA166" s="146"/>
      <c r="BB166" s="145"/>
    </row>
    <row r="167" spans="1:54" ht="14.1" customHeight="1">
      <c r="A167" s="145">
        <v>167</v>
      </c>
      <c r="B167" s="144"/>
      <c r="C167" s="182" t="s">
        <v>357</v>
      </c>
      <c r="D167" s="144"/>
      <c r="E167" s="141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1"/>
      <c r="AV167" s="149"/>
      <c r="AW167" s="149"/>
      <c r="AX167" s="145"/>
      <c r="AY167" s="149"/>
      <c r="AZ167" s="146"/>
      <c r="BA167" s="146"/>
      <c r="BB167" s="145"/>
    </row>
    <row r="168" spans="1:54" ht="14.1" customHeight="1">
      <c r="A168" s="145">
        <v>168</v>
      </c>
      <c r="B168" s="143">
        <v>350</v>
      </c>
      <c r="C168" s="144" t="s">
        <v>358</v>
      </c>
      <c r="D168" s="144"/>
      <c r="E168" s="141"/>
      <c r="F168" s="398">
        <v>1000</v>
      </c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66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66"/>
      <c r="AM168" s="173"/>
      <c r="AN168" s="173"/>
      <c r="AO168" s="173"/>
      <c r="AP168" s="173"/>
      <c r="AQ168" s="173"/>
      <c r="AR168" s="173"/>
      <c r="AS168" s="166">
        <f>ROUND(F168/$F$176*22000,-3)</f>
        <v>0</v>
      </c>
      <c r="AT168" s="166">
        <f>ROUND(F168/$F$176*0,-3)</f>
        <v>0</v>
      </c>
      <c r="AU168" s="141"/>
      <c r="AV168" s="149">
        <f t="shared" ref="AV168:AV175" si="118">SUM(G168:AT168)</f>
        <v>0</v>
      </c>
      <c r="AW168" s="149">
        <f t="shared" ref="AW168:AW175" si="119">F168+AV168</f>
        <v>1000</v>
      </c>
      <c r="AX168" s="145"/>
      <c r="AY168" s="149">
        <f t="shared" ref="AY168:AY175" si="120">ROUND(AW168/1000,0)*1000</f>
        <v>1000</v>
      </c>
      <c r="AZ168" s="146"/>
      <c r="BA168" s="146"/>
      <c r="BB168" s="145"/>
    </row>
    <row r="169" spans="1:54" ht="14.1" customHeight="1">
      <c r="A169" s="145">
        <v>169</v>
      </c>
      <c r="B169" s="143">
        <v>351</v>
      </c>
      <c r="C169" s="144" t="s">
        <v>359</v>
      </c>
      <c r="D169" s="144"/>
      <c r="E169" s="141"/>
      <c r="F169" s="398">
        <v>28000</v>
      </c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66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66"/>
      <c r="AM169" s="465"/>
      <c r="AN169" s="465"/>
      <c r="AO169" s="465"/>
      <c r="AP169" s="465"/>
      <c r="AQ169" s="465"/>
      <c r="AR169" s="465"/>
      <c r="AS169" s="166">
        <f>ROUND(F169/$F$176*22000,-3)</f>
        <v>1000</v>
      </c>
      <c r="AT169" s="166">
        <f t="shared" ref="AT169:AT175" si="121">ROUND(F169/$F$176*0,-3)</f>
        <v>0</v>
      </c>
      <c r="AU169" s="141"/>
      <c r="AV169" s="149">
        <f t="shared" si="118"/>
        <v>1000</v>
      </c>
      <c r="AW169" s="149">
        <f t="shared" si="119"/>
        <v>29000</v>
      </c>
      <c r="AX169" s="145"/>
      <c r="AY169" s="149">
        <f>ROUND(AW169/1000,0)*1000</f>
        <v>29000</v>
      </c>
      <c r="AZ169" s="146"/>
      <c r="BA169" s="146"/>
      <c r="BB169" s="145"/>
    </row>
    <row r="170" spans="1:54" ht="14.1" customHeight="1">
      <c r="A170" s="145">
        <v>170</v>
      </c>
      <c r="B170" s="143">
        <v>352</v>
      </c>
      <c r="C170" s="144" t="s">
        <v>360</v>
      </c>
      <c r="D170" s="144"/>
      <c r="E170" s="141"/>
      <c r="F170" s="398">
        <v>200000</v>
      </c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66"/>
      <c r="Y170" s="150"/>
      <c r="Z170" s="150"/>
      <c r="AA170" s="150"/>
      <c r="AB170" s="150"/>
      <c r="AC170" s="142"/>
      <c r="AD170" s="142"/>
      <c r="AE170" s="142"/>
      <c r="AF170" s="142"/>
      <c r="AG170" s="142"/>
      <c r="AH170" s="142"/>
      <c r="AI170" s="150"/>
      <c r="AJ170" s="150"/>
      <c r="AK170" s="150"/>
      <c r="AL170" s="166"/>
      <c r="AM170" s="465">
        <v>12000</v>
      </c>
      <c r="AN170" s="465">
        <v>-7000</v>
      </c>
      <c r="AO170" s="465">
        <v>27000</v>
      </c>
      <c r="AP170" s="465"/>
      <c r="AQ170" s="465"/>
      <c r="AR170" s="465"/>
      <c r="AS170" s="166">
        <f>ROUND(F170/$F$176*22000,-3)</f>
        <v>9000</v>
      </c>
      <c r="AT170" s="166">
        <f t="shared" si="121"/>
        <v>0</v>
      </c>
      <c r="AU170" s="141"/>
      <c r="AV170" s="149">
        <f t="shared" si="118"/>
        <v>41000</v>
      </c>
      <c r="AW170" s="149">
        <f t="shared" si="119"/>
        <v>241000</v>
      </c>
      <c r="AX170" s="145"/>
      <c r="AY170" s="173">
        <f t="shared" si="120"/>
        <v>241000</v>
      </c>
      <c r="AZ170" s="146"/>
      <c r="BA170" s="146"/>
      <c r="BB170" s="145"/>
    </row>
    <row r="171" spans="1:54" ht="14.1" customHeight="1">
      <c r="A171" s="145">
        <v>171</v>
      </c>
      <c r="B171" s="143">
        <v>353</v>
      </c>
      <c r="C171" s="144" t="s">
        <v>361</v>
      </c>
      <c r="D171" s="144"/>
      <c r="E171" s="141"/>
      <c r="F171" s="398">
        <v>17000</v>
      </c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66"/>
      <c r="Y171" s="150"/>
      <c r="Z171" s="150"/>
      <c r="AA171" s="150"/>
      <c r="AB171" s="150"/>
      <c r="AC171" s="142"/>
      <c r="AD171" s="142"/>
      <c r="AE171" s="142"/>
      <c r="AF171" s="142"/>
      <c r="AG171" s="142"/>
      <c r="AH171" s="142"/>
      <c r="AI171" s="150"/>
      <c r="AJ171" s="150"/>
      <c r="AK171" s="150"/>
      <c r="AL171" s="166"/>
      <c r="AM171" s="173"/>
      <c r="AN171" s="173"/>
      <c r="AO171" s="173"/>
      <c r="AP171" s="173"/>
      <c r="AQ171" s="173"/>
      <c r="AR171" s="173"/>
      <c r="AS171" s="166">
        <f>ROUND(F171/$F$176*22000,-3)</f>
        <v>1000</v>
      </c>
      <c r="AT171" s="166">
        <f t="shared" si="121"/>
        <v>0</v>
      </c>
      <c r="AU171" s="141"/>
      <c r="AV171" s="149">
        <f t="shared" si="118"/>
        <v>1000</v>
      </c>
      <c r="AW171" s="149">
        <f t="shared" si="119"/>
        <v>18000</v>
      </c>
      <c r="AX171" s="145"/>
      <c r="AY171" s="149">
        <f t="shared" si="120"/>
        <v>18000</v>
      </c>
      <c r="AZ171" s="146"/>
      <c r="BA171" s="146"/>
      <c r="BB171" s="145"/>
    </row>
    <row r="172" spans="1:54" ht="14.1" customHeight="1">
      <c r="A172" s="145">
        <v>172</v>
      </c>
      <c r="B172" s="143">
        <v>354</v>
      </c>
      <c r="C172" s="144" t="s">
        <v>362</v>
      </c>
      <c r="D172" s="144"/>
      <c r="E172" s="141"/>
      <c r="F172" s="398">
        <v>177000</v>
      </c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66"/>
      <c r="Y172" s="150"/>
      <c r="Z172" s="150"/>
      <c r="AA172" s="150"/>
      <c r="AB172" s="150"/>
      <c r="AC172" s="142"/>
      <c r="AD172" s="142"/>
      <c r="AE172" s="142"/>
      <c r="AF172" s="142"/>
      <c r="AG172" s="142"/>
      <c r="AH172" s="142"/>
      <c r="AI172" s="150"/>
      <c r="AJ172" s="150"/>
      <c r="AK172" s="150"/>
      <c r="AL172" s="166"/>
      <c r="AM172" s="173"/>
      <c r="AN172" s="173"/>
      <c r="AO172" s="173"/>
      <c r="AP172" s="173"/>
      <c r="AQ172" s="173"/>
      <c r="AR172" s="173"/>
      <c r="AS172" s="166">
        <f>ROUND(F172/$F$176*22000,-3)-1000</f>
        <v>7000</v>
      </c>
      <c r="AT172" s="166">
        <f t="shared" si="121"/>
        <v>0</v>
      </c>
      <c r="AU172" s="141"/>
      <c r="AV172" s="149">
        <f t="shared" si="118"/>
        <v>7000</v>
      </c>
      <c r="AW172" s="149">
        <f t="shared" si="119"/>
        <v>184000</v>
      </c>
      <c r="AX172" s="145"/>
      <c r="AY172" s="149">
        <f>ROUND(AW172/1000,0)*1000-1000</f>
        <v>183000</v>
      </c>
      <c r="AZ172" s="146"/>
      <c r="BA172" s="146"/>
      <c r="BB172" s="145"/>
    </row>
    <row r="173" spans="1:54" ht="14.1" customHeight="1">
      <c r="A173" s="145">
        <v>173</v>
      </c>
      <c r="B173" s="143">
        <v>355</v>
      </c>
      <c r="C173" s="144" t="s">
        <v>363</v>
      </c>
      <c r="D173" s="144"/>
      <c r="E173" s="141"/>
      <c r="F173" s="398">
        <v>51000</v>
      </c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66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66"/>
      <c r="AM173" s="173"/>
      <c r="AN173" s="173"/>
      <c r="AO173" s="173"/>
      <c r="AP173" s="173"/>
      <c r="AQ173" s="173"/>
      <c r="AR173" s="173"/>
      <c r="AS173" s="166">
        <f>ROUND(F173/$F$176*22000,-3)</f>
        <v>2000</v>
      </c>
      <c r="AT173" s="166">
        <f t="shared" si="121"/>
        <v>0</v>
      </c>
      <c r="AU173" s="141"/>
      <c r="AV173" s="149">
        <f t="shared" si="118"/>
        <v>2000</v>
      </c>
      <c r="AW173" s="149">
        <f t="shared" si="119"/>
        <v>53000</v>
      </c>
      <c r="AX173" s="145"/>
      <c r="AY173" s="485">
        <f>ROUND(AW173/1000,0)*1000+1000</f>
        <v>54000</v>
      </c>
      <c r="AZ173" s="146"/>
      <c r="BA173" s="146"/>
      <c r="BB173" s="145"/>
    </row>
    <row r="174" spans="1:54" ht="14.1" customHeight="1">
      <c r="A174" s="145">
        <v>174</v>
      </c>
      <c r="B174" s="143">
        <v>356</v>
      </c>
      <c r="C174" s="144" t="s">
        <v>364</v>
      </c>
      <c r="D174" s="144"/>
      <c r="E174" s="141"/>
      <c r="F174" s="398">
        <v>1000</v>
      </c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66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66"/>
      <c r="AM174" s="173"/>
      <c r="AN174" s="173"/>
      <c r="AO174" s="173"/>
      <c r="AP174" s="173"/>
      <c r="AQ174" s="173"/>
      <c r="AR174" s="173"/>
      <c r="AS174" s="166">
        <f>ROUND(F174/$F$176*22000,-3)</f>
        <v>0</v>
      </c>
      <c r="AT174" s="166">
        <f t="shared" si="121"/>
        <v>0</v>
      </c>
      <c r="AU174" s="141"/>
      <c r="AV174" s="149">
        <f t="shared" si="118"/>
        <v>0</v>
      </c>
      <c r="AW174" s="149">
        <f t="shared" si="119"/>
        <v>1000</v>
      </c>
      <c r="AX174" s="145"/>
      <c r="AY174" s="149">
        <f t="shared" si="120"/>
        <v>1000</v>
      </c>
      <c r="AZ174" s="146"/>
      <c r="BA174" s="146"/>
      <c r="BB174" s="145"/>
    </row>
    <row r="175" spans="1:54" ht="14.1" customHeight="1">
      <c r="A175" s="145">
        <v>175</v>
      </c>
      <c r="B175" s="143">
        <v>357</v>
      </c>
      <c r="C175" s="144" t="s">
        <v>365</v>
      </c>
      <c r="D175" s="144"/>
      <c r="E175" s="141"/>
      <c r="F175" s="398">
        <v>36000</v>
      </c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66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66"/>
      <c r="AM175" s="173"/>
      <c r="AN175" s="173"/>
      <c r="AO175" s="173"/>
      <c r="AP175" s="173"/>
      <c r="AQ175" s="173"/>
      <c r="AR175" s="173"/>
      <c r="AS175" s="166">
        <f>ROUND(F175/$F$176*22000,-3)</f>
        <v>2000</v>
      </c>
      <c r="AT175" s="166">
        <f t="shared" si="121"/>
        <v>0</v>
      </c>
      <c r="AU175" s="141"/>
      <c r="AV175" s="149">
        <f t="shared" si="118"/>
        <v>2000</v>
      </c>
      <c r="AW175" s="149">
        <f t="shared" si="119"/>
        <v>38000</v>
      </c>
      <c r="AX175" s="145"/>
      <c r="AY175" s="149">
        <f t="shared" si="120"/>
        <v>38000</v>
      </c>
      <c r="AZ175" s="146"/>
      <c r="BA175" s="146"/>
      <c r="BB175" s="145"/>
    </row>
    <row r="176" spans="1:54" s="154" customFormat="1" ht="14.1" customHeight="1">
      <c r="A176" s="145">
        <v>176</v>
      </c>
      <c r="B176" s="165"/>
      <c r="C176" s="157" t="s">
        <v>643</v>
      </c>
      <c r="D176" s="157"/>
      <c r="E176" s="180"/>
      <c r="F176" s="179">
        <f t="shared" ref="F176:AR176" si="122">SUM(F168:F175)</f>
        <v>511000</v>
      </c>
      <c r="G176" s="159">
        <f t="shared" si="122"/>
        <v>0</v>
      </c>
      <c r="H176" s="159">
        <f t="shared" si="122"/>
        <v>0</v>
      </c>
      <c r="I176" s="159">
        <f t="shared" si="122"/>
        <v>0</v>
      </c>
      <c r="J176" s="159">
        <f>SUM(J168:J175)</f>
        <v>0</v>
      </c>
      <c r="K176" s="159">
        <f>SUM(K168:K175)</f>
        <v>0</v>
      </c>
      <c r="L176" s="159">
        <f t="shared" si="122"/>
        <v>0</v>
      </c>
      <c r="M176" s="159">
        <f t="shared" si="122"/>
        <v>0</v>
      </c>
      <c r="N176" s="159">
        <f t="shared" si="122"/>
        <v>0</v>
      </c>
      <c r="O176" s="159">
        <f t="shared" si="122"/>
        <v>0</v>
      </c>
      <c r="P176" s="159">
        <f>SUM(P168:P175)</f>
        <v>0</v>
      </c>
      <c r="Q176" s="159">
        <f>SUM(Q168:Q175)</f>
        <v>0</v>
      </c>
      <c r="R176" s="159">
        <f>SUM(R168:R175)</f>
        <v>0</v>
      </c>
      <c r="S176" s="159">
        <f>SUM(S168:S175)</f>
        <v>0</v>
      </c>
      <c r="T176" s="159">
        <f>SUM(T168:T175)</f>
        <v>0</v>
      </c>
      <c r="U176" s="159">
        <f t="shared" si="122"/>
        <v>0</v>
      </c>
      <c r="V176" s="159">
        <f t="shared" ref="V176:AB176" si="123">SUM(V168:V175)</f>
        <v>0</v>
      </c>
      <c r="W176" s="159">
        <f t="shared" si="123"/>
        <v>0</v>
      </c>
      <c r="X176" s="159">
        <f>SUM(X168:X175)</f>
        <v>0</v>
      </c>
      <c r="Y176" s="159">
        <f t="shared" si="123"/>
        <v>0</v>
      </c>
      <c r="Z176" s="159">
        <f t="shared" si="123"/>
        <v>0</v>
      </c>
      <c r="AA176" s="159">
        <f t="shared" si="123"/>
        <v>0</v>
      </c>
      <c r="AB176" s="159">
        <f t="shared" si="123"/>
        <v>0</v>
      </c>
      <c r="AC176" s="159">
        <f t="shared" si="122"/>
        <v>0</v>
      </c>
      <c r="AD176" s="159">
        <f t="shared" si="122"/>
        <v>0</v>
      </c>
      <c r="AE176" s="159">
        <f t="shared" si="122"/>
        <v>0</v>
      </c>
      <c r="AF176" s="159">
        <f t="shared" si="122"/>
        <v>0</v>
      </c>
      <c r="AG176" s="159">
        <f t="shared" si="122"/>
        <v>0</v>
      </c>
      <c r="AH176" s="159">
        <f t="shared" si="122"/>
        <v>0</v>
      </c>
      <c r="AI176" s="159">
        <f>SUM(AI168:AI175)</f>
        <v>0</v>
      </c>
      <c r="AJ176" s="159">
        <f>SUM(AJ168:AJ175)</f>
        <v>0</v>
      </c>
      <c r="AK176" s="159">
        <f t="shared" si="122"/>
        <v>0</v>
      </c>
      <c r="AL176" s="159">
        <f t="shared" si="122"/>
        <v>0</v>
      </c>
      <c r="AM176" s="159">
        <f t="shared" si="122"/>
        <v>12000</v>
      </c>
      <c r="AN176" s="159">
        <f t="shared" si="122"/>
        <v>-7000</v>
      </c>
      <c r="AO176" s="159">
        <f t="shared" si="122"/>
        <v>27000</v>
      </c>
      <c r="AP176" s="159">
        <f t="shared" si="122"/>
        <v>0</v>
      </c>
      <c r="AQ176" s="159">
        <f t="shared" si="122"/>
        <v>0</v>
      </c>
      <c r="AR176" s="159">
        <f t="shared" si="122"/>
        <v>0</v>
      </c>
      <c r="AS176" s="159">
        <f t="shared" ref="AS176:AT176" si="124">SUM(AS168:AS175)</f>
        <v>22000</v>
      </c>
      <c r="AT176" s="159">
        <f t="shared" si="124"/>
        <v>0</v>
      </c>
      <c r="AU176" s="158"/>
      <c r="AV176" s="158">
        <f>SUM(AV168:AV175)</f>
        <v>54000</v>
      </c>
      <c r="AW176" s="158">
        <f>SUM(AW168:AW175)</f>
        <v>565000</v>
      </c>
      <c r="AX176" s="152" t="str">
        <f>IF(ROUND(SUM(F176:AT176),0)=ROUND(AW176,0),"ok","crossfoot error")</f>
        <v>ok</v>
      </c>
      <c r="AY176" s="158">
        <f>SUM(AY168:AY175)/1000</f>
        <v>565</v>
      </c>
      <c r="AZ176" s="147">
        <v>566.20000000000005</v>
      </c>
      <c r="BA176" s="146">
        <f>AY176-AZ176</f>
        <v>-1.2000000000000455</v>
      </c>
      <c r="BB176" s="152"/>
    </row>
    <row r="177" spans="1:54" ht="14.1" customHeight="1">
      <c r="A177" s="145">
        <v>177</v>
      </c>
      <c r="B177" s="143"/>
      <c r="C177" s="144"/>
      <c r="D177" s="144"/>
      <c r="E177" s="141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1"/>
      <c r="AV177" s="149"/>
      <c r="AW177" s="149"/>
      <c r="AX177" s="145"/>
      <c r="AY177" s="149"/>
      <c r="AZ177" s="146"/>
      <c r="BA177" s="146"/>
      <c r="BB177" s="145"/>
    </row>
    <row r="178" spans="1:54" ht="14.1" customHeight="1">
      <c r="A178" s="145">
        <v>178</v>
      </c>
      <c r="B178" s="144" t="str">
        <f>$B$1</f>
        <v>Proforma</v>
      </c>
      <c r="C178" s="144"/>
      <c r="D178" s="144"/>
      <c r="E178" s="149"/>
      <c r="F178" s="173"/>
      <c r="G178" s="173"/>
      <c r="H178" s="173"/>
      <c r="I178" s="173" t="str">
        <f>$I$1</f>
        <v>Natural Gas Utility</v>
      </c>
      <c r="J178" s="173"/>
      <c r="K178" s="173"/>
      <c r="L178" s="173"/>
      <c r="M178" s="458"/>
      <c r="O178" s="173"/>
      <c r="P178" s="173"/>
      <c r="Q178" s="173"/>
      <c r="R178" s="173"/>
      <c r="S178" s="466"/>
      <c r="T178" s="466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G178" s="173"/>
      <c r="AH178" s="173"/>
      <c r="AI178" s="458"/>
      <c r="AJ178" s="458"/>
      <c r="AK178" s="458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49"/>
      <c r="AV178" s="149"/>
      <c r="AW178" s="177"/>
      <c r="AX178" s="145"/>
      <c r="AY178" s="177"/>
      <c r="AZ178" s="146"/>
      <c r="BA178" s="146"/>
      <c r="BB178" s="145"/>
    </row>
    <row r="179" spans="1:54" ht="14.1" customHeight="1">
      <c r="A179" s="145">
        <v>179</v>
      </c>
      <c r="B179" s="144" t="str">
        <f>$B$2</f>
        <v>Pro Forma Results of Operations</v>
      </c>
      <c r="C179" s="144"/>
      <c r="D179" s="144"/>
      <c r="E179" s="149" t="s">
        <v>642</v>
      </c>
      <c r="F179" s="173"/>
      <c r="G179" s="173"/>
      <c r="H179" s="173"/>
      <c r="I179" s="173"/>
      <c r="J179" s="173"/>
      <c r="K179" s="173"/>
      <c r="L179" s="173"/>
      <c r="M179" s="176"/>
      <c r="O179" s="173" t="str">
        <f>E179</f>
        <v>Depreciation Expense &amp; Income Tax</v>
      </c>
      <c r="P179" s="173"/>
      <c r="Q179" s="173"/>
      <c r="R179" s="173"/>
      <c r="S179" s="176"/>
      <c r="T179" s="176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 t="str">
        <f>E179</f>
        <v>Depreciation Expense &amp; Income Tax</v>
      </c>
      <c r="AF179" s="173"/>
      <c r="AG179" s="173"/>
      <c r="AH179" s="173"/>
      <c r="AI179" s="176"/>
      <c r="AJ179" s="176"/>
      <c r="AK179" s="176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49"/>
      <c r="AV179" s="149"/>
      <c r="AW179" s="175"/>
      <c r="AX179" s="145"/>
      <c r="AY179" s="175"/>
      <c r="AZ179" s="146"/>
      <c r="BA179" s="146"/>
      <c r="BB179" s="145"/>
    </row>
    <row r="180" spans="1:54" ht="14.1" customHeight="1">
      <c r="A180" s="145">
        <v>180</v>
      </c>
      <c r="B180" s="144" t="str">
        <f>$B$3</f>
        <v>Company Base Case</v>
      </c>
      <c r="C180" s="144"/>
      <c r="D180" s="144"/>
      <c r="E180" s="149"/>
      <c r="F180" s="173"/>
      <c r="G180" s="173"/>
      <c r="H180" s="173"/>
      <c r="I180" s="173"/>
      <c r="J180" s="173"/>
      <c r="K180" s="173"/>
      <c r="L180" s="173"/>
      <c r="M180" s="459"/>
      <c r="O180" s="173"/>
      <c r="P180" s="173"/>
      <c r="Q180" s="173"/>
      <c r="R180" s="173"/>
      <c r="S180" s="459"/>
      <c r="T180" s="459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49"/>
      <c r="AV180" s="149"/>
      <c r="AW180" s="174"/>
      <c r="AX180" s="145"/>
      <c r="AY180" s="174"/>
      <c r="AZ180" s="146"/>
      <c r="BA180" s="146"/>
      <c r="BB180" s="145"/>
    </row>
    <row r="181" spans="1:54" ht="14.1" customHeight="1">
      <c r="A181" s="145">
        <v>181</v>
      </c>
      <c r="B181" s="144"/>
      <c r="C181" s="144"/>
      <c r="D181" s="144"/>
      <c r="E181" s="149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49"/>
      <c r="AV181" s="149"/>
      <c r="AW181" s="149"/>
      <c r="AX181" s="145"/>
      <c r="AY181" s="149"/>
      <c r="AZ181" s="146"/>
      <c r="BA181" s="146"/>
      <c r="BB181" s="145"/>
    </row>
    <row r="182" spans="1:54" ht="14.1" customHeight="1">
      <c r="A182" s="145">
        <v>182</v>
      </c>
      <c r="B182" s="171"/>
      <c r="C182" s="171"/>
      <c r="D182" s="171"/>
      <c r="E182" s="171"/>
      <c r="F182" s="172">
        <f t="shared" ref="F182:AM182" si="125">F5</f>
        <v>1</v>
      </c>
      <c r="G182" s="453">
        <f t="shared" si="125"/>
        <v>1.01</v>
      </c>
      <c r="H182" s="453">
        <f t="shared" si="125"/>
        <v>1.02</v>
      </c>
      <c r="I182" s="453">
        <f t="shared" si="125"/>
        <v>1.03</v>
      </c>
      <c r="J182" s="453">
        <f>J5</f>
        <v>2.0099999999999998</v>
      </c>
      <c r="K182" s="453">
        <f>K5</f>
        <v>2.02</v>
      </c>
      <c r="L182" s="453">
        <f t="shared" si="125"/>
        <v>2.0299999999999998</v>
      </c>
      <c r="M182" s="453">
        <f t="shared" si="125"/>
        <v>2.04</v>
      </c>
      <c r="N182" s="453">
        <f t="shared" si="125"/>
        <v>2.0499999999999998</v>
      </c>
      <c r="O182" s="453">
        <f t="shared" si="125"/>
        <v>2.06</v>
      </c>
      <c r="P182" s="453">
        <f>P5</f>
        <v>2.0699999999999998</v>
      </c>
      <c r="Q182" s="453">
        <f>Q5</f>
        <v>2.08</v>
      </c>
      <c r="R182" s="453">
        <f>R5</f>
        <v>2.09</v>
      </c>
      <c r="S182" s="453">
        <f>S5</f>
        <v>2.1</v>
      </c>
      <c r="T182" s="453">
        <f>T5</f>
        <v>2.11</v>
      </c>
      <c r="U182" s="453">
        <f t="shared" si="125"/>
        <v>2.12</v>
      </c>
      <c r="V182" s="453">
        <f t="shared" ref="V182:AA182" si="126">V5</f>
        <v>2.13</v>
      </c>
      <c r="W182" s="453">
        <f t="shared" si="126"/>
        <v>2.14</v>
      </c>
      <c r="X182" s="453">
        <f t="shared" si="126"/>
        <v>2.15</v>
      </c>
      <c r="Y182" s="453">
        <f t="shared" si="126"/>
        <v>3.01</v>
      </c>
      <c r="Z182" s="453">
        <f t="shared" si="126"/>
        <v>3.02</v>
      </c>
      <c r="AA182" s="453">
        <f t="shared" si="126"/>
        <v>3.03</v>
      </c>
      <c r="AB182" s="453">
        <f t="shared" ref="AB182" si="127">AB5</f>
        <v>3.04</v>
      </c>
      <c r="AC182" s="453">
        <f t="shared" si="125"/>
        <v>3.05</v>
      </c>
      <c r="AD182" s="453">
        <f t="shared" si="125"/>
        <v>3.06</v>
      </c>
      <c r="AE182" s="453">
        <f t="shared" si="125"/>
        <v>3.07</v>
      </c>
      <c r="AF182" s="453">
        <f t="shared" ref="AF182:AH182" si="128">AF5</f>
        <v>3.08</v>
      </c>
      <c r="AG182" s="453">
        <f t="shared" si="128"/>
        <v>3.09</v>
      </c>
      <c r="AH182" s="453">
        <f t="shared" si="128"/>
        <v>3.1</v>
      </c>
      <c r="AI182" s="453">
        <f>AI5</f>
        <v>3.11</v>
      </c>
      <c r="AJ182" s="453">
        <f>AJ5</f>
        <v>3.12</v>
      </c>
      <c r="AK182" s="453">
        <f>AK5</f>
        <v>3.13</v>
      </c>
      <c r="AL182" s="453">
        <f t="shared" si="125"/>
        <v>3.14</v>
      </c>
      <c r="AM182" s="453">
        <f t="shared" si="125"/>
        <v>3.15</v>
      </c>
      <c r="AN182" s="453">
        <f t="shared" ref="AN182:AR182" si="129">AN5</f>
        <v>3.16</v>
      </c>
      <c r="AO182" s="453">
        <f t="shared" si="129"/>
        <v>3.17</v>
      </c>
      <c r="AP182" s="453">
        <f t="shared" si="129"/>
        <v>3.18</v>
      </c>
      <c r="AQ182" s="453">
        <f t="shared" si="129"/>
        <v>3.19</v>
      </c>
      <c r="AR182" s="453">
        <f t="shared" si="129"/>
        <v>3.2</v>
      </c>
      <c r="AS182" s="453">
        <f t="shared" ref="AS182:AT182" si="130">AS5</f>
        <v>4.01</v>
      </c>
      <c r="AT182" s="453">
        <f t="shared" si="130"/>
        <v>4.0199999999999996</v>
      </c>
      <c r="AU182" s="171"/>
      <c r="AV182" s="171" t="str">
        <f>AV$5</f>
        <v>(av)</v>
      </c>
      <c r="AW182" s="171" t="str">
        <f>AW$5</f>
        <v>(aw)</v>
      </c>
      <c r="AX182" s="171" t="str">
        <f>AX$5</f>
        <v>(ax)</v>
      </c>
      <c r="AY182" s="171" t="str">
        <f>AY$5</f>
        <v>(ay)</v>
      </c>
      <c r="AZ182" s="146"/>
      <c r="BA182" s="146"/>
      <c r="BB182" s="145"/>
    </row>
    <row r="183" spans="1:54" ht="14.1" customHeight="1">
      <c r="A183" s="145">
        <v>183</v>
      </c>
      <c r="B183" s="168" t="str">
        <f>IF(ISBLANK(B$6),"",B$6)</f>
        <v/>
      </c>
      <c r="C183" s="168" t="str">
        <f>IF(ISBLANK(C$6),"",C$6)</f>
        <v/>
      </c>
      <c r="D183" s="168" t="str">
        <f>IF(ISBLANK(D$6),"",D$6)</f>
        <v/>
      </c>
      <c r="E183" s="168" t="str">
        <f>IF(ISBLANK(E$6),"",E$6)</f>
        <v>Notes</v>
      </c>
      <c r="F183" s="168" t="s">
        <v>622</v>
      </c>
      <c r="G183" s="454" t="str">
        <f t="shared" ref="G183:AT183" si="131">IF(ISBLANK(G$6),"",G$6)</f>
        <v>Deferred FIT</v>
      </c>
      <c r="H183" s="454" t="str">
        <f t="shared" si="131"/>
        <v>Deferred Debits</v>
      </c>
      <c r="I183" s="454" t="str">
        <f t="shared" si="131"/>
        <v xml:space="preserve">Working </v>
      </c>
      <c r="J183" s="454" t="str">
        <f t="shared" si="131"/>
        <v>Eliminate</v>
      </c>
      <c r="K183" s="454" t="str">
        <f t="shared" si="131"/>
        <v>Restate</v>
      </c>
      <c r="L183" s="454" t="str">
        <f t="shared" si="131"/>
        <v>Uncollectible</v>
      </c>
      <c r="M183" s="454" t="str">
        <f t="shared" si="131"/>
        <v>Regulatory</v>
      </c>
      <c r="N183" s="454" t="str">
        <f t="shared" si="131"/>
        <v>Injuries &amp;</v>
      </c>
      <c r="O183" s="454" t="str">
        <f t="shared" si="131"/>
        <v>FIT/DFIT</v>
      </c>
      <c r="P183" s="454" t="str">
        <f t="shared" si="131"/>
        <v>Office Space</v>
      </c>
      <c r="Q183" s="454" t="str">
        <f t="shared" si="131"/>
        <v>Restate</v>
      </c>
      <c r="R183" s="454" t="str">
        <f t="shared" si="131"/>
        <v>Net Gains/</v>
      </c>
      <c r="S183" s="454" t="str">
        <f>IF(ISBLANK(S$6),"",S$6)</f>
        <v>Weather Normalization</v>
      </c>
      <c r="T183" s="454" t="str">
        <f>IF(ISBLANK(T$6),"",T$6)</f>
        <v>Eliminate</v>
      </c>
      <c r="U183" s="454" t="str">
        <f t="shared" si="131"/>
        <v>Misc. Restating</v>
      </c>
      <c r="V183" s="454" t="str">
        <f t="shared" si="131"/>
        <v xml:space="preserve">Restating </v>
      </c>
      <c r="W183" s="454" t="str">
        <f t="shared" si="131"/>
        <v xml:space="preserve">Restate </v>
      </c>
      <c r="X183" s="454" t="str">
        <f t="shared" si="131"/>
        <v xml:space="preserve">Restate </v>
      </c>
      <c r="Y183" s="454" t="str">
        <f t="shared" si="131"/>
        <v>Pro Forma Revenue</v>
      </c>
      <c r="Z183" s="454" t="str">
        <f t="shared" si="131"/>
        <v xml:space="preserve">Pro Forma Def. </v>
      </c>
      <c r="AA183" s="454" t="str">
        <f t="shared" si="131"/>
        <v>Pro Forma</v>
      </c>
      <c r="AB183" s="454" t="str">
        <f t="shared" si="131"/>
        <v>Pro Forma</v>
      </c>
      <c r="AC183" s="454" t="str">
        <f t="shared" si="131"/>
        <v>Pro Forma</v>
      </c>
      <c r="AD183" s="454" t="str">
        <f t="shared" si="131"/>
        <v>Pro Forma</v>
      </c>
      <c r="AE183" s="454" t="str">
        <f t="shared" si="131"/>
        <v>Pro Forma</v>
      </c>
      <c r="AF183" s="454" t="str">
        <f t="shared" si="131"/>
        <v>Pro Forma</v>
      </c>
      <c r="AG183" s="454" t="str">
        <f t="shared" si="131"/>
        <v>Remove</v>
      </c>
      <c r="AH183" s="454" t="str">
        <f t="shared" si="131"/>
        <v>Pro Forma</v>
      </c>
      <c r="AI183" s="454" t="str">
        <f>IF(ISBLANK(AI$6),"",AI$6)</f>
        <v>Pro Forma</v>
      </c>
      <c r="AJ183" s="454" t="str">
        <f>IF(ISBLANK(AJ$6),"",AJ$6)</f>
        <v>Pro Forma</v>
      </c>
      <c r="AK183" s="454" t="str">
        <f t="shared" si="131"/>
        <v>Pro Forma</v>
      </c>
      <c r="AL183" s="454" t="str">
        <f t="shared" si="131"/>
        <v xml:space="preserve">Pro Forma </v>
      </c>
      <c r="AM183" s="454" t="str">
        <f t="shared" si="131"/>
        <v>Pro Forma</v>
      </c>
      <c r="AN183" s="454" t="str">
        <f t="shared" si="131"/>
        <v>Pro Forma</v>
      </c>
      <c r="AO183" s="454" t="str">
        <f t="shared" si="131"/>
        <v>Pro Forma</v>
      </c>
      <c r="AP183" s="454" t="str">
        <f t="shared" si="131"/>
        <v>Pro Forma</v>
      </c>
      <c r="AQ183" s="454" t="str">
        <f t="shared" si="131"/>
        <v>Pro Forma</v>
      </c>
      <c r="AR183" s="454" t="str">
        <f t="shared" si="131"/>
        <v>Pro Forma</v>
      </c>
      <c r="AS183" s="454" t="str">
        <f t="shared" si="131"/>
        <v>Provisional Capital Add.</v>
      </c>
      <c r="AT183" s="454" t="str">
        <f t="shared" si="131"/>
        <v>2024-2025</v>
      </c>
      <c r="AU183" s="168"/>
      <c r="AV183" s="168" t="str">
        <f>IF(ISBLANK(AV$6),"",AV$6)</f>
        <v>Net Total</v>
      </c>
      <c r="AW183" s="168" t="str">
        <f>IF(ISBLANK(AW$6),"",AW$6)</f>
        <v>Total</v>
      </c>
      <c r="AX183" s="168" t="str">
        <f>IF(ISBLANK(AX$6),"",AX$6)</f>
        <v>check</v>
      </c>
      <c r="AY183" s="168" t="str">
        <f>IF(ISBLANK(AY$6),"",AY$6)</f>
        <v>Total</v>
      </c>
      <c r="AZ183" s="146"/>
      <c r="BA183" s="146"/>
      <c r="BB183" s="145"/>
    </row>
    <row r="184" spans="1:54" ht="14.1" customHeight="1">
      <c r="A184" s="145">
        <v>184</v>
      </c>
      <c r="B184" s="170" t="str">
        <f>IF(ISBLANK(B$7),"",B$7)</f>
        <v>Account</v>
      </c>
      <c r="C184" s="169" t="str">
        <f>IF(ISBLANK(C$7),"",C$7)</f>
        <v>Description</v>
      </c>
      <c r="D184" s="168"/>
      <c r="E184" s="168" t="str">
        <f>IF(ISBLANK(E$7),"",E$7)</f>
        <v/>
      </c>
      <c r="F184" s="168" t="s">
        <v>621</v>
      </c>
      <c r="G184" s="454" t="str">
        <f t="shared" ref="G184:AT184" si="132">IF(ISBLANK(G$7),"",G$7)</f>
        <v>Rate Base</v>
      </c>
      <c r="H184" s="454" t="str">
        <f t="shared" si="132"/>
        <v>and Credits</v>
      </c>
      <c r="I184" s="454" t="str">
        <f t="shared" si="132"/>
        <v>Capital</v>
      </c>
      <c r="J184" s="454" t="str">
        <f t="shared" si="132"/>
        <v>B &amp; O Taxes</v>
      </c>
      <c r="K184" s="454" t="str">
        <f t="shared" si="132"/>
        <v>Property Taxes</v>
      </c>
      <c r="L184" s="454" t="str">
        <f t="shared" si="132"/>
        <v>Expense</v>
      </c>
      <c r="M184" s="454" t="str">
        <f t="shared" si="132"/>
        <v>Expense</v>
      </c>
      <c r="N184" s="454" t="str">
        <f t="shared" si="132"/>
        <v>Damages</v>
      </c>
      <c r="O184" s="454" t="str">
        <f t="shared" si="132"/>
        <v>Expense</v>
      </c>
      <c r="P184" s="454" t="str">
        <f t="shared" si="132"/>
        <v>Charges to Subs</v>
      </c>
      <c r="Q184" s="454" t="str">
        <f t="shared" si="132"/>
        <v>Excise Tax</v>
      </c>
      <c r="R184" s="454" t="str">
        <f t="shared" si="132"/>
        <v>Losses</v>
      </c>
      <c r="S184" s="454" t="str">
        <f>IF(ISBLANK(S$7),"",S$7)</f>
        <v>Gas Cost Adjust</v>
      </c>
      <c r="T184" s="454" t="str">
        <f>IF(ISBLANK(T$7),"",T$7)</f>
        <v>Adder Schedules</v>
      </c>
      <c r="U184" s="454" t="str">
        <f t="shared" si="132"/>
        <v>Adjustments</v>
      </c>
      <c r="V184" s="454" t="str">
        <f t="shared" si="132"/>
        <v>Incentives</v>
      </c>
      <c r="W184" s="454" t="str">
        <f t="shared" si="132"/>
        <v>Debt Int</v>
      </c>
      <c r="X184" s="454" t="str">
        <f t="shared" si="132"/>
        <v>09.2021 Rate Base</v>
      </c>
      <c r="Y184" s="454" t="str">
        <f t="shared" si="132"/>
        <v>Normalization</v>
      </c>
      <c r="Z184" s="454" t="str">
        <f t="shared" si="132"/>
        <v>Debits &amp; Credits</v>
      </c>
      <c r="AA184" s="454" t="str">
        <f t="shared" si="132"/>
        <v>EDIT (RSGM)</v>
      </c>
      <c r="AB184" s="454" t="str">
        <f t="shared" si="132"/>
        <v>AMI Amortization</v>
      </c>
      <c r="AC184" s="454" t="str">
        <f t="shared" si="132"/>
        <v>Non-Exec Labor</v>
      </c>
      <c r="AD184" s="454" t="str">
        <f t="shared" si="132"/>
        <v>Exec Labor</v>
      </c>
      <c r="AE184" s="454" t="str">
        <f t="shared" si="132"/>
        <v>Empl. Benefits</v>
      </c>
      <c r="AF184" s="454" t="str">
        <f t="shared" si="132"/>
        <v>Incentives</v>
      </c>
      <c r="AG184" s="454" t="str">
        <f t="shared" si="132"/>
        <v>LIRAP Labor</v>
      </c>
      <c r="AH184" s="454" t="str">
        <f t="shared" si="132"/>
        <v>CCA Labor</v>
      </c>
      <c r="AI184" s="454" t="str">
        <f>IF(ISBLANK(AI$7),"",AI$7)</f>
        <v>Property Tax</v>
      </c>
      <c r="AJ184" s="454" t="str">
        <f>IF(ISBLANK(AJ$7),"",AJ$7)</f>
        <v>Insurance Expense</v>
      </c>
      <c r="AK184" s="454" t="str">
        <f t="shared" si="132"/>
        <v>IS/IT</v>
      </c>
      <c r="AL184" s="454" t="str">
        <f t="shared" si="132"/>
        <v>Misc O&amp;M Expense</v>
      </c>
      <c r="AM184" s="454" t="str">
        <f t="shared" si="132"/>
        <v>Capital Add. To 12/31/23 EOP</v>
      </c>
      <c r="AN184" s="454" t="str">
        <f t="shared" si="132"/>
        <v>Dep. Expense</v>
      </c>
      <c r="AO184" s="454" t="str">
        <f t="shared" si="132"/>
        <v>Capital Add. To 12/31/24 EOP</v>
      </c>
      <c r="AP184" s="454" t="str">
        <f t="shared" si="132"/>
        <v>New Reg. Amort.</v>
      </c>
      <c r="AQ184" s="454" t="str">
        <f t="shared" si="132"/>
        <v>Nucleus/ETRM Exp.</v>
      </c>
      <c r="AR184" s="454" t="str">
        <f t="shared" si="132"/>
        <v>BOD Fees Exp.</v>
      </c>
      <c r="AS184" s="454" t="str">
        <f t="shared" si="132"/>
        <v>to 12.31.25 AMA</v>
      </c>
      <c r="AT184" s="454" t="str">
        <f t="shared" si="132"/>
        <v xml:space="preserve">Cap. Adds O&amp;M and Rev. </v>
      </c>
      <c r="AU184" s="168"/>
      <c r="AV184" s="168" t="str">
        <f>IF(ISBLANK(AV$7),"",AV$7)</f>
        <v>of All</v>
      </c>
      <c r="AW184" s="168" t="str">
        <f>IF(ISBLANK(AW$7),"",AW$7)</f>
        <v/>
      </c>
      <c r="AX184" s="168" t="str">
        <f>IF(ISBLANK(AX$7),"",AX$7)</f>
        <v/>
      </c>
      <c r="AY184" s="168" t="str">
        <f>IF(ISBLANK(AY$7),"",AY$7)</f>
        <v>$000's</v>
      </c>
      <c r="AZ184" s="146"/>
      <c r="BA184" s="146"/>
      <c r="BB184" s="168"/>
    </row>
    <row r="185" spans="1:54" ht="14.1" customHeight="1">
      <c r="A185" s="145">
        <v>185</v>
      </c>
      <c r="B185" s="168" t="str">
        <f>IF(ISBLANK(B$8),"",B$8)</f>
        <v/>
      </c>
      <c r="C185" s="168" t="str">
        <f>IF(ISBLANK(C$8),"",C$8)</f>
        <v/>
      </c>
      <c r="D185" s="168" t="str">
        <f>IF(ISBLANK(D$8),"",D$8)</f>
        <v/>
      </c>
      <c r="E185" s="168" t="str">
        <f>IF(ISBLANK(E$8),"",E$8)</f>
        <v/>
      </c>
      <c r="F185" s="168"/>
      <c r="G185" s="454" t="str">
        <f t="shared" ref="G185:AT185" si="133">IF(ISBLANK(G$8),"",G$8)</f>
        <v>G-DFIT</v>
      </c>
      <c r="H185" s="454" t="str">
        <f t="shared" si="133"/>
        <v>G-DDC</v>
      </c>
      <c r="I185" s="454" t="str">
        <f t="shared" si="133"/>
        <v>G-WC</v>
      </c>
      <c r="J185" s="454" t="str">
        <f t="shared" si="133"/>
        <v>G-EBO</v>
      </c>
      <c r="K185" s="454" t="str">
        <f t="shared" si="133"/>
        <v>G-RPT</v>
      </c>
      <c r="L185" s="454" t="str">
        <f t="shared" si="133"/>
        <v>G-UE</v>
      </c>
      <c r="M185" s="454" t="str">
        <f t="shared" si="133"/>
        <v>G-RE</v>
      </c>
      <c r="N185" s="454" t="str">
        <f t="shared" si="133"/>
        <v>G-ID</v>
      </c>
      <c r="O185" s="454" t="str">
        <f t="shared" si="133"/>
        <v>G-FIT</v>
      </c>
      <c r="P185" s="454" t="str">
        <f t="shared" si="133"/>
        <v>G-OSC</v>
      </c>
      <c r="Q185" s="454" t="str">
        <f t="shared" si="133"/>
        <v>G-RET</v>
      </c>
      <c r="R185" s="454" t="str">
        <f t="shared" si="133"/>
        <v>G-NGL</v>
      </c>
      <c r="S185" s="454" t="str">
        <f>IF(ISBLANK(S$8),"",S$8)</f>
        <v>G-WNGC</v>
      </c>
      <c r="T185" s="454" t="str">
        <f>IF(ISBLANK(T$8),"",T$8)</f>
        <v>G-EAS</v>
      </c>
      <c r="U185" s="454" t="str">
        <f t="shared" si="133"/>
        <v>G-MR</v>
      </c>
      <c r="V185" s="454" t="str">
        <f t="shared" si="133"/>
        <v>G-RI</v>
      </c>
      <c r="W185" s="454" t="str">
        <f t="shared" si="133"/>
        <v>G-DI</v>
      </c>
      <c r="X185" s="454" t="str">
        <f t="shared" si="133"/>
        <v>G-EOP09.2021</v>
      </c>
      <c r="Y185" s="454" t="str">
        <f t="shared" si="133"/>
        <v>G-PREV</v>
      </c>
      <c r="Z185" s="454" t="str">
        <f t="shared" si="133"/>
        <v>G-PRA</v>
      </c>
      <c r="AA185" s="454" t="str">
        <f t="shared" si="133"/>
        <v>G-EDIT</v>
      </c>
      <c r="AB185" s="454" t="str">
        <f t="shared" si="133"/>
        <v>G-PAMI</v>
      </c>
      <c r="AC185" s="454" t="str">
        <f t="shared" si="133"/>
        <v>G-PLN</v>
      </c>
      <c r="AD185" s="454" t="str">
        <f t="shared" si="133"/>
        <v>G-PLE</v>
      </c>
      <c r="AE185" s="454" t="str">
        <f t="shared" si="133"/>
        <v>G-PEB</v>
      </c>
      <c r="AF185" s="454" t="str">
        <f t="shared" si="133"/>
        <v>G-Pinc</v>
      </c>
      <c r="AG185" s="454" t="str">
        <f t="shared" si="133"/>
        <v>G-LIRAP</v>
      </c>
      <c r="AH185" s="454" t="str">
        <f t="shared" si="133"/>
        <v>G-CCA</v>
      </c>
      <c r="AI185" s="454" t="str">
        <f>IF(ISBLANK(AI$8),"",AI$8)</f>
        <v>G-PPT</v>
      </c>
      <c r="AJ185" s="454" t="str">
        <f>IF(ISBLANK(AJ$8),"",AJ$8)</f>
        <v>G-PINS</v>
      </c>
      <c r="AK185" s="454" t="str">
        <f t="shared" si="133"/>
        <v>G-PIT</v>
      </c>
      <c r="AL185" s="454" t="str">
        <f t="shared" si="133"/>
        <v>G-PMisc</v>
      </c>
      <c r="AM185" s="454" t="str">
        <f t="shared" si="133"/>
        <v>G-CAP23E</v>
      </c>
      <c r="AN185" s="454" t="str">
        <f t="shared" si="133"/>
        <v>G-DEP</v>
      </c>
      <c r="AO185" s="454" t="str">
        <f t="shared" si="133"/>
        <v>G-CAP24E</v>
      </c>
      <c r="AP185" s="454" t="str">
        <f t="shared" si="133"/>
        <v>G-NRA</v>
      </c>
      <c r="AQ185" s="454" t="str">
        <f t="shared" si="133"/>
        <v>G-ETRM</v>
      </c>
      <c r="AR185" s="454" t="str">
        <f t="shared" si="133"/>
        <v>G-PBOD</v>
      </c>
      <c r="AS185" s="454" t="str">
        <f t="shared" si="133"/>
        <v>G-CAP25A</v>
      </c>
      <c r="AT185" s="454" t="str">
        <f t="shared" si="133"/>
        <v>G-Offsets25</v>
      </c>
      <c r="AU185" s="168"/>
      <c r="AV185" s="168" t="str">
        <f>IF(ISBLANK(AV$8),"",AV$8)</f>
        <v>Adjustments</v>
      </c>
      <c r="AW185" s="168" t="str">
        <f>IF(ISBLANK(AW$8),"",AW$8)</f>
        <v/>
      </c>
      <c r="AX185" s="168" t="str">
        <f>IF(ISBLANK(AX$8),"",AX$8)</f>
        <v/>
      </c>
      <c r="AY185" s="168" t="str">
        <f>IF(ISBLANK(AY$8),"",AY$8)</f>
        <v>in bold</v>
      </c>
      <c r="AZ185" s="146"/>
      <c r="BA185" s="146"/>
      <c r="BB185" s="168"/>
    </row>
    <row r="186" spans="1:54" ht="14.1" customHeight="1">
      <c r="A186" s="145">
        <v>186</v>
      </c>
      <c r="B186" s="143"/>
      <c r="C186" s="182" t="s">
        <v>70</v>
      </c>
      <c r="D186" s="144"/>
      <c r="E186" s="141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1"/>
      <c r="AV186" s="149"/>
      <c r="AW186" s="149"/>
      <c r="AX186" s="145"/>
      <c r="AY186" s="149"/>
      <c r="AZ186" s="146"/>
      <c r="BA186" s="146"/>
      <c r="BB186" s="145"/>
    </row>
    <row r="187" spans="1:54" ht="14.1" customHeight="1">
      <c r="A187" s="145">
        <v>187</v>
      </c>
      <c r="B187" s="143">
        <v>374</v>
      </c>
      <c r="C187" s="144" t="s">
        <v>358</v>
      </c>
      <c r="D187" s="144"/>
      <c r="E187" s="142"/>
      <c r="F187" s="150">
        <v>8000</v>
      </c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66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66"/>
      <c r="AM187" s="166">
        <f>ROUND(F187/$F$200*633000,-3)</f>
        <v>0</v>
      </c>
      <c r="AN187" s="166">
        <f>ROUND(F187/$F$200*-434000,-3)</f>
        <v>0</v>
      </c>
      <c r="AO187" s="166">
        <f>ROUND(F187/$F$200*963000,-3)</f>
        <v>0</v>
      </c>
      <c r="AP187" s="166"/>
      <c r="AQ187" s="166"/>
      <c r="AR187" s="166"/>
      <c r="AS187" s="166">
        <f>ROUND(F187/$F$200*903000,-3)</f>
        <v>0</v>
      </c>
      <c r="AT187" s="166">
        <f>ROUND(F187/$F$200*0,-3)</f>
        <v>0</v>
      </c>
      <c r="AU187" s="141"/>
      <c r="AV187" s="149">
        <f t="shared" ref="AV187:AV199" si="134">SUM(G187:AT187)</f>
        <v>0</v>
      </c>
      <c r="AW187" s="149">
        <f t="shared" ref="AW187:AW199" si="135">F187+AV187</f>
        <v>8000</v>
      </c>
      <c r="AX187" s="145"/>
      <c r="AY187" s="149">
        <f t="shared" ref="AY187:AY199" si="136">ROUND(AW187/1000,0)*1000</f>
        <v>8000</v>
      </c>
      <c r="AZ187" s="146"/>
      <c r="BA187" s="146"/>
      <c r="BB187" s="145"/>
    </row>
    <row r="188" spans="1:54" ht="14.1" customHeight="1">
      <c r="A188" s="145">
        <v>188</v>
      </c>
      <c r="B188" s="143">
        <v>375</v>
      </c>
      <c r="C188" s="144" t="s">
        <v>359</v>
      </c>
      <c r="D188" s="144"/>
      <c r="E188" s="150"/>
      <c r="F188" s="150">
        <v>17000</v>
      </c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66"/>
      <c r="T188" s="142"/>
      <c r="U188" s="142"/>
      <c r="V188" s="142"/>
      <c r="W188" s="142"/>
      <c r="X188" s="166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66"/>
      <c r="AM188" s="166">
        <f t="shared" ref="AM188:AM199" si="137">ROUND(F188/$F$200*633000,-3)</f>
        <v>1000</v>
      </c>
      <c r="AN188" s="166">
        <f t="shared" ref="AN188:AN199" si="138">ROUND(F188/$F$200*-434000,-3)</f>
        <v>0</v>
      </c>
      <c r="AO188" s="166">
        <f t="shared" ref="AO188:AO199" si="139">ROUND(F188/$F$200*963000,-3)</f>
        <v>1000</v>
      </c>
      <c r="AP188" s="166"/>
      <c r="AQ188" s="166"/>
      <c r="AR188" s="166"/>
      <c r="AS188" s="166">
        <f t="shared" ref="AS188:AS199" si="140">ROUND(F188/$F$200*903000,-3)</f>
        <v>1000</v>
      </c>
      <c r="AT188" s="166">
        <f t="shared" ref="AT188:AT199" si="141">ROUND(F188/$F$200*0,-3)</f>
        <v>0</v>
      </c>
      <c r="AU188" s="141"/>
      <c r="AV188" s="149">
        <f t="shared" si="134"/>
        <v>3000</v>
      </c>
      <c r="AW188" s="149">
        <f t="shared" si="135"/>
        <v>20000</v>
      </c>
      <c r="AX188" s="145"/>
      <c r="AY188" s="149">
        <f t="shared" si="136"/>
        <v>20000</v>
      </c>
      <c r="AZ188" s="146"/>
      <c r="BA188" s="146"/>
      <c r="BB188" s="145"/>
    </row>
    <row r="189" spans="1:54" ht="14.1" customHeight="1">
      <c r="A189" s="145">
        <v>189</v>
      </c>
      <c r="B189" s="143" t="s">
        <v>988</v>
      </c>
      <c r="C189" s="144" t="s">
        <v>366</v>
      </c>
      <c r="D189" s="144"/>
      <c r="E189" s="184">
        <f>E269</f>
        <v>1</v>
      </c>
      <c r="F189" s="166">
        <v>7118000</v>
      </c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66"/>
      <c r="Y189" s="150"/>
      <c r="Z189" s="150"/>
      <c r="AA189" s="150"/>
      <c r="AB189" s="150"/>
      <c r="AC189" s="142"/>
      <c r="AD189" s="142"/>
      <c r="AE189" s="142"/>
      <c r="AF189" s="142"/>
      <c r="AG189" s="142"/>
      <c r="AH189" s="142"/>
      <c r="AI189" s="150"/>
      <c r="AJ189" s="150"/>
      <c r="AK189" s="150"/>
      <c r="AL189" s="166"/>
      <c r="AM189" s="166">
        <f t="shared" si="137"/>
        <v>274000</v>
      </c>
      <c r="AN189" s="166">
        <f>ROUND(F189/$F$200*-434000,-3)-2000</f>
        <v>-190000</v>
      </c>
      <c r="AO189" s="166">
        <f>ROUND(F189/$F$200*963000,-3)+1000</f>
        <v>418000</v>
      </c>
      <c r="AP189" s="166"/>
      <c r="AQ189" s="166"/>
      <c r="AR189" s="166"/>
      <c r="AS189" s="166">
        <f>ROUND(F189/$F$200*903000,-3)+1000</f>
        <v>392000</v>
      </c>
      <c r="AT189" s="166">
        <f t="shared" si="141"/>
        <v>0</v>
      </c>
      <c r="AU189" s="141"/>
      <c r="AV189" s="149">
        <f t="shared" si="134"/>
        <v>894000</v>
      </c>
      <c r="AW189" s="149">
        <f t="shared" si="135"/>
        <v>8012000</v>
      </c>
      <c r="AX189" s="145"/>
      <c r="AY189" s="485">
        <f>ROUND(AW189/1000,0)*1000</f>
        <v>8012000</v>
      </c>
      <c r="AZ189" s="146"/>
      <c r="BA189" s="146"/>
      <c r="BB189" s="145"/>
    </row>
    <row r="190" spans="1:54" ht="14.1" customHeight="1">
      <c r="A190" s="145">
        <v>190</v>
      </c>
      <c r="B190" s="143">
        <v>376</v>
      </c>
      <c r="C190" s="144" t="s">
        <v>366</v>
      </c>
      <c r="D190" s="144"/>
      <c r="E190" s="184">
        <f>E270</f>
        <v>0</v>
      </c>
      <c r="F190" s="142">
        <f>ROUND($E$188*E190,-3)</f>
        <v>0</v>
      </c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66"/>
      <c r="Y190" s="150"/>
      <c r="Z190" s="150"/>
      <c r="AA190" s="150"/>
      <c r="AB190" s="150"/>
      <c r="AC190" s="142"/>
      <c r="AD190" s="142"/>
      <c r="AE190" s="142"/>
      <c r="AF190" s="142"/>
      <c r="AG190" s="142"/>
      <c r="AH190" s="142"/>
      <c r="AI190" s="150"/>
      <c r="AJ190" s="150"/>
      <c r="AK190" s="150"/>
      <c r="AL190" s="166"/>
      <c r="AM190" s="166">
        <f t="shared" si="137"/>
        <v>0</v>
      </c>
      <c r="AN190" s="166">
        <f t="shared" si="138"/>
        <v>0</v>
      </c>
      <c r="AO190" s="166">
        <f t="shared" si="139"/>
        <v>0</v>
      </c>
      <c r="AP190" s="166"/>
      <c r="AQ190" s="166"/>
      <c r="AR190" s="166"/>
      <c r="AS190" s="166">
        <f t="shared" si="140"/>
        <v>0</v>
      </c>
      <c r="AT190" s="166">
        <f t="shared" si="141"/>
        <v>0</v>
      </c>
      <c r="AU190" s="141"/>
      <c r="AV190" s="149">
        <f t="shared" si="134"/>
        <v>0</v>
      </c>
      <c r="AW190" s="149">
        <f t="shared" si="135"/>
        <v>0</v>
      </c>
      <c r="AX190" s="145"/>
      <c r="AY190" s="149">
        <f t="shared" si="136"/>
        <v>0</v>
      </c>
      <c r="AZ190" s="146"/>
      <c r="BA190" s="146"/>
      <c r="BB190" s="145"/>
    </row>
    <row r="191" spans="1:54" ht="14.1" customHeight="1">
      <c r="A191" s="145">
        <v>191</v>
      </c>
      <c r="B191" s="143">
        <v>378</v>
      </c>
      <c r="C191" s="144" t="s">
        <v>367</v>
      </c>
      <c r="D191" s="144"/>
      <c r="E191" s="183"/>
      <c r="F191" s="150">
        <v>161000</v>
      </c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66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66"/>
      <c r="AM191" s="166">
        <f t="shared" si="137"/>
        <v>6000</v>
      </c>
      <c r="AN191" s="166">
        <f t="shared" si="138"/>
        <v>-4000</v>
      </c>
      <c r="AO191" s="166">
        <f t="shared" si="139"/>
        <v>9000</v>
      </c>
      <c r="AP191" s="166"/>
      <c r="AQ191" s="166"/>
      <c r="AR191" s="166"/>
      <c r="AS191" s="166">
        <f t="shared" si="140"/>
        <v>9000</v>
      </c>
      <c r="AT191" s="166">
        <f t="shared" si="141"/>
        <v>0</v>
      </c>
      <c r="AU191" s="141"/>
      <c r="AV191" s="149">
        <f t="shared" si="134"/>
        <v>20000</v>
      </c>
      <c r="AW191" s="149">
        <f t="shared" si="135"/>
        <v>181000</v>
      </c>
      <c r="AX191" s="145"/>
      <c r="AY191" s="149">
        <f t="shared" si="136"/>
        <v>181000</v>
      </c>
      <c r="AZ191" s="146"/>
      <c r="BA191" s="146"/>
      <c r="BB191" s="145"/>
    </row>
    <row r="192" spans="1:54" ht="14.1" customHeight="1">
      <c r="A192" s="145">
        <v>192</v>
      </c>
      <c r="B192" s="143">
        <v>379</v>
      </c>
      <c r="C192" s="144" t="s">
        <v>368</v>
      </c>
      <c r="D192" s="144"/>
      <c r="E192" s="142"/>
      <c r="F192" s="150">
        <v>52000</v>
      </c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66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66"/>
      <c r="AM192" s="166">
        <f t="shared" si="137"/>
        <v>2000</v>
      </c>
      <c r="AN192" s="166">
        <f t="shared" si="138"/>
        <v>-1000</v>
      </c>
      <c r="AO192" s="166">
        <f t="shared" si="139"/>
        <v>3000</v>
      </c>
      <c r="AP192" s="166"/>
      <c r="AQ192" s="166"/>
      <c r="AR192" s="166"/>
      <c r="AS192" s="166">
        <f t="shared" si="140"/>
        <v>3000</v>
      </c>
      <c r="AT192" s="166">
        <f t="shared" si="141"/>
        <v>0</v>
      </c>
      <c r="AU192" s="141"/>
      <c r="AV192" s="149">
        <f t="shared" si="134"/>
        <v>7000</v>
      </c>
      <c r="AW192" s="149">
        <f t="shared" si="135"/>
        <v>59000</v>
      </c>
      <c r="AX192" s="145"/>
      <c r="AY192" s="149">
        <f t="shared" si="136"/>
        <v>59000</v>
      </c>
      <c r="AZ192" s="146"/>
      <c r="BA192" s="146"/>
      <c r="BB192" s="145"/>
    </row>
    <row r="193" spans="1:54" ht="14.1" customHeight="1">
      <c r="A193" s="145">
        <v>193</v>
      </c>
      <c r="B193" s="143">
        <v>380</v>
      </c>
      <c r="C193" s="144" t="s">
        <v>369</v>
      </c>
      <c r="D193" s="144"/>
      <c r="E193" s="142"/>
      <c r="F193" s="150">
        <v>5357000</v>
      </c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66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66"/>
      <c r="AJ193" s="166"/>
      <c r="AK193" s="166"/>
      <c r="AL193" s="166"/>
      <c r="AM193" s="166">
        <f t="shared" si="137"/>
        <v>206000</v>
      </c>
      <c r="AN193" s="166">
        <f t="shared" si="138"/>
        <v>-141000</v>
      </c>
      <c r="AO193" s="166">
        <f t="shared" si="139"/>
        <v>314000</v>
      </c>
      <c r="AP193" s="166"/>
      <c r="AQ193" s="166"/>
      <c r="AR193" s="166"/>
      <c r="AS193" s="166">
        <f t="shared" si="140"/>
        <v>294000</v>
      </c>
      <c r="AT193" s="166">
        <f t="shared" si="141"/>
        <v>0</v>
      </c>
      <c r="AU193" s="141"/>
      <c r="AV193" s="149">
        <f t="shared" si="134"/>
        <v>673000</v>
      </c>
      <c r="AW193" s="149">
        <f t="shared" si="135"/>
        <v>6030000</v>
      </c>
      <c r="AX193" s="145"/>
      <c r="AY193" s="173">
        <f>ROUND(AW193/1000,0)*1000</f>
        <v>6030000</v>
      </c>
      <c r="AZ193" s="146"/>
      <c r="BA193" s="146"/>
      <c r="BB193" s="145"/>
    </row>
    <row r="194" spans="1:54" ht="14.1" customHeight="1">
      <c r="A194" s="145">
        <v>194</v>
      </c>
      <c r="B194" s="143">
        <v>381</v>
      </c>
      <c r="C194" s="144" t="s">
        <v>370</v>
      </c>
      <c r="D194" s="144"/>
      <c r="E194" s="142"/>
      <c r="F194" s="150">
        <v>3686000</v>
      </c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50"/>
      <c r="S194" s="142"/>
      <c r="T194" s="142"/>
      <c r="U194" s="142"/>
      <c r="V194" s="142"/>
      <c r="W194" s="142"/>
      <c r="X194" s="166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66"/>
      <c r="AM194" s="166">
        <f t="shared" si="137"/>
        <v>142000</v>
      </c>
      <c r="AN194" s="166">
        <f t="shared" si="138"/>
        <v>-97000</v>
      </c>
      <c r="AO194" s="166">
        <f t="shared" si="139"/>
        <v>216000</v>
      </c>
      <c r="AP194" s="166"/>
      <c r="AQ194" s="166"/>
      <c r="AR194" s="166"/>
      <c r="AS194" s="166">
        <f t="shared" si="140"/>
        <v>202000</v>
      </c>
      <c r="AT194" s="166">
        <f t="shared" si="141"/>
        <v>0</v>
      </c>
      <c r="AU194" s="141"/>
      <c r="AV194" s="149">
        <f t="shared" si="134"/>
        <v>463000</v>
      </c>
      <c r="AW194" s="149">
        <f t="shared" si="135"/>
        <v>4149000</v>
      </c>
      <c r="AX194" s="145"/>
      <c r="AY194" s="173">
        <f>ROUND(AW194/1000,0)*1000</f>
        <v>4149000</v>
      </c>
      <c r="AZ194" s="146"/>
      <c r="BA194" s="146"/>
      <c r="BB194" s="145"/>
    </row>
    <row r="195" spans="1:54" ht="14.1" customHeight="1">
      <c r="A195" s="145">
        <v>195</v>
      </c>
      <c r="B195" s="143">
        <v>382</v>
      </c>
      <c r="C195" s="144" t="s">
        <v>371</v>
      </c>
      <c r="D195" s="144"/>
      <c r="E195" s="142"/>
      <c r="F195" s="150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66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66"/>
      <c r="AM195" s="166">
        <f t="shared" si="137"/>
        <v>0</v>
      </c>
      <c r="AN195" s="166">
        <f t="shared" si="138"/>
        <v>0</v>
      </c>
      <c r="AO195" s="166">
        <f t="shared" si="139"/>
        <v>0</v>
      </c>
      <c r="AP195" s="166"/>
      <c r="AQ195" s="166"/>
      <c r="AR195" s="166"/>
      <c r="AS195" s="166">
        <f t="shared" si="140"/>
        <v>0</v>
      </c>
      <c r="AT195" s="166">
        <f t="shared" si="141"/>
        <v>0</v>
      </c>
      <c r="AU195" s="141"/>
      <c r="AV195" s="149">
        <f t="shared" si="134"/>
        <v>0</v>
      </c>
      <c r="AW195" s="149">
        <f t="shared" si="135"/>
        <v>0</v>
      </c>
      <c r="AX195" s="145"/>
      <c r="AY195" s="149">
        <f t="shared" si="136"/>
        <v>0</v>
      </c>
      <c r="AZ195" s="146"/>
      <c r="BA195" s="146"/>
      <c r="BB195" s="145"/>
    </row>
    <row r="196" spans="1:54" ht="14.1" customHeight="1">
      <c r="A196" s="145">
        <v>196</v>
      </c>
      <c r="B196" s="143">
        <v>383</v>
      </c>
      <c r="C196" s="144" t="s">
        <v>372</v>
      </c>
      <c r="D196" s="144"/>
      <c r="E196" s="142"/>
      <c r="F196" s="150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66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66"/>
      <c r="AM196" s="166">
        <f t="shared" si="137"/>
        <v>0</v>
      </c>
      <c r="AN196" s="166">
        <f t="shared" si="138"/>
        <v>0</v>
      </c>
      <c r="AO196" s="166">
        <f t="shared" si="139"/>
        <v>0</v>
      </c>
      <c r="AP196" s="166"/>
      <c r="AQ196" s="166"/>
      <c r="AR196" s="166"/>
      <c r="AS196" s="166">
        <f t="shared" si="140"/>
        <v>0</v>
      </c>
      <c r="AT196" s="166">
        <f t="shared" si="141"/>
        <v>0</v>
      </c>
      <c r="AU196" s="141"/>
      <c r="AV196" s="149">
        <f t="shared" si="134"/>
        <v>0</v>
      </c>
      <c r="AW196" s="149">
        <f t="shared" si="135"/>
        <v>0</v>
      </c>
      <c r="AX196" s="145"/>
      <c r="AY196" s="149">
        <f t="shared" si="136"/>
        <v>0</v>
      </c>
      <c r="AZ196" s="146"/>
      <c r="BA196" s="146"/>
      <c r="BB196" s="145"/>
    </row>
    <row r="197" spans="1:54" ht="14.1" customHeight="1">
      <c r="A197" s="145">
        <v>197</v>
      </c>
      <c r="B197" s="143">
        <v>384</v>
      </c>
      <c r="C197" s="144" t="s">
        <v>373</v>
      </c>
      <c r="D197" s="144"/>
      <c r="E197" s="142"/>
      <c r="F197" s="150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66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66"/>
      <c r="AM197" s="166">
        <f t="shared" si="137"/>
        <v>0</v>
      </c>
      <c r="AN197" s="166">
        <f t="shared" si="138"/>
        <v>0</v>
      </c>
      <c r="AO197" s="166">
        <f t="shared" si="139"/>
        <v>0</v>
      </c>
      <c r="AP197" s="166"/>
      <c r="AQ197" s="166"/>
      <c r="AR197" s="166"/>
      <c r="AS197" s="166">
        <f t="shared" si="140"/>
        <v>0</v>
      </c>
      <c r="AT197" s="166">
        <f t="shared" si="141"/>
        <v>0</v>
      </c>
      <c r="AU197" s="141"/>
      <c r="AV197" s="149">
        <f t="shared" si="134"/>
        <v>0</v>
      </c>
      <c r="AW197" s="149">
        <f t="shared" si="135"/>
        <v>0</v>
      </c>
      <c r="AX197" s="145"/>
      <c r="AY197" s="149">
        <f t="shared" si="136"/>
        <v>0</v>
      </c>
      <c r="AZ197" s="146"/>
      <c r="BA197" s="146"/>
      <c r="BB197" s="145"/>
    </row>
    <row r="198" spans="1:54" ht="14.1" customHeight="1">
      <c r="A198" s="145">
        <v>198</v>
      </c>
      <c r="B198" s="143">
        <v>385</v>
      </c>
      <c r="C198" s="144" t="s">
        <v>374</v>
      </c>
      <c r="D198" s="144"/>
      <c r="E198" s="142"/>
      <c r="F198" s="150">
        <v>41000</v>
      </c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66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66"/>
      <c r="AM198" s="166">
        <f t="shared" si="137"/>
        <v>2000</v>
      </c>
      <c r="AN198" s="166">
        <f t="shared" si="138"/>
        <v>-1000</v>
      </c>
      <c r="AO198" s="166">
        <f t="shared" si="139"/>
        <v>2000</v>
      </c>
      <c r="AP198" s="166"/>
      <c r="AQ198" s="166"/>
      <c r="AR198" s="166"/>
      <c r="AS198" s="166">
        <f t="shared" si="140"/>
        <v>2000</v>
      </c>
      <c r="AT198" s="166">
        <f t="shared" si="141"/>
        <v>0</v>
      </c>
      <c r="AU198" s="141"/>
      <c r="AV198" s="149">
        <f t="shared" si="134"/>
        <v>5000</v>
      </c>
      <c r="AW198" s="149">
        <f t="shared" si="135"/>
        <v>46000</v>
      </c>
      <c r="AX198" s="145"/>
      <c r="AY198" s="149">
        <f t="shared" si="136"/>
        <v>46000</v>
      </c>
      <c r="AZ198" s="146"/>
      <c r="BA198" s="146"/>
      <c r="BB198" s="145"/>
    </row>
    <row r="199" spans="1:54" ht="14.1" customHeight="1">
      <c r="A199" s="145">
        <v>199</v>
      </c>
      <c r="B199" s="143">
        <v>387</v>
      </c>
      <c r="C199" s="144" t="s">
        <v>365</v>
      </c>
      <c r="D199" s="144"/>
      <c r="E199" s="142"/>
      <c r="F199" s="150">
        <v>0</v>
      </c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66">
        <v>-11000</v>
      </c>
      <c r="S199" s="142"/>
      <c r="T199" s="142"/>
      <c r="U199" s="142"/>
      <c r="V199" s="142"/>
      <c r="W199" s="142"/>
      <c r="X199" s="166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66"/>
      <c r="AM199" s="166">
        <f t="shared" si="137"/>
        <v>0</v>
      </c>
      <c r="AN199" s="166">
        <f t="shared" si="138"/>
        <v>0</v>
      </c>
      <c r="AO199" s="166">
        <f t="shared" si="139"/>
        <v>0</v>
      </c>
      <c r="AP199" s="166"/>
      <c r="AQ199" s="166"/>
      <c r="AR199" s="166"/>
      <c r="AS199" s="166">
        <f t="shared" si="140"/>
        <v>0</v>
      </c>
      <c r="AT199" s="166">
        <f t="shared" si="141"/>
        <v>0</v>
      </c>
      <c r="AU199" s="141"/>
      <c r="AV199" s="149">
        <f t="shared" si="134"/>
        <v>-11000</v>
      </c>
      <c r="AW199" s="149">
        <f t="shared" si="135"/>
        <v>-11000</v>
      </c>
      <c r="AX199" s="145"/>
      <c r="AY199" s="149">
        <f t="shared" si="136"/>
        <v>-11000</v>
      </c>
      <c r="AZ199" s="146"/>
      <c r="BA199" s="146"/>
      <c r="BB199" s="145"/>
    </row>
    <row r="200" spans="1:54" s="154" customFormat="1" ht="14.1" customHeight="1">
      <c r="A200" s="145">
        <v>200</v>
      </c>
      <c r="B200" s="165"/>
      <c r="C200" s="157" t="s">
        <v>641</v>
      </c>
      <c r="D200" s="157"/>
      <c r="E200" s="180"/>
      <c r="F200" s="179">
        <f t="shared" ref="F200:AR200" si="142">SUM(F187:F199)</f>
        <v>16440000</v>
      </c>
      <c r="G200" s="159">
        <f t="shared" si="142"/>
        <v>0</v>
      </c>
      <c r="H200" s="159">
        <f t="shared" si="142"/>
        <v>0</v>
      </c>
      <c r="I200" s="159">
        <f t="shared" si="142"/>
        <v>0</v>
      </c>
      <c r="J200" s="159">
        <f>SUM(J187:J199)</f>
        <v>0</v>
      </c>
      <c r="K200" s="159">
        <f>SUM(K187:K199)</f>
        <v>0</v>
      </c>
      <c r="L200" s="159">
        <f t="shared" si="142"/>
        <v>0</v>
      </c>
      <c r="M200" s="159">
        <f t="shared" si="142"/>
        <v>0</v>
      </c>
      <c r="N200" s="159">
        <f t="shared" si="142"/>
        <v>0</v>
      </c>
      <c r="O200" s="159">
        <f t="shared" si="142"/>
        <v>0</v>
      </c>
      <c r="P200" s="159">
        <f>SUM(P187:P199)</f>
        <v>0</v>
      </c>
      <c r="Q200" s="159">
        <f>SUM(Q187:Q199)</f>
        <v>0</v>
      </c>
      <c r="R200" s="159">
        <f>SUM(R187:R199)</f>
        <v>-11000</v>
      </c>
      <c r="S200" s="159">
        <f>SUM(S187:S199)</f>
        <v>0</v>
      </c>
      <c r="T200" s="159">
        <f>SUM(T187:T199)</f>
        <v>0</v>
      </c>
      <c r="U200" s="159">
        <f t="shared" si="142"/>
        <v>0</v>
      </c>
      <c r="V200" s="159">
        <f t="shared" ref="V200:AB200" si="143">SUM(V187:V199)</f>
        <v>0</v>
      </c>
      <c r="W200" s="159">
        <f t="shared" si="143"/>
        <v>0</v>
      </c>
      <c r="X200" s="159">
        <f t="shared" si="143"/>
        <v>0</v>
      </c>
      <c r="Y200" s="159">
        <f t="shared" si="143"/>
        <v>0</v>
      </c>
      <c r="Z200" s="159">
        <f t="shared" si="143"/>
        <v>0</v>
      </c>
      <c r="AA200" s="159">
        <f t="shared" si="143"/>
        <v>0</v>
      </c>
      <c r="AB200" s="159">
        <f t="shared" si="143"/>
        <v>0</v>
      </c>
      <c r="AC200" s="159">
        <f t="shared" si="142"/>
        <v>0</v>
      </c>
      <c r="AD200" s="159">
        <f t="shared" si="142"/>
        <v>0</v>
      </c>
      <c r="AE200" s="159">
        <f t="shared" si="142"/>
        <v>0</v>
      </c>
      <c r="AF200" s="159">
        <f t="shared" si="142"/>
        <v>0</v>
      </c>
      <c r="AG200" s="159">
        <f t="shared" si="142"/>
        <v>0</v>
      </c>
      <c r="AH200" s="159">
        <f t="shared" si="142"/>
        <v>0</v>
      </c>
      <c r="AI200" s="159">
        <f>SUM(AI187:AI199)</f>
        <v>0</v>
      </c>
      <c r="AJ200" s="159">
        <f>SUM(AJ187:AJ199)</f>
        <v>0</v>
      </c>
      <c r="AK200" s="159">
        <f t="shared" si="142"/>
        <v>0</v>
      </c>
      <c r="AL200" s="159">
        <f t="shared" si="142"/>
        <v>0</v>
      </c>
      <c r="AM200" s="159">
        <f t="shared" si="142"/>
        <v>633000</v>
      </c>
      <c r="AN200" s="159">
        <f t="shared" si="142"/>
        <v>-434000</v>
      </c>
      <c r="AO200" s="159">
        <f t="shared" si="142"/>
        <v>963000</v>
      </c>
      <c r="AP200" s="159">
        <f t="shared" si="142"/>
        <v>0</v>
      </c>
      <c r="AQ200" s="159">
        <f t="shared" si="142"/>
        <v>0</v>
      </c>
      <c r="AR200" s="159">
        <f t="shared" si="142"/>
        <v>0</v>
      </c>
      <c r="AS200" s="159">
        <f t="shared" ref="AS200:AT200" si="144">SUM(AS187:AS199)</f>
        <v>903000</v>
      </c>
      <c r="AT200" s="159">
        <f t="shared" si="144"/>
        <v>0</v>
      </c>
      <c r="AU200" s="158"/>
      <c r="AV200" s="158">
        <f>SUM(AV187:AV199)</f>
        <v>2054000</v>
      </c>
      <c r="AW200" s="158">
        <f>SUM(AW187:AW199)</f>
        <v>18494000</v>
      </c>
      <c r="AX200" s="152" t="str">
        <f>IF(ROUND(SUM(F200:AT200),0)=ROUND(AW200,0),"ok","crossfoot error")</f>
        <v>ok</v>
      </c>
      <c r="AY200" s="158">
        <f>SUM(AY187:AY199)/1000</f>
        <v>18494</v>
      </c>
      <c r="AZ200" s="147">
        <v>18494.3</v>
      </c>
      <c r="BA200" s="146">
        <f>AY200-AZ200</f>
        <v>-0.2999999999992724</v>
      </c>
      <c r="BB200" s="146">
        <f>BA200+BA213+BA224</f>
        <v>-1.5999999999985448</v>
      </c>
    </row>
    <row r="201" spans="1:54" ht="14.1" customHeight="1">
      <c r="A201" s="145">
        <v>201</v>
      </c>
      <c r="B201" s="143"/>
      <c r="C201" s="144"/>
      <c r="D201" s="144"/>
      <c r="E201" s="141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1"/>
      <c r="AV201" s="149"/>
      <c r="AW201" s="149"/>
      <c r="AX201" s="145"/>
      <c r="AY201" s="149"/>
      <c r="AZ201" s="146"/>
      <c r="BA201" s="146"/>
      <c r="BB201" s="145"/>
    </row>
    <row r="202" spans="1:54" ht="14.1" customHeight="1">
      <c r="A202" s="145">
        <v>202</v>
      </c>
      <c r="B202" s="143"/>
      <c r="C202" s="182" t="s">
        <v>71</v>
      </c>
      <c r="D202" s="144"/>
      <c r="E202" s="141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1"/>
      <c r="AV202" s="149"/>
      <c r="AW202" s="149"/>
      <c r="AX202" s="145"/>
      <c r="AY202" s="149"/>
      <c r="AZ202" s="146"/>
      <c r="BA202" s="146"/>
      <c r="BB202" s="145"/>
    </row>
    <row r="203" spans="1:54" ht="14.1" customHeight="1">
      <c r="A203" s="145">
        <v>203</v>
      </c>
      <c r="B203" s="143">
        <v>389</v>
      </c>
      <c r="C203" s="144" t="s">
        <v>358</v>
      </c>
      <c r="D203" s="144"/>
      <c r="E203" s="141"/>
      <c r="F203" s="150">
        <v>10000</v>
      </c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66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66"/>
      <c r="AM203" s="166">
        <f>ROUND(F203/$F$213*625000,-3)</f>
        <v>1000</v>
      </c>
      <c r="AN203" s="166">
        <f>ROUND(F203/$F$213*-464000,-3)</f>
        <v>-1000</v>
      </c>
      <c r="AO203" s="166">
        <f>ROUND(F203/$F$213*967000,-3)</f>
        <v>2000</v>
      </c>
      <c r="AP203" s="166"/>
      <c r="AQ203" s="166"/>
      <c r="AR203" s="166"/>
      <c r="AS203" s="166">
        <f>ROUND(F203/$F$213*1245000,-3)</f>
        <v>2000</v>
      </c>
      <c r="AT203" s="166">
        <f>ROUND(F203/$F$213*0,-3)</f>
        <v>0</v>
      </c>
      <c r="AU203" s="141"/>
      <c r="AV203" s="149">
        <f t="shared" ref="AV203:AV212" si="145">SUM(G203:AT203)</f>
        <v>4000</v>
      </c>
      <c r="AW203" s="149">
        <f t="shared" ref="AW203:AW212" si="146">F203+AV203</f>
        <v>14000</v>
      </c>
      <c r="AX203" s="145"/>
      <c r="AY203" s="149">
        <f>ROUND(AW203/1000,0)*1000</f>
        <v>14000</v>
      </c>
      <c r="AZ203" s="146"/>
      <c r="BA203" s="146"/>
      <c r="BB203" s="145"/>
    </row>
    <row r="204" spans="1:54" ht="14.1" customHeight="1">
      <c r="A204" s="145">
        <v>204</v>
      </c>
      <c r="B204" s="143">
        <v>390</v>
      </c>
      <c r="C204" s="144" t="s">
        <v>359</v>
      </c>
      <c r="D204" s="144"/>
      <c r="E204" s="141"/>
      <c r="F204" s="150">
        <v>1418000</v>
      </c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66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66"/>
      <c r="AJ204" s="166"/>
      <c r="AK204" s="166"/>
      <c r="AL204" s="166"/>
      <c r="AM204" s="166">
        <f t="shared" ref="AM204:AM212" si="147">ROUND(F204/$F$213*625000,-3)</f>
        <v>172000</v>
      </c>
      <c r="AN204" s="166">
        <f t="shared" ref="AN204:AN212" si="148">ROUND(F204/$F$213*-464000,-3)</f>
        <v>-128000</v>
      </c>
      <c r="AO204" s="166">
        <f t="shared" ref="AO204:AO212" si="149">ROUND(F204/$F$213*967000,-3)</f>
        <v>267000</v>
      </c>
      <c r="AP204" s="166"/>
      <c r="AQ204" s="166"/>
      <c r="AR204" s="166"/>
      <c r="AS204" s="166">
        <f t="shared" ref="AS204:AS212" si="150">ROUND(F204/$F$213*1245000,-3)</f>
        <v>343000</v>
      </c>
      <c r="AT204" s="166">
        <f t="shared" ref="AT204:AT212" si="151">ROUND(F204/$F$213*0,-3)</f>
        <v>0</v>
      </c>
      <c r="AU204" s="141"/>
      <c r="AV204" s="149">
        <f t="shared" si="145"/>
        <v>654000</v>
      </c>
      <c r="AW204" s="149">
        <f t="shared" si="146"/>
        <v>2072000</v>
      </c>
      <c r="AX204" s="145"/>
      <c r="AY204" s="149">
        <f>ROUND(AW204/1000,0)*1000</f>
        <v>2072000</v>
      </c>
      <c r="AZ204" s="146"/>
      <c r="BA204" s="146"/>
      <c r="BB204" s="145"/>
    </row>
    <row r="205" spans="1:54" ht="14.1" customHeight="1">
      <c r="A205" s="145">
        <v>205</v>
      </c>
      <c r="B205" s="143">
        <v>391</v>
      </c>
      <c r="C205" s="144" t="s">
        <v>375</v>
      </c>
      <c r="D205" s="144"/>
      <c r="E205" s="141"/>
      <c r="F205" s="150">
        <v>1983000</v>
      </c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66"/>
      <c r="Y205" s="150"/>
      <c r="Z205" s="150"/>
      <c r="AA205" s="150"/>
      <c r="AB205" s="150"/>
      <c r="AC205" s="142"/>
      <c r="AD205" s="142"/>
      <c r="AE205" s="142"/>
      <c r="AF205" s="142"/>
      <c r="AG205" s="142"/>
      <c r="AH205" s="142"/>
      <c r="AI205" s="150"/>
      <c r="AJ205" s="150"/>
      <c r="AK205" s="150"/>
      <c r="AL205" s="166"/>
      <c r="AM205" s="166">
        <f>ROUND(F205/$F$213*625000,-3)+1000</f>
        <v>242000</v>
      </c>
      <c r="AN205" s="166">
        <f>ROUND(F205/$F$213*-464000,-3)+1000</f>
        <v>-178000</v>
      </c>
      <c r="AO205" s="166">
        <f t="shared" si="149"/>
        <v>373000</v>
      </c>
      <c r="AP205" s="166"/>
      <c r="AQ205" s="166"/>
      <c r="AR205" s="166"/>
      <c r="AS205" s="166">
        <f t="shared" si="150"/>
        <v>480000</v>
      </c>
      <c r="AT205" s="166">
        <f t="shared" si="151"/>
        <v>0</v>
      </c>
      <c r="AU205" s="141"/>
      <c r="AV205" s="149">
        <f t="shared" si="145"/>
        <v>917000</v>
      </c>
      <c r="AW205" s="149">
        <f t="shared" si="146"/>
        <v>2900000</v>
      </c>
      <c r="AX205" s="145"/>
      <c r="AY205" s="149">
        <f>ROUND(AW205/1000,0)*1000</f>
        <v>2900000</v>
      </c>
      <c r="AZ205" s="146"/>
      <c r="BA205" s="146"/>
      <c r="BB205" s="145"/>
    </row>
    <row r="206" spans="1:54" ht="14.1" customHeight="1">
      <c r="A206" s="145">
        <v>206</v>
      </c>
      <c r="B206" s="143">
        <v>392</v>
      </c>
      <c r="C206" s="144" t="s">
        <v>376</v>
      </c>
      <c r="D206" s="144"/>
      <c r="E206" s="141"/>
      <c r="F206" s="150">
        <v>0</v>
      </c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66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66"/>
      <c r="AM206" s="166">
        <f t="shared" si="147"/>
        <v>0</v>
      </c>
      <c r="AN206" s="166">
        <f t="shared" si="148"/>
        <v>0</v>
      </c>
      <c r="AO206" s="166">
        <f t="shared" si="149"/>
        <v>0</v>
      </c>
      <c r="AP206" s="166"/>
      <c r="AQ206" s="166"/>
      <c r="AR206" s="166"/>
      <c r="AS206" s="166">
        <f t="shared" si="150"/>
        <v>0</v>
      </c>
      <c r="AT206" s="166">
        <f t="shared" si="151"/>
        <v>0</v>
      </c>
      <c r="AU206" s="141"/>
      <c r="AV206" s="149">
        <f t="shared" si="145"/>
        <v>0</v>
      </c>
      <c r="AW206" s="149">
        <f t="shared" si="146"/>
        <v>0</v>
      </c>
      <c r="AX206" s="145"/>
      <c r="AY206" s="149">
        <f t="shared" ref="AY206:AY212" si="152">ROUND(AW206/1000,0)*1000</f>
        <v>0</v>
      </c>
      <c r="AZ206" s="146"/>
      <c r="BA206" s="146"/>
      <c r="BB206" s="145"/>
    </row>
    <row r="207" spans="1:54" ht="14.1" customHeight="1">
      <c r="A207" s="145">
        <v>207</v>
      </c>
      <c r="B207" s="143">
        <v>393</v>
      </c>
      <c r="C207" s="144" t="s">
        <v>377</v>
      </c>
      <c r="D207" s="144"/>
      <c r="E207" s="141"/>
      <c r="F207" s="150">
        <v>45000</v>
      </c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66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66"/>
      <c r="AM207" s="166">
        <f t="shared" si="147"/>
        <v>5000</v>
      </c>
      <c r="AN207" s="166">
        <f t="shared" si="148"/>
        <v>-4000</v>
      </c>
      <c r="AO207" s="166">
        <f t="shared" si="149"/>
        <v>8000</v>
      </c>
      <c r="AP207" s="166"/>
      <c r="AQ207" s="166"/>
      <c r="AR207" s="166"/>
      <c r="AS207" s="166">
        <f t="shared" si="150"/>
        <v>11000</v>
      </c>
      <c r="AT207" s="166">
        <f t="shared" si="151"/>
        <v>0</v>
      </c>
      <c r="AU207" s="141"/>
      <c r="AV207" s="149">
        <f t="shared" si="145"/>
        <v>20000</v>
      </c>
      <c r="AW207" s="149">
        <f t="shared" si="146"/>
        <v>65000</v>
      </c>
      <c r="AX207" s="145"/>
      <c r="AY207" s="149">
        <f t="shared" si="152"/>
        <v>65000</v>
      </c>
      <c r="AZ207" s="146"/>
      <c r="BA207" s="146"/>
      <c r="BB207" s="145"/>
    </row>
    <row r="208" spans="1:54" ht="14.1" customHeight="1">
      <c r="A208" s="145">
        <v>208</v>
      </c>
      <c r="B208" s="143">
        <v>394</v>
      </c>
      <c r="C208" s="144" t="s">
        <v>378</v>
      </c>
      <c r="D208" s="144"/>
      <c r="E208" s="141"/>
      <c r="F208" s="150">
        <v>416000</v>
      </c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66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66"/>
      <c r="AM208" s="166">
        <f t="shared" si="147"/>
        <v>51000</v>
      </c>
      <c r="AN208" s="166">
        <f t="shared" si="148"/>
        <v>-38000</v>
      </c>
      <c r="AO208" s="166">
        <f t="shared" si="149"/>
        <v>78000</v>
      </c>
      <c r="AP208" s="166"/>
      <c r="AQ208" s="166"/>
      <c r="AR208" s="166"/>
      <c r="AS208" s="166">
        <f t="shared" si="150"/>
        <v>101000</v>
      </c>
      <c r="AT208" s="166">
        <f t="shared" si="151"/>
        <v>0</v>
      </c>
      <c r="AU208" s="141"/>
      <c r="AV208" s="149">
        <f t="shared" si="145"/>
        <v>192000</v>
      </c>
      <c r="AW208" s="149">
        <f t="shared" si="146"/>
        <v>608000</v>
      </c>
      <c r="AX208" s="145"/>
      <c r="AY208" s="149">
        <f t="shared" si="152"/>
        <v>608000</v>
      </c>
      <c r="AZ208" s="146"/>
      <c r="BA208" s="146"/>
      <c r="BB208" s="145"/>
    </row>
    <row r="209" spans="1:54" ht="14.1" customHeight="1">
      <c r="A209" s="145">
        <v>209</v>
      </c>
      <c r="B209" s="143">
        <v>395</v>
      </c>
      <c r="C209" s="144" t="s">
        <v>379</v>
      </c>
      <c r="D209" s="144"/>
      <c r="E209" s="141"/>
      <c r="F209" s="150">
        <v>33000</v>
      </c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66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66"/>
      <c r="AM209" s="166">
        <f t="shared" si="147"/>
        <v>4000</v>
      </c>
      <c r="AN209" s="166">
        <f t="shared" si="148"/>
        <v>-3000</v>
      </c>
      <c r="AO209" s="166">
        <f t="shared" si="149"/>
        <v>6000</v>
      </c>
      <c r="AP209" s="166"/>
      <c r="AQ209" s="166"/>
      <c r="AR209" s="166"/>
      <c r="AS209" s="166">
        <f t="shared" si="150"/>
        <v>8000</v>
      </c>
      <c r="AT209" s="166">
        <f t="shared" si="151"/>
        <v>0</v>
      </c>
      <c r="AU209" s="141"/>
      <c r="AV209" s="149">
        <f t="shared" si="145"/>
        <v>15000</v>
      </c>
      <c r="AW209" s="149">
        <f t="shared" si="146"/>
        <v>48000</v>
      </c>
      <c r="AX209" s="145"/>
      <c r="AY209" s="149">
        <f t="shared" si="152"/>
        <v>48000</v>
      </c>
      <c r="AZ209" s="146"/>
      <c r="BA209" s="146"/>
      <c r="BB209" s="145"/>
    </row>
    <row r="210" spans="1:54" ht="14.1" customHeight="1">
      <c r="A210" s="145">
        <v>210</v>
      </c>
      <c r="B210" s="143">
        <v>396</v>
      </c>
      <c r="C210" s="144" t="s">
        <v>380</v>
      </c>
      <c r="D210" s="144"/>
      <c r="E210" s="141"/>
      <c r="F210" s="150">
        <v>0</v>
      </c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66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66"/>
      <c r="AM210" s="166">
        <f t="shared" si="147"/>
        <v>0</v>
      </c>
      <c r="AN210" s="166">
        <f t="shared" si="148"/>
        <v>0</v>
      </c>
      <c r="AO210" s="166">
        <f t="shared" si="149"/>
        <v>0</v>
      </c>
      <c r="AP210" s="166"/>
      <c r="AQ210" s="166"/>
      <c r="AR210" s="166"/>
      <c r="AS210" s="166">
        <f t="shared" si="150"/>
        <v>0</v>
      </c>
      <c r="AT210" s="166">
        <f t="shared" si="151"/>
        <v>0</v>
      </c>
      <c r="AU210" s="141"/>
      <c r="AV210" s="149">
        <f t="shared" si="145"/>
        <v>0</v>
      </c>
      <c r="AW210" s="149">
        <f t="shared" si="146"/>
        <v>0</v>
      </c>
      <c r="AX210" s="145"/>
      <c r="AY210" s="149">
        <f t="shared" si="152"/>
        <v>0</v>
      </c>
      <c r="AZ210" s="146"/>
      <c r="BA210" s="146"/>
      <c r="BB210" s="145"/>
    </row>
    <row r="211" spans="1:54" ht="14.1" customHeight="1">
      <c r="A211" s="145">
        <v>211</v>
      </c>
      <c r="B211" s="143">
        <v>397</v>
      </c>
      <c r="C211" s="144" t="s">
        <v>381</v>
      </c>
      <c r="D211" s="144"/>
      <c r="E211" s="141"/>
      <c r="F211" s="150">
        <v>1227000</v>
      </c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66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66"/>
      <c r="AM211" s="166">
        <f t="shared" si="147"/>
        <v>149000</v>
      </c>
      <c r="AN211" s="166">
        <f t="shared" si="148"/>
        <v>-111000</v>
      </c>
      <c r="AO211" s="166">
        <f t="shared" si="149"/>
        <v>231000</v>
      </c>
      <c r="AP211" s="166"/>
      <c r="AQ211" s="166"/>
      <c r="AR211" s="166"/>
      <c r="AS211" s="166">
        <f t="shared" si="150"/>
        <v>297000</v>
      </c>
      <c r="AT211" s="166">
        <f t="shared" si="151"/>
        <v>0</v>
      </c>
      <c r="AU211" s="141"/>
      <c r="AV211" s="149">
        <f t="shared" si="145"/>
        <v>566000</v>
      </c>
      <c r="AW211" s="149">
        <f t="shared" si="146"/>
        <v>1793000</v>
      </c>
      <c r="AX211" s="167"/>
      <c r="AY211" s="149">
        <f t="shared" si="152"/>
        <v>1793000</v>
      </c>
      <c r="AZ211" s="146"/>
      <c r="BA211" s="146"/>
      <c r="BB211" s="167"/>
    </row>
    <row r="212" spans="1:54" ht="14.1" customHeight="1">
      <c r="A212" s="145">
        <v>212</v>
      </c>
      <c r="B212" s="143">
        <v>398</v>
      </c>
      <c r="C212" s="144" t="s">
        <v>382</v>
      </c>
      <c r="D212" s="194"/>
      <c r="E212" s="188"/>
      <c r="F212" s="150">
        <v>11000</v>
      </c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66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66"/>
      <c r="AM212" s="166">
        <f t="shared" si="147"/>
        <v>1000</v>
      </c>
      <c r="AN212" s="166">
        <f t="shared" si="148"/>
        <v>-1000</v>
      </c>
      <c r="AO212" s="166">
        <f t="shared" si="149"/>
        <v>2000</v>
      </c>
      <c r="AP212" s="166"/>
      <c r="AQ212" s="166"/>
      <c r="AR212" s="166"/>
      <c r="AS212" s="166">
        <f t="shared" si="150"/>
        <v>3000</v>
      </c>
      <c r="AT212" s="166">
        <f t="shared" si="151"/>
        <v>0</v>
      </c>
      <c r="AU212" s="141"/>
      <c r="AV212" s="149">
        <f t="shared" si="145"/>
        <v>5000</v>
      </c>
      <c r="AW212" s="149">
        <f t="shared" si="146"/>
        <v>16000</v>
      </c>
      <c r="AX212" s="145"/>
      <c r="AY212" s="149">
        <f t="shared" si="152"/>
        <v>16000</v>
      </c>
      <c r="AZ212" s="146"/>
      <c r="BA212" s="146"/>
      <c r="BB212" s="145"/>
    </row>
    <row r="213" spans="1:54" s="154" customFormat="1" ht="14.1" customHeight="1">
      <c r="A213" s="145">
        <v>213</v>
      </c>
      <c r="B213" s="195"/>
      <c r="C213" s="195" t="s">
        <v>640</v>
      </c>
      <c r="D213" s="157"/>
      <c r="E213" s="180"/>
      <c r="F213" s="159">
        <f t="shared" ref="F213:AR213" si="153">SUM(F203:F212)</f>
        <v>5143000</v>
      </c>
      <c r="G213" s="159">
        <f t="shared" si="153"/>
        <v>0</v>
      </c>
      <c r="H213" s="159">
        <f t="shared" si="153"/>
        <v>0</v>
      </c>
      <c r="I213" s="159">
        <f t="shared" si="153"/>
        <v>0</v>
      </c>
      <c r="J213" s="159">
        <f>SUM(J203:J212)</f>
        <v>0</v>
      </c>
      <c r="K213" s="159">
        <f>SUM(K203:K212)</f>
        <v>0</v>
      </c>
      <c r="L213" s="159">
        <f t="shared" si="153"/>
        <v>0</v>
      </c>
      <c r="M213" s="159">
        <f t="shared" si="153"/>
        <v>0</v>
      </c>
      <c r="N213" s="159">
        <f t="shared" si="153"/>
        <v>0</v>
      </c>
      <c r="O213" s="159">
        <f t="shared" si="153"/>
        <v>0</v>
      </c>
      <c r="P213" s="159">
        <f>SUM(P203:P212)</f>
        <v>0</v>
      </c>
      <c r="Q213" s="159">
        <f>SUM(Q203:Q212)</f>
        <v>0</v>
      </c>
      <c r="R213" s="159">
        <f>SUM(R203:R212)</f>
        <v>0</v>
      </c>
      <c r="S213" s="159">
        <f>SUM(S203:S212)</f>
        <v>0</v>
      </c>
      <c r="T213" s="159">
        <f>SUM(T203:T212)</f>
        <v>0</v>
      </c>
      <c r="U213" s="159">
        <f t="shared" si="153"/>
        <v>0</v>
      </c>
      <c r="V213" s="159">
        <f t="shared" ref="V213:AA213" si="154">SUM(V203:V212)</f>
        <v>0</v>
      </c>
      <c r="W213" s="159">
        <f t="shared" si="154"/>
        <v>0</v>
      </c>
      <c r="X213" s="159">
        <f t="shared" si="154"/>
        <v>0</v>
      </c>
      <c r="Y213" s="159">
        <f t="shared" si="154"/>
        <v>0</v>
      </c>
      <c r="Z213" s="159">
        <f t="shared" si="154"/>
        <v>0</v>
      </c>
      <c r="AA213" s="159">
        <f t="shared" si="154"/>
        <v>0</v>
      </c>
      <c r="AB213" s="159">
        <f t="shared" ref="AB213" si="155">SUM(AB203:AB212)</f>
        <v>0</v>
      </c>
      <c r="AC213" s="159">
        <f t="shared" si="153"/>
        <v>0</v>
      </c>
      <c r="AD213" s="159">
        <f t="shared" si="153"/>
        <v>0</v>
      </c>
      <c r="AE213" s="159">
        <f t="shared" si="153"/>
        <v>0</v>
      </c>
      <c r="AF213" s="159">
        <f t="shared" ref="AF213:AH213" si="156">SUM(AF203:AF212)</f>
        <v>0</v>
      </c>
      <c r="AG213" s="159">
        <f t="shared" si="156"/>
        <v>0</v>
      </c>
      <c r="AH213" s="159">
        <f t="shared" si="156"/>
        <v>0</v>
      </c>
      <c r="AI213" s="159">
        <f>SUM(AI203:AI212)</f>
        <v>0</v>
      </c>
      <c r="AJ213" s="159">
        <f>SUM(AJ203:AJ212)</f>
        <v>0</v>
      </c>
      <c r="AK213" s="159">
        <f>SUM(AK203:AK212)</f>
        <v>0</v>
      </c>
      <c r="AL213" s="159">
        <f t="shared" si="153"/>
        <v>0</v>
      </c>
      <c r="AM213" s="159">
        <f t="shared" si="153"/>
        <v>625000</v>
      </c>
      <c r="AN213" s="159">
        <f t="shared" si="153"/>
        <v>-464000</v>
      </c>
      <c r="AO213" s="159">
        <f t="shared" si="153"/>
        <v>967000</v>
      </c>
      <c r="AP213" s="159">
        <f t="shared" si="153"/>
        <v>0</v>
      </c>
      <c r="AQ213" s="159">
        <f t="shared" si="153"/>
        <v>0</v>
      </c>
      <c r="AR213" s="159">
        <f t="shared" si="153"/>
        <v>0</v>
      </c>
      <c r="AS213" s="159">
        <f t="shared" ref="AS213:AT213" si="157">SUM(AS203:AS212)</f>
        <v>1245000</v>
      </c>
      <c r="AT213" s="159">
        <f t="shared" si="157"/>
        <v>0</v>
      </c>
      <c r="AU213" s="158"/>
      <c r="AV213" s="158">
        <f>SUM(AV203:AV212)</f>
        <v>2373000</v>
      </c>
      <c r="AW213" s="158">
        <f>SUM(AW203:AW212)</f>
        <v>7516000</v>
      </c>
      <c r="AX213" s="152" t="str">
        <f>IF(ROUND(SUM(F213:AT213),0)=ROUND(AW213,0),"ok","crossfoot error")</f>
        <v>ok</v>
      </c>
      <c r="AY213" s="158">
        <f>SUM(AY203:AY212)/1000</f>
        <v>7516</v>
      </c>
      <c r="AZ213" s="147">
        <v>15175.3</v>
      </c>
      <c r="BA213" s="146">
        <f>AY213-AZ213</f>
        <v>-7659.2999999999993</v>
      </c>
      <c r="BB213" s="146">
        <f>BB200</f>
        <v>-1.5999999999985448</v>
      </c>
    </row>
    <row r="214" spans="1:54" ht="14.1" customHeight="1">
      <c r="A214" s="145">
        <v>214</v>
      </c>
      <c r="B214" s="194"/>
      <c r="C214" s="194"/>
      <c r="D214" s="144"/>
      <c r="E214" s="193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1"/>
      <c r="AV214" s="191"/>
      <c r="AW214" s="191"/>
      <c r="AX214" s="145"/>
      <c r="AY214" s="191"/>
      <c r="AZ214" s="146"/>
      <c r="BA214" s="146"/>
      <c r="BB214" s="145"/>
    </row>
    <row r="215" spans="1:54" s="154" customFormat="1" ht="14.1" customHeight="1">
      <c r="A215" s="145">
        <v>215</v>
      </c>
      <c r="B215" s="165"/>
      <c r="C215" s="157" t="s">
        <v>72</v>
      </c>
      <c r="D215" s="157"/>
      <c r="E215" s="156"/>
      <c r="F215" s="190">
        <f>F213+F200+F176</f>
        <v>22094000</v>
      </c>
      <c r="G215" s="190">
        <f t="shared" ref="G215:U215" si="158">G213+G200+G176</f>
        <v>0</v>
      </c>
      <c r="H215" s="190">
        <f t="shared" si="158"/>
        <v>0</v>
      </c>
      <c r="I215" s="190">
        <f t="shared" si="158"/>
        <v>0</v>
      </c>
      <c r="J215" s="190">
        <f t="shared" si="158"/>
        <v>0</v>
      </c>
      <c r="K215" s="190">
        <f t="shared" si="158"/>
        <v>0</v>
      </c>
      <c r="L215" s="190">
        <f t="shared" si="158"/>
        <v>0</v>
      </c>
      <c r="M215" s="190">
        <f t="shared" si="158"/>
        <v>0</v>
      </c>
      <c r="N215" s="190">
        <f t="shared" si="158"/>
        <v>0</v>
      </c>
      <c r="O215" s="190">
        <f t="shared" si="158"/>
        <v>0</v>
      </c>
      <c r="P215" s="190">
        <f t="shared" si="158"/>
        <v>0</v>
      </c>
      <c r="Q215" s="190">
        <f t="shared" si="158"/>
        <v>0</v>
      </c>
      <c r="R215" s="190">
        <f t="shared" si="158"/>
        <v>-11000</v>
      </c>
      <c r="S215" s="190">
        <f t="shared" si="158"/>
        <v>0</v>
      </c>
      <c r="T215" s="190">
        <f t="shared" si="158"/>
        <v>0</v>
      </c>
      <c r="U215" s="190">
        <f t="shared" si="158"/>
        <v>0</v>
      </c>
      <c r="V215" s="190">
        <f t="shared" ref="V215:AA215" si="159">V213+V200+V176</f>
        <v>0</v>
      </c>
      <c r="W215" s="190">
        <f t="shared" si="159"/>
        <v>0</v>
      </c>
      <c r="X215" s="190">
        <f t="shared" si="159"/>
        <v>0</v>
      </c>
      <c r="Y215" s="190">
        <f t="shared" si="159"/>
        <v>0</v>
      </c>
      <c r="Z215" s="190">
        <f t="shared" si="159"/>
        <v>0</v>
      </c>
      <c r="AA215" s="190">
        <f t="shared" si="159"/>
        <v>0</v>
      </c>
      <c r="AB215" s="190">
        <f t="shared" ref="AB215" si="160">AB213+AB200+AB176</f>
        <v>0</v>
      </c>
      <c r="AC215" s="190">
        <f t="shared" ref="AC215:AT215" si="161">AC213+AC200+AC176</f>
        <v>0</v>
      </c>
      <c r="AD215" s="190">
        <f t="shared" si="161"/>
        <v>0</v>
      </c>
      <c r="AE215" s="190">
        <f t="shared" si="161"/>
        <v>0</v>
      </c>
      <c r="AF215" s="190">
        <f t="shared" ref="AF215:AH215" si="162">AF213+AF200+AF176</f>
        <v>0</v>
      </c>
      <c r="AG215" s="190">
        <f t="shared" si="162"/>
        <v>0</v>
      </c>
      <c r="AH215" s="190">
        <f t="shared" si="162"/>
        <v>0</v>
      </c>
      <c r="AI215" s="190">
        <f>AI213+AI200+AI176</f>
        <v>0</v>
      </c>
      <c r="AJ215" s="190">
        <f>AJ213+AJ200+AJ176</f>
        <v>0</v>
      </c>
      <c r="AK215" s="190">
        <f t="shared" si="161"/>
        <v>0</v>
      </c>
      <c r="AL215" s="190">
        <f t="shared" si="161"/>
        <v>0</v>
      </c>
      <c r="AM215" s="190">
        <f t="shared" si="161"/>
        <v>1270000</v>
      </c>
      <c r="AN215" s="190">
        <f t="shared" si="161"/>
        <v>-905000</v>
      </c>
      <c r="AO215" s="190">
        <f t="shared" si="161"/>
        <v>1957000</v>
      </c>
      <c r="AP215" s="190">
        <f t="shared" si="161"/>
        <v>0</v>
      </c>
      <c r="AQ215" s="190">
        <f t="shared" si="161"/>
        <v>0</v>
      </c>
      <c r="AR215" s="190">
        <f t="shared" si="161"/>
        <v>0</v>
      </c>
      <c r="AS215" s="190">
        <f t="shared" si="161"/>
        <v>2170000</v>
      </c>
      <c r="AT215" s="190">
        <f t="shared" si="161"/>
        <v>0</v>
      </c>
      <c r="AU215" s="189"/>
      <c r="AV215" s="189">
        <f>AV213+AV200+AV176</f>
        <v>4481000</v>
      </c>
      <c r="AW215" s="189">
        <f>AW213+AW200+AW176</f>
        <v>26575000</v>
      </c>
      <c r="AX215" s="152" t="str">
        <f>IF(ROUND(SUM(F215:AT215),0)=ROUND(AW215,0),"ok","crossfoot error")</f>
        <v>ok</v>
      </c>
      <c r="AY215" s="189">
        <f>AY213+AY200+AY176</f>
        <v>26575</v>
      </c>
      <c r="AZ215" s="146"/>
      <c r="BA215" s="146"/>
      <c r="BB215" s="152"/>
    </row>
    <row r="216" spans="1:54" ht="14.1" customHeight="1">
      <c r="A216" s="145">
        <v>216</v>
      </c>
      <c r="B216" s="143"/>
      <c r="C216" s="144"/>
      <c r="D216" s="144"/>
      <c r="E216" s="141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1"/>
      <c r="AV216" s="191"/>
      <c r="AW216" s="191"/>
      <c r="AX216" s="145"/>
      <c r="AY216" s="191"/>
      <c r="AZ216" s="146"/>
      <c r="BA216" s="146"/>
      <c r="BB216" s="145"/>
    </row>
    <row r="217" spans="1:54" ht="14.1" customHeight="1">
      <c r="A217" s="145">
        <v>217</v>
      </c>
      <c r="B217" s="157" t="s">
        <v>214</v>
      </c>
      <c r="C217" s="157"/>
      <c r="D217" s="144"/>
      <c r="E217" s="141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1"/>
      <c r="AV217" s="191"/>
      <c r="AW217" s="191"/>
      <c r="AX217" s="145"/>
      <c r="AY217" s="191"/>
      <c r="AZ217" s="146"/>
      <c r="BA217" s="146"/>
      <c r="BB217" s="145"/>
    </row>
    <row r="218" spans="1:54" ht="14.1" customHeight="1">
      <c r="A218" s="145">
        <v>218</v>
      </c>
      <c r="B218" s="143" t="s">
        <v>1047</v>
      </c>
      <c r="C218" s="144" t="s">
        <v>1046</v>
      </c>
      <c r="D218" s="144"/>
      <c r="E218" s="141"/>
      <c r="F218" s="479">
        <f>847000+338000+208000+48000-49000-279000+304000-38000-1731000-8000-34000</f>
        <v>-394000</v>
      </c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50"/>
      <c r="S218" s="192"/>
      <c r="T218" s="467">
        <v>0</v>
      </c>
      <c r="U218" s="192"/>
      <c r="V218" s="192"/>
      <c r="W218" s="192"/>
      <c r="X218" s="192"/>
      <c r="Y218" s="192"/>
      <c r="Z218" s="467">
        <v>-244000</v>
      </c>
      <c r="AA218" s="192"/>
      <c r="AB218" s="467"/>
      <c r="AC218" s="192"/>
      <c r="AD218" s="192"/>
      <c r="AE218" s="467">
        <v>-1731000</v>
      </c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467">
        <v>300000</v>
      </c>
      <c r="AQ218" s="192"/>
      <c r="AR218" s="192"/>
      <c r="AS218" s="192"/>
      <c r="AT218" s="192"/>
      <c r="AU218" s="191"/>
      <c r="AV218" s="149">
        <f t="shared" ref="AV218:AV223" si="163">SUM(G218:AT218)</f>
        <v>-1675000</v>
      </c>
      <c r="AW218" s="149">
        <f t="shared" ref="AW218:AW223" si="164">F218+AV218</f>
        <v>-2069000</v>
      </c>
      <c r="AX218" s="145"/>
      <c r="AY218" s="149">
        <f t="shared" ref="AY218:AY223" si="165">ROUND(AW218/1000,0)*1000</f>
        <v>-2069000</v>
      </c>
      <c r="AZ218" s="146"/>
      <c r="BA218" s="146"/>
      <c r="BB218" s="145"/>
    </row>
    <row r="219" spans="1:54" ht="14.1" customHeight="1">
      <c r="A219" s="145">
        <v>219</v>
      </c>
      <c r="B219" s="160">
        <v>404.2</v>
      </c>
      <c r="C219" s="144" t="s">
        <v>384</v>
      </c>
      <c r="D219" s="144"/>
      <c r="E219" s="141"/>
      <c r="F219" s="479">
        <v>88000</v>
      </c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467"/>
      <c r="Y219" s="192"/>
      <c r="Z219" s="192"/>
      <c r="AA219" s="192"/>
      <c r="AB219" s="467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1"/>
      <c r="AV219" s="149">
        <f t="shared" si="163"/>
        <v>0</v>
      </c>
      <c r="AW219" s="149">
        <f t="shared" si="164"/>
        <v>88000</v>
      </c>
      <c r="AX219" s="145"/>
      <c r="AY219" s="149">
        <f t="shared" si="165"/>
        <v>88000</v>
      </c>
      <c r="AZ219" s="146"/>
      <c r="BA219" s="146"/>
      <c r="BB219" s="145"/>
    </row>
    <row r="220" spans="1:54" ht="14.1" customHeight="1">
      <c r="A220" s="145">
        <v>220</v>
      </c>
      <c r="B220" s="160">
        <v>404.3</v>
      </c>
      <c r="C220" s="144" t="s">
        <v>385</v>
      </c>
      <c r="D220" s="144"/>
      <c r="E220" s="141"/>
      <c r="F220" s="479">
        <v>7571000</v>
      </c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467"/>
      <c r="W220" s="467"/>
      <c r="X220" s="467"/>
      <c r="Y220" s="192"/>
      <c r="Z220" s="192"/>
      <c r="AA220" s="192"/>
      <c r="AB220" s="467">
        <v>-112000</v>
      </c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467"/>
      <c r="AM220" s="192"/>
      <c r="AN220" s="192"/>
      <c r="AO220" s="192"/>
      <c r="AP220" s="192"/>
      <c r="AQ220" s="192"/>
      <c r="AR220" s="192"/>
      <c r="AS220" s="192"/>
      <c r="AT220" s="192"/>
      <c r="AU220" s="191"/>
      <c r="AV220" s="149">
        <f t="shared" si="163"/>
        <v>-112000</v>
      </c>
      <c r="AW220" s="149">
        <f t="shared" si="164"/>
        <v>7459000</v>
      </c>
      <c r="AX220" s="145"/>
      <c r="AY220" s="485">
        <f>ROUND(AW220/1000,0)*1000</f>
        <v>7459000</v>
      </c>
      <c r="AZ220" s="146"/>
      <c r="BA220" s="146"/>
      <c r="BB220" s="145"/>
    </row>
    <row r="221" spans="1:54" ht="14.1" customHeight="1">
      <c r="A221" s="145">
        <v>221</v>
      </c>
      <c r="B221" s="143">
        <v>407.23</v>
      </c>
      <c r="C221" s="144" t="s">
        <v>1043</v>
      </c>
      <c r="D221" s="144"/>
      <c r="E221" s="141"/>
      <c r="F221" s="479">
        <v>-31000</v>
      </c>
      <c r="G221" s="192"/>
      <c r="H221" s="192"/>
      <c r="I221" s="192"/>
      <c r="J221" s="192"/>
      <c r="K221" s="192"/>
      <c r="L221" s="192"/>
      <c r="M221" s="192"/>
      <c r="N221" s="192"/>
      <c r="O221" s="192"/>
      <c r="P221" s="192"/>
      <c r="Q221" s="192"/>
      <c r="R221" s="192"/>
      <c r="S221" s="467"/>
      <c r="T221" s="467">
        <v>0</v>
      </c>
      <c r="U221" s="192"/>
      <c r="V221" s="192"/>
      <c r="W221" s="192"/>
      <c r="X221" s="192"/>
      <c r="Y221" s="467"/>
      <c r="Z221" s="467"/>
      <c r="AA221" s="467"/>
      <c r="AB221" s="467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1"/>
      <c r="AV221" s="149">
        <f t="shared" si="163"/>
        <v>0</v>
      </c>
      <c r="AW221" s="149">
        <f t="shared" si="164"/>
        <v>-31000</v>
      </c>
      <c r="AX221" s="145"/>
      <c r="AY221" s="149">
        <f t="shared" si="165"/>
        <v>-31000</v>
      </c>
      <c r="AZ221" s="146"/>
      <c r="BA221" s="146"/>
      <c r="BB221" s="145"/>
    </row>
    <row r="222" spans="1:54" ht="14.1" customHeight="1">
      <c r="A222" s="145">
        <v>222</v>
      </c>
      <c r="B222" s="143">
        <v>407.30200000000002</v>
      </c>
      <c r="C222" s="144" t="s">
        <v>1044</v>
      </c>
      <c r="D222" s="144"/>
      <c r="E222" s="141"/>
      <c r="F222" s="479">
        <v>2037000</v>
      </c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467"/>
      <c r="T222" s="467"/>
      <c r="U222" s="192"/>
      <c r="V222" s="192"/>
      <c r="W222" s="192"/>
      <c r="X222" s="192"/>
      <c r="Y222" s="192"/>
      <c r="Z222" s="192"/>
      <c r="AA222" s="467"/>
      <c r="AB222" s="467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1"/>
      <c r="AV222" s="149">
        <f t="shared" si="163"/>
        <v>0</v>
      </c>
      <c r="AW222" s="149">
        <f t="shared" si="164"/>
        <v>2037000</v>
      </c>
      <c r="AX222" s="145"/>
      <c r="AY222" s="149">
        <f t="shared" si="165"/>
        <v>2037000</v>
      </c>
      <c r="AZ222" s="146"/>
      <c r="BA222" s="146"/>
      <c r="BB222" s="145"/>
    </row>
    <row r="223" spans="1:54" ht="14.1" customHeight="1">
      <c r="A223" s="145">
        <v>223</v>
      </c>
      <c r="B223" s="143">
        <v>407.31400000000002</v>
      </c>
      <c r="C223" s="144" t="s">
        <v>1045</v>
      </c>
      <c r="D223" s="144"/>
      <c r="E223" s="141"/>
      <c r="F223" s="479">
        <v>0</v>
      </c>
      <c r="G223" s="192"/>
      <c r="H223" s="192"/>
      <c r="I223" s="192"/>
      <c r="J223" s="192"/>
      <c r="K223" s="192"/>
      <c r="L223" s="192"/>
      <c r="M223" s="192"/>
      <c r="N223" s="192"/>
      <c r="O223" s="192"/>
      <c r="P223" s="192"/>
      <c r="Q223" s="192"/>
      <c r="R223" s="192"/>
      <c r="S223" s="467"/>
      <c r="T223" s="467"/>
      <c r="U223" s="192"/>
      <c r="V223" s="192"/>
      <c r="W223" s="192"/>
      <c r="X223" s="192"/>
      <c r="Y223" s="192"/>
      <c r="Z223" s="192"/>
      <c r="AA223" s="192"/>
      <c r="AB223" s="467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467"/>
      <c r="AM223" s="192"/>
      <c r="AN223" s="192"/>
      <c r="AO223" s="192"/>
      <c r="AP223" s="192"/>
      <c r="AQ223" s="192"/>
      <c r="AR223" s="192"/>
      <c r="AS223" s="192"/>
      <c r="AT223" s="467"/>
      <c r="AU223" s="191"/>
      <c r="AV223" s="149">
        <f t="shared" si="163"/>
        <v>0</v>
      </c>
      <c r="AW223" s="149">
        <f t="shared" si="164"/>
        <v>0</v>
      </c>
      <c r="AX223" s="145"/>
      <c r="AY223" s="149">
        <f t="shared" si="165"/>
        <v>0</v>
      </c>
      <c r="AZ223" s="146"/>
      <c r="BA223" s="146"/>
      <c r="BB223" s="145"/>
    </row>
    <row r="224" spans="1:54" s="154" customFormat="1" ht="14.1" customHeight="1">
      <c r="A224" s="145">
        <v>224</v>
      </c>
      <c r="B224" s="165"/>
      <c r="C224" s="157" t="s">
        <v>74</v>
      </c>
      <c r="D224" s="157"/>
      <c r="E224" s="156"/>
      <c r="F224" s="159">
        <f>SUM(F218:F223)</f>
        <v>9271000</v>
      </c>
      <c r="G224" s="159">
        <f>SUM(G218:G222)</f>
        <v>0</v>
      </c>
      <c r="H224" s="159">
        <f>SUM(H218:H222)</f>
        <v>0</v>
      </c>
      <c r="I224" s="159">
        <f>SUM(I218:I222)</f>
        <v>0</v>
      </c>
      <c r="J224" s="159">
        <f>SUM(J218:J223)</f>
        <v>0</v>
      </c>
      <c r="K224" s="159">
        <f>SUM(K218:K223)</f>
        <v>0</v>
      </c>
      <c r="L224" s="159">
        <f t="shared" ref="L224:AR224" si="166">SUM(L218:L223)</f>
        <v>0</v>
      </c>
      <c r="M224" s="159">
        <f t="shared" si="166"/>
        <v>0</v>
      </c>
      <c r="N224" s="159">
        <f t="shared" si="166"/>
        <v>0</v>
      </c>
      <c r="O224" s="159">
        <f t="shared" si="166"/>
        <v>0</v>
      </c>
      <c r="P224" s="159">
        <f>SUM(P218:P223)</f>
        <v>0</v>
      </c>
      <c r="Q224" s="159">
        <f>SUM(Q218:Q223)</f>
        <v>0</v>
      </c>
      <c r="R224" s="159">
        <f>SUM(R218:R223)</f>
        <v>0</v>
      </c>
      <c r="S224" s="159">
        <f>SUM(S218:S222)</f>
        <v>0</v>
      </c>
      <c r="T224" s="159">
        <f>SUM(T218:T222)</f>
        <v>0</v>
      </c>
      <c r="U224" s="159">
        <f t="shared" si="166"/>
        <v>0</v>
      </c>
      <c r="V224" s="159">
        <f t="shared" ref="V224:AA224" si="167">SUM(V218:V223)</f>
        <v>0</v>
      </c>
      <c r="W224" s="159">
        <f t="shared" si="167"/>
        <v>0</v>
      </c>
      <c r="X224" s="159">
        <f t="shared" si="167"/>
        <v>0</v>
      </c>
      <c r="Y224" s="159">
        <f t="shared" si="167"/>
        <v>0</v>
      </c>
      <c r="Z224" s="159">
        <f t="shared" si="167"/>
        <v>-244000</v>
      </c>
      <c r="AA224" s="159">
        <f t="shared" si="167"/>
        <v>0</v>
      </c>
      <c r="AB224" s="159">
        <f t="shared" ref="AB224" si="168">SUM(AB218:AB223)</f>
        <v>-112000</v>
      </c>
      <c r="AC224" s="159">
        <f t="shared" si="166"/>
        <v>0</v>
      </c>
      <c r="AD224" s="159">
        <f t="shared" si="166"/>
        <v>0</v>
      </c>
      <c r="AE224" s="159">
        <f t="shared" si="166"/>
        <v>-1731000</v>
      </c>
      <c r="AF224" s="159">
        <f t="shared" si="166"/>
        <v>0</v>
      </c>
      <c r="AG224" s="159">
        <f t="shared" si="166"/>
        <v>0</v>
      </c>
      <c r="AH224" s="159">
        <f t="shared" si="166"/>
        <v>0</v>
      </c>
      <c r="AI224" s="159">
        <f>SUM(AI218:AI223)</f>
        <v>0</v>
      </c>
      <c r="AJ224" s="159">
        <f>SUM(AJ218:AJ223)</f>
        <v>0</v>
      </c>
      <c r="AK224" s="159">
        <f t="shared" si="166"/>
        <v>0</v>
      </c>
      <c r="AL224" s="159">
        <f t="shared" si="166"/>
        <v>0</v>
      </c>
      <c r="AM224" s="159">
        <f t="shared" si="166"/>
        <v>0</v>
      </c>
      <c r="AN224" s="159">
        <f t="shared" si="166"/>
        <v>0</v>
      </c>
      <c r="AO224" s="159">
        <f t="shared" si="166"/>
        <v>0</v>
      </c>
      <c r="AP224" s="159">
        <f t="shared" si="166"/>
        <v>300000</v>
      </c>
      <c r="AQ224" s="159">
        <f t="shared" si="166"/>
        <v>0</v>
      </c>
      <c r="AR224" s="159">
        <f t="shared" si="166"/>
        <v>0</v>
      </c>
      <c r="AS224" s="159">
        <f t="shared" ref="AS224:AT224" si="169">SUM(AS218:AS223)</f>
        <v>0</v>
      </c>
      <c r="AT224" s="159">
        <f t="shared" si="169"/>
        <v>0</v>
      </c>
      <c r="AU224" s="158"/>
      <c r="AV224" s="158">
        <f>SUM(AV218:AV223)</f>
        <v>-1787000</v>
      </c>
      <c r="AW224" s="158">
        <f>SUM(AW218:AW223)</f>
        <v>7484000</v>
      </c>
      <c r="AX224" s="152" t="str">
        <f>IF(ROUND(SUM(F224:AT224),0)=ROUND(AW224,0),"ok","crossfoot error")</f>
        <v>ok</v>
      </c>
      <c r="AY224" s="158">
        <f>SUM(AY218:AY223)/1000</f>
        <v>7484</v>
      </c>
      <c r="AZ224" s="476">
        <v>-174</v>
      </c>
      <c r="BA224" s="146">
        <f>AY224-AZ224</f>
        <v>7658</v>
      </c>
      <c r="BB224" s="146">
        <f>BB213</f>
        <v>-1.5999999999985448</v>
      </c>
    </row>
    <row r="225" spans="1:54" ht="14.1" customHeight="1">
      <c r="A225" s="145">
        <v>225</v>
      </c>
      <c r="B225" s="143"/>
      <c r="C225" s="144"/>
      <c r="D225" s="144"/>
      <c r="E225" s="141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1"/>
      <c r="AV225" s="191"/>
      <c r="AW225" s="191"/>
      <c r="AX225" s="145"/>
      <c r="AY225" s="191"/>
      <c r="AZ225" s="146"/>
      <c r="BA225" s="146"/>
      <c r="BB225" s="145"/>
    </row>
    <row r="226" spans="1:54" s="154" customFormat="1" ht="14.1" customHeight="1">
      <c r="A226" s="145">
        <v>226</v>
      </c>
      <c r="B226" s="165"/>
      <c r="C226" s="157" t="s">
        <v>639</v>
      </c>
      <c r="D226" s="157"/>
      <c r="E226" s="156"/>
      <c r="F226" s="190">
        <f>F215+F224</f>
        <v>31365000</v>
      </c>
      <c r="G226" s="190">
        <f t="shared" ref="G226:AR226" si="170">G215+G224</f>
        <v>0</v>
      </c>
      <c r="H226" s="190">
        <f t="shared" si="170"/>
        <v>0</v>
      </c>
      <c r="I226" s="190">
        <f t="shared" si="170"/>
        <v>0</v>
      </c>
      <c r="J226" s="190">
        <f>J215+J224</f>
        <v>0</v>
      </c>
      <c r="K226" s="190">
        <f>K215+K224</f>
        <v>0</v>
      </c>
      <c r="L226" s="190">
        <f t="shared" si="170"/>
        <v>0</v>
      </c>
      <c r="M226" s="190">
        <f t="shared" si="170"/>
        <v>0</v>
      </c>
      <c r="N226" s="190">
        <f t="shared" si="170"/>
        <v>0</v>
      </c>
      <c r="O226" s="190">
        <f t="shared" si="170"/>
        <v>0</v>
      </c>
      <c r="P226" s="190">
        <f>P215+P224</f>
        <v>0</v>
      </c>
      <c r="Q226" s="190">
        <f>Q215+Q224</f>
        <v>0</v>
      </c>
      <c r="R226" s="190">
        <f>R215+R224</f>
        <v>-11000</v>
      </c>
      <c r="S226" s="190">
        <f>S215+S224</f>
        <v>0</v>
      </c>
      <c r="T226" s="190">
        <f>T215+T224</f>
        <v>0</v>
      </c>
      <c r="U226" s="190">
        <f t="shared" si="170"/>
        <v>0</v>
      </c>
      <c r="V226" s="190">
        <f t="shared" ref="V226:AA226" si="171">V215+V224</f>
        <v>0</v>
      </c>
      <c r="W226" s="190">
        <f t="shared" si="171"/>
        <v>0</v>
      </c>
      <c r="X226" s="190">
        <f t="shared" si="171"/>
        <v>0</v>
      </c>
      <c r="Y226" s="190">
        <f t="shared" si="171"/>
        <v>0</v>
      </c>
      <c r="Z226" s="190">
        <f t="shared" si="171"/>
        <v>-244000</v>
      </c>
      <c r="AA226" s="190">
        <f t="shared" si="171"/>
        <v>0</v>
      </c>
      <c r="AB226" s="190">
        <f t="shared" ref="AB226" si="172">AB215+AB224</f>
        <v>-112000</v>
      </c>
      <c r="AC226" s="190">
        <f t="shared" si="170"/>
        <v>0</v>
      </c>
      <c r="AD226" s="190">
        <f t="shared" si="170"/>
        <v>0</v>
      </c>
      <c r="AE226" s="190">
        <f t="shared" si="170"/>
        <v>-1731000</v>
      </c>
      <c r="AF226" s="190">
        <f t="shared" si="170"/>
        <v>0</v>
      </c>
      <c r="AG226" s="190">
        <f t="shared" si="170"/>
        <v>0</v>
      </c>
      <c r="AH226" s="190">
        <f t="shared" si="170"/>
        <v>0</v>
      </c>
      <c r="AI226" s="190">
        <f>AI215+AI224</f>
        <v>0</v>
      </c>
      <c r="AJ226" s="190">
        <f>AJ215+AJ224</f>
        <v>0</v>
      </c>
      <c r="AK226" s="190">
        <f t="shared" si="170"/>
        <v>0</v>
      </c>
      <c r="AL226" s="190">
        <f t="shared" si="170"/>
        <v>0</v>
      </c>
      <c r="AM226" s="190">
        <f t="shared" si="170"/>
        <v>1270000</v>
      </c>
      <c r="AN226" s="190">
        <f t="shared" si="170"/>
        <v>-905000</v>
      </c>
      <c r="AO226" s="190">
        <f t="shared" si="170"/>
        <v>1957000</v>
      </c>
      <c r="AP226" s="190">
        <f t="shared" si="170"/>
        <v>300000</v>
      </c>
      <c r="AQ226" s="190">
        <f t="shared" si="170"/>
        <v>0</v>
      </c>
      <c r="AR226" s="190">
        <f t="shared" si="170"/>
        <v>0</v>
      </c>
      <c r="AS226" s="190">
        <f t="shared" ref="AS226:AT226" si="173">AS215+AS224</f>
        <v>2170000</v>
      </c>
      <c r="AT226" s="190">
        <f t="shared" si="173"/>
        <v>0</v>
      </c>
      <c r="AU226" s="189"/>
      <c r="AV226" s="189">
        <f>AV215+AV224</f>
        <v>2694000</v>
      </c>
      <c r="AW226" s="189">
        <f>AW215+AW224</f>
        <v>34059000</v>
      </c>
      <c r="AX226" s="152" t="str">
        <f>IF(ROUND(SUM(F226:AT226),0)=ROUND(AW226,0),"ok","crossfoot error")</f>
        <v>ok</v>
      </c>
      <c r="AY226" s="189">
        <f>AY215+AY224</f>
        <v>34059</v>
      </c>
      <c r="AZ226" s="484">
        <v>34061.800000000003</v>
      </c>
      <c r="BA226" s="146">
        <f>AY226-AZ226</f>
        <v>-2.8000000000029104</v>
      </c>
      <c r="BB226" s="152"/>
    </row>
    <row r="227" spans="1:54" s="188" customFormat="1" ht="14.1" customHeight="1">
      <c r="A227" s="145">
        <v>227</v>
      </c>
      <c r="B227" s="144"/>
      <c r="C227" s="144"/>
      <c r="D227" s="144"/>
      <c r="E227" s="141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1"/>
      <c r="AV227" s="149"/>
      <c r="AW227" s="149"/>
      <c r="AX227" s="145"/>
      <c r="AY227" s="149"/>
      <c r="AZ227" s="146"/>
      <c r="BA227" s="146"/>
      <c r="BB227" s="145"/>
    </row>
    <row r="228" spans="1:54" s="154" customFormat="1" ht="14.1" customHeight="1">
      <c r="A228" s="145">
        <v>228</v>
      </c>
      <c r="B228" s="157"/>
      <c r="C228" s="157" t="s">
        <v>638</v>
      </c>
      <c r="D228" s="157"/>
      <c r="E228" s="156"/>
      <c r="F228" s="155">
        <f>F142+F164+F226</f>
        <v>260578000</v>
      </c>
      <c r="G228" s="155">
        <f t="shared" ref="G228:AR228" si="174">G142+G164+G226</f>
        <v>0</v>
      </c>
      <c r="H228" s="155">
        <f>H142+H164+H226</f>
        <v>0</v>
      </c>
      <c r="I228" s="155">
        <f t="shared" si="174"/>
        <v>0</v>
      </c>
      <c r="J228" s="155">
        <f>J142+J164+J226</f>
        <v>-8688000</v>
      </c>
      <c r="K228" s="155">
        <f>K142+K164+K226</f>
        <v>288000</v>
      </c>
      <c r="L228" s="155">
        <f t="shared" si="174"/>
        <v>927000</v>
      </c>
      <c r="M228" s="155">
        <f t="shared" si="174"/>
        <v>398000</v>
      </c>
      <c r="N228" s="155">
        <f t="shared" si="174"/>
        <v>-18000</v>
      </c>
      <c r="O228" s="155">
        <f t="shared" si="174"/>
        <v>0</v>
      </c>
      <c r="P228" s="155">
        <f>P142+P164+P226</f>
        <v>-10000</v>
      </c>
      <c r="Q228" s="155">
        <f>Q142+Q164+Q226</f>
        <v>-4000</v>
      </c>
      <c r="R228" s="155">
        <f>R142+R164+R226</f>
        <v>-11000</v>
      </c>
      <c r="S228" s="155">
        <f>S142+S164+S226</f>
        <v>-56000</v>
      </c>
      <c r="T228" s="155">
        <f>T142+T164+T226</f>
        <v>-72773000</v>
      </c>
      <c r="U228" s="155">
        <f t="shared" si="174"/>
        <v>-415000</v>
      </c>
      <c r="V228" s="155">
        <f t="shared" ref="V228:AA228" si="175">V142+V164+V226</f>
        <v>250000</v>
      </c>
      <c r="W228" s="155">
        <f t="shared" si="175"/>
        <v>0</v>
      </c>
      <c r="X228" s="155">
        <f t="shared" si="175"/>
        <v>0</v>
      </c>
      <c r="Y228" s="155">
        <f t="shared" si="175"/>
        <v>-94600000</v>
      </c>
      <c r="Z228" s="155">
        <f t="shared" si="175"/>
        <v>-244000</v>
      </c>
      <c r="AA228" s="155">
        <f t="shared" si="175"/>
        <v>0</v>
      </c>
      <c r="AB228" s="155">
        <f t="shared" ref="AB228" si="176">AB142+AB164+AB226</f>
        <v>-803000</v>
      </c>
      <c r="AC228" s="155">
        <f t="shared" si="174"/>
        <v>1826000</v>
      </c>
      <c r="AD228" s="155">
        <f t="shared" si="174"/>
        <v>19000</v>
      </c>
      <c r="AE228" s="155">
        <f t="shared" si="174"/>
        <v>-1690000</v>
      </c>
      <c r="AF228" s="155">
        <f t="shared" si="174"/>
        <v>368000</v>
      </c>
      <c r="AG228" s="155">
        <f t="shared" si="174"/>
        <v>78000</v>
      </c>
      <c r="AH228" s="155">
        <f t="shared" si="174"/>
        <v>113000</v>
      </c>
      <c r="AI228" s="155">
        <f>AI142+AI164+AI226</f>
        <v>946000</v>
      </c>
      <c r="AJ228" s="155">
        <f>AJ142+AJ164+AJ226</f>
        <v>598000</v>
      </c>
      <c r="AK228" s="155">
        <f t="shared" si="174"/>
        <v>21000</v>
      </c>
      <c r="AL228" s="155">
        <f t="shared" si="174"/>
        <v>1634000</v>
      </c>
      <c r="AM228" s="155">
        <f t="shared" si="174"/>
        <v>1270000</v>
      </c>
      <c r="AN228" s="155">
        <f t="shared" si="174"/>
        <v>-905000</v>
      </c>
      <c r="AO228" s="155">
        <f t="shared" si="174"/>
        <v>1957000</v>
      </c>
      <c r="AP228" s="155">
        <f t="shared" si="174"/>
        <v>300000</v>
      </c>
      <c r="AQ228" s="155">
        <f t="shared" si="174"/>
        <v>178000</v>
      </c>
      <c r="AR228" s="155">
        <f t="shared" si="174"/>
        <v>150000</v>
      </c>
      <c r="AS228" s="155">
        <f t="shared" ref="AS228:AT228" si="177">AS142+AS164+AS226</f>
        <v>2170000</v>
      </c>
      <c r="AT228" s="155">
        <f t="shared" si="177"/>
        <v>-278000</v>
      </c>
      <c r="AU228" s="148"/>
      <c r="AV228" s="148">
        <f>AV142+AV164+AV226</f>
        <v>-167003499</v>
      </c>
      <c r="AW228" s="148">
        <f>AW142+AW164+AW226</f>
        <v>93574501</v>
      </c>
      <c r="AX228" s="152" t="str">
        <f>IF(ROUND(SUM(F228:AT228),0)=ROUND(AW228,0),"ok","crossfoot error")</f>
        <v>crossfoot error</v>
      </c>
      <c r="AY228" s="148">
        <f>AY142+AY164+AY226</f>
        <v>93575</v>
      </c>
      <c r="AZ228" s="147">
        <v>93573.251999999979</v>
      </c>
      <c r="BA228" s="146">
        <f>AY228-AZ228</f>
        <v>1.7480000000214204</v>
      </c>
      <c r="BB228" s="152"/>
    </row>
    <row r="229" spans="1:54" ht="14.1" customHeight="1">
      <c r="A229" s="145">
        <v>229</v>
      </c>
      <c r="B229" s="144"/>
      <c r="C229" s="144"/>
      <c r="D229" s="144"/>
      <c r="E229" s="141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1"/>
      <c r="AV229" s="149"/>
      <c r="AW229" s="149"/>
      <c r="AX229" s="145"/>
      <c r="AY229" s="149"/>
      <c r="AZ229" s="146"/>
      <c r="BA229" s="146"/>
      <c r="BB229" s="145"/>
    </row>
    <row r="230" spans="1:54" ht="14.1" customHeight="1">
      <c r="A230" s="145">
        <v>230</v>
      </c>
      <c r="B230" s="143" t="s">
        <v>637</v>
      </c>
      <c r="C230" s="144"/>
      <c r="D230" s="144"/>
      <c r="E230" s="141"/>
      <c r="F230" s="150">
        <v>0</v>
      </c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1"/>
      <c r="AV230" s="149">
        <f>SUM(G230:AT230)</f>
        <v>0</v>
      </c>
      <c r="AW230" s="149">
        <f>F230+AV230</f>
        <v>0</v>
      </c>
      <c r="AX230" s="145"/>
      <c r="AY230" s="149"/>
      <c r="AZ230" s="146"/>
      <c r="BA230" s="146"/>
      <c r="BB230" s="145"/>
    </row>
    <row r="231" spans="1:54" ht="14.1" customHeight="1">
      <c r="A231" s="145">
        <v>231</v>
      </c>
      <c r="B231" s="143" t="s">
        <v>636</v>
      </c>
      <c r="C231" s="144"/>
      <c r="D231" s="144"/>
      <c r="E231" s="141"/>
      <c r="F231" s="150">
        <v>-4387000</v>
      </c>
      <c r="G231" s="142"/>
      <c r="H231" s="150">
        <v>0</v>
      </c>
      <c r="I231" s="166"/>
      <c r="J231" s="150">
        <v>9000</v>
      </c>
      <c r="K231" s="150">
        <v>-60000</v>
      </c>
      <c r="L231" s="150">
        <v>-195000</v>
      </c>
      <c r="M231" s="150">
        <v>-84000</v>
      </c>
      <c r="N231" s="150">
        <v>4000</v>
      </c>
      <c r="O231" s="150">
        <v>0</v>
      </c>
      <c r="P231" s="150">
        <v>2000</v>
      </c>
      <c r="Q231" s="150">
        <v>1000</v>
      </c>
      <c r="R231" s="150">
        <v>2000</v>
      </c>
      <c r="S231" s="150">
        <v>-9000</v>
      </c>
      <c r="T231" s="150">
        <v>2561000</v>
      </c>
      <c r="U231" s="150">
        <v>87000</v>
      </c>
      <c r="V231" s="150">
        <v>-53000</v>
      </c>
      <c r="W231" s="150">
        <v>57000</v>
      </c>
      <c r="X231" s="150">
        <v>0</v>
      </c>
      <c r="Y231" s="150">
        <v>511000</v>
      </c>
      <c r="Z231" s="150">
        <v>51000</v>
      </c>
      <c r="AA231" s="150">
        <v>0</v>
      </c>
      <c r="AB231" s="150">
        <v>169000</v>
      </c>
      <c r="AC231" s="150">
        <v>-383000</v>
      </c>
      <c r="AD231" s="150">
        <v>-4000</v>
      </c>
      <c r="AE231" s="150">
        <v>355000</v>
      </c>
      <c r="AF231" s="150">
        <v>-77000</v>
      </c>
      <c r="AG231" s="150">
        <v>-16000</v>
      </c>
      <c r="AH231" s="150">
        <v>-24000</v>
      </c>
      <c r="AI231" s="150">
        <v>-199000</v>
      </c>
      <c r="AJ231" s="150">
        <v>-126000</v>
      </c>
      <c r="AK231" s="150">
        <v>-4000</v>
      </c>
      <c r="AL231" s="150">
        <v>-343000</v>
      </c>
      <c r="AM231" s="150">
        <v>-267000</v>
      </c>
      <c r="AN231" s="150">
        <v>190000</v>
      </c>
      <c r="AO231" s="150">
        <v>-411000</v>
      </c>
      <c r="AP231" s="150">
        <v>-63000</v>
      </c>
      <c r="AQ231" s="150">
        <v>-37000</v>
      </c>
      <c r="AR231" s="150">
        <v>-32000</v>
      </c>
      <c r="AS231" s="150">
        <v>-456000</v>
      </c>
      <c r="AT231" s="150">
        <v>131000</v>
      </c>
      <c r="AU231" s="141"/>
      <c r="AV231" s="149">
        <f>SUM(G231:AT231)</f>
        <v>1287000</v>
      </c>
      <c r="AW231" s="149">
        <f>F231+AV231</f>
        <v>-3100000</v>
      </c>
      <c r="AX231" s="145"/>
      <c r="AY231" s="148">
        <f>ROUND(AW231/1000,0)</f>
        <v>-3100</v>
      </c>
      <c r="AZ231" s="147">
        <v>-3099.8729199999989</v>
      </c>
      <c r="BA231" s="146">
        <f>AY231-AZ231</f>
        <v>-0.12708000000111497</v>
      </c>
      <c r="BB231" s="145"/>
    </row>
    <row r="232" spans="1:54" ht="14.1" customHeight="1">
      <c r="A232" s="145">
        <v>232</v>
      </c>
      <c r="B232" s="143" t="s">
        <v>608</v>
      </c>
      <c r="C232" s="144"/>
      <c r="D232" s="144"/>
      <c r="E232" s="141"/>
      <c r="F232" s="150">
        <v>0</v>
      </c>
      <c r="G232" s="150">
        <v>1000</v>
      </c>
      <c r="H232" s="142"/>
      <c r="I232" s="569">
        <v>3000</v>
      </c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66">
        <v>-67000</v>
      </c>
      <c r="Y232" s="142"/>
      <c r="Z232" s="142"/>
      <c r="AA232" s="166">
        <v>0</v>
      </c>
      <c r="AB232" s="166">
        <v>12000</v>
      </c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66"/>
      <c r="AM232" s="166">
        <v>-105000</v>
      </c>
      <c r="AN232" s="166"/>
      <c r="AO232" s="166">
        <v>-111000</v>
      </c>
      <c r="AP232" s="166"/>
      <c r="AQ232" s="166"/>
      <c r="AR232" s="166"/>
      <c r="AS232" s="166">
        <v>-17000</v>
      </c>
      <c r="AT232" s="166">
        <v>0</v>
      </c>
      <c r="AU232" s="141"/>
      <c r="AV232" s="149">
        <f>SUM(G232:AT232)</f>
        <v>-284000</v>
      </c>
      <c r="AW232" s="149">
        <f>F232+AV232</f>
        <v>-284000</v>
      </c>
      <c r="AX232" s="145"/>
      <c r="AY232" s="486">
        <f>ROUND(AW232/1000,0)-1</f>
        <v>-285</v>
      </c>
      <c r="AZ232" s="147">
        <v>-284.17795560000002</v>
      </c>
      <c r="BA232" s="146">
        <f>AY232-AZ232</f>
        <v>-0.82204439999998158</v>
      </c>
      <c r="BB232" s="145"/>
    </row>
    <row r="233" spans="1:54" ht="14.1" customHeight="1">
      <c r="A233" s="145">
        <v>233</v>
      </c>
      <c r="B233" s="143" t="s">
        <v>386</v>
      </c>
      <c r="C233" s="144"/>
      <c r="D233" s="144"/>
      <c r="E233" s="141"/>
      <c r="F233" s="150">
        <v>0</v>
      </c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1"/>
      <c r="AV233" s="149">
        <f>SUM(G233:AT233)</f>
        <v>0</v>
      </c>
      <c r="AW233" s="149">
        <f>F233+AV233</f>
        <v>0</v>
      </c>
      <c r="AX233" s="145"/>
      <c r="AY233" s="148">
        <f>ROUND(AW233/1000,0)</f>
        <v>0</v>
      </c>
      <c r="AZ233" s="147">
        <v>9626</v>
      </c>
      <c r="BA233" s="146">
        <f>AY233-AZ233</f>
        <v>-9626</v>
      </c>
      <c r="BB233" s="145"/>
    </row>
    <row r="234" spans="1:54" ht="14.1" customHeight="1">
      <c r="A234" s="145">
        <v>234</v>
      </c>
      <c r="B234" s="143" t="s">
        <v>635</v>
      </c>
      <c r="C234" s="144"/>
      <c r="D234" s="144"/>
      <c r="E234" s="141"/>
      <c r="F234" s="150">
        <v>-3743000</v>
      </c>
      <c r="G234" s="142"/>
      <c r="H234" s="142"/>
      <c r="I234" s="142"/>
      <c r="J234" s="142"/>
      <c r="K234" s="142"/>
      <c r="L234" s="142"/>
      <c r="M234" s="142"/>
      <c r="N234" s="142"/>
      <c r="O234" s="150">
        <v>-101000</v>
      </c>
      <c r="P234" s="142"/>
      <c r="Q234" s="142"/>
      <c r="R234" s="142"/>
      <c r="S234" s="142"/>
      <c r="T234" s="166">
        <v>9626000</v>
      </c>
      <c r="U234" s="142"/>
      <c r="V234" s="142"/>
      <c r="W234" s="142"/>
      <c r="X234" s="142"/>
      <c r="Y234" s="142"/>
      <c r="Z234" s="142"/>
      <c r="AA234" s="166">
        <v>136000</v>
      </c>
      <c r="AB234" s="166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1"/>
      <c r="AV234" s="149">
        <f>SUM(G234:AT234)</f>
        <v>9661000</v>
      </c>
      <c r="AW234" s="149">
        <f>F234+AV234</f>
        <v>5918000</v>
      </c>
      <c r="AX234" s="145"/>
      <c r="AY234" s="148">
        <f>ROUND(AW234/1000,0)</f>
        <v>5918</v>
      </c>
      <c r="AZ234" s="147">
        <v>-3708</v>
      </c>
      <c r="BA234" s="146">
        <f>AY234-AZ234</f>
        <v>9626</v>
      </c>
      <c r="BB234" s="145"/>
    </row>
    <row r="235" spans="1:54" ht="14.1" customHeight="1">
      <c r="A235" s="145">
        <v>235</v>
      </c>
      <c r="B235" s="144"/>
      <c r="C235" s="144"/>
      <c r="D235" s="144"/>
      <c r="E235" s="141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1"/>
      <c r="AV235" s="149"/>
      <c r="AW235" s="149"/>
      <c r="AX235" s="145"/>
      <c r="AY235" s="149"/>
      <c r="AZ235" s="146"/>
      <c r="BA235" s="146"/>
      <c r="BB235" s="145"/>
    </row>
    <row r="236" spans="1:54" s="154" customFormat="1" ht="14.1" customHeight="1">
      <c r="A236" s="145">
        <v>236</v>
      </c>
      <c r="B236" s="157"/>
      <c r="C236" s="157" t="s">
        <v>634</v>
      </c>
      <c r="D236" s="157"/>
      <c r="E236" s="156"/>
      <c r="F236" s="155">
        <f>F228+SUM(F230:F234)</f>
        <v>252448000</v>
      </c>
      <c r="G236" s="155">
        <f t="shared" ref="G236:U236" si="178">G228+SUM(G230:G234)</f>
        <v>1000</v>
      </c>
      <c r="H236" s="155">
        <f>H228+SUM(H230:H234)</f>
        <v>0</v>
      </c>
      <c r="I236" s="155">
        <f t="shared" si="178"/>
        <v>3000</v>
      </c>
      <c r="J236" s="155">
        <f>J228+SUM(J230:J234)</f>
        <v>-8679000</v>
      </c>
      <c r="K236" s="155">
        <f t="shared" si="178"/>
        <v>228000</v>
      </c>
      <c r="L236" s="155">
        <f t="shared" si="178"/>
        <v>732000</v>
      </c>
      <c r="M236" s="155">
        <f t="shared" si="178"/>
        <v>314000</v>
      </c>
      <c r="N236" s="155">
        <f t="shared" si="178"/>
        <v>-14000</v>
      </c>
      <c r="O236" s="155">
        <f t="shared" si="178"/>
        <v>-101000</v>
      </c>
      <c r="P236" s="155">
        <f t="shared" si="178"/>
        <v>-8000</v>
      </c>
      <c r="Q236" s="155">
        <f t="shared" si="178"/>
        <v>-3000</v>
      </c>
      <c r="R236" s="155">
        <f t="shared" si="178"/>
        <v>-9000</v>
      </c>
      <c r="S236" s="155">
        <f t="shared" si="178"/>
        <v>-65000</v>
      </c>
      <c r="T236" s="155">
        <f t="shared" si="178"/>
        <v>-60586000</v>
      </c>
      <c r="U236" s="155">
        <f t="shared" si="178"/>
        <v>-328000</v>
      </c>
      <c r="V236" s="155">
        <f t="shared" ref="V236:AB236" si="179">V228+SUM(V230:V234)</f>
        <v>197000</v>
      </c>
      <c r="W236" s="155">
        <f t="shared" si="179"/>
        <v>57000</v>
      </c>
      <c r="X236" s="155">
        <f t="shared" si="179"/>
        <v>-67000</v>
      </c>
      <c r="Y236" s="155">
        <f t="shared" si="179"/>
        <v>-94089000</v>
      </c>
      <c r="Z236" s="155">
        <f t="shared" si="179"/>
        <v>-193000</v>
      </c>
      <c r="AA236" s="155">
        <f t="shared" si="179"/>
        <v>136000</v>
      </c>
      <c r="AB236" s="155">
        <f t="shared" si="179"/>
        <v>-622000</v>
      </c>
      <c r="AC236" s="155">
        <f>AC228+SUM(AC230:AC234)</f>
        <v>1443000</v>
      </c>
      <c r="AD236" s="155">
        <f t="shared" ref="AD236:AT236" si="180">AD228+SUM(AD230:AD234)</f>
        <v>15000</v>
      </c>
      <c r="AE236" s="155">
        <f t="shared" si="180"/>
        <v>-1335000</v>
      </c>
      <c r="AF236" s="155">
        <f t="shared" si="180"/>
        <v>291000</v>
      </c>
      <c r="AG236" s="155">
        <f t="shared" si="180"/>
        <v>62000</v>
      </c>
      <c r="AH236" s="155">
        <f t="shared" si="180"/>
        <v>89000</v>
      </c>
      <c r="AI236" s="155">
        <f>AI228+SUM(AI230:AI234)</f>
        <v>747000</v>
      </c>
      <c r="AJ236" s="155">
        <f>AJ228+SUM(AJ230:AJ234)</f>
        <v>472000</v>
      </c>
      <c r="AK236" s="155">
        <f t="shared" si="180"/>
        <v>17000</v>
      </c>
      <c r="AL236" s="155">
        <f t="shared" si="180"/>
        <v>1291000</v>
      </c>
      <c r="AM236" s="155">
        <f t="shared" si="180"/>
        <v>898000</v>
      </c>
      <c r="AN236" s="155">
        <f t="shared" si="180"/>
        <v>-715000</v>
      </c>
      <c r="AO236" s="155">
        <f t="shared" si="180"/>
        <v>1435000</v>
      </c>
      <c r="AP236" s="155">
        <f t="shared" si="180"/>
        <v>237000</v>
      </c>
      <c r="AQ236" s="155">
        <f t="shared" si="180"/>
        <v>141000</v>
      </c>
      <c r="AR236" s="155">
        <f t="shared" si="180"/>
        <v>118000</v>
      </c>
      <c r="AS236" s="155">
        <f>AS228+SUM(AS230:AS234)</f>
        <v>1697000</v>
      </c>
      <c r="AT236" s="155">
        <f t="shared" si="180"/>
        <v>-147000</v>
      </c>
      <c r="AU236" s="148"/>
      <c r="AV236" s="148">
        <f>AV228+SUM(AV230:AV234)</f>
        <v>-156339499</v>
      </c>
      <c r="AW236" s="148">
        <f>AW228+SUM(AW230:AW234)</f>
        <v>96108501</v>
      </c>
      <c r="AX236" s="152" t="str">
        <f>IF(ROUND(SUM(F236:AT236),0)=ROUND(AW236,0),"ok","crossfoot error")</f>
        <v>crossfoot error</v>
      </c>
      <c r="AY236" s="148">
        <f>AY228+SUM(AY230:AY234)</f>
        <v>96108</v>
      </c>
      <c r="AZ236" s="484">
        <v>96107.201124399988</v>
      </c>
      <c r="BA236" s="146">
        <f>AY236-AZ236</f>
        <v>0.79887560001225211</v>
      </c>
      <c r="BB236" s="152"/>
    </row>
    <row r="237" spans="1:54" ht="14.1" customHeight="1">
      <c r="A237" s="145">
        <v>237</v>
      </c>
      <c r="B237" s="144"/>
      <c r="C237" s="144"/>
      <c r="D237" s="144"/>
      <c r="E237" s="141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49"/>
      <c r="AV237" s="149"/>
      <c r="AW237" s="149"/>
      <c r="AX237" s="145"/>
      <c r="AY237" s="149"/>
      <c r="AZ237" s="146"/>
      <c r="BA237" s="146"/>
      <c r="BB237" s="145"/>
    </row>
    <row r="238" spans="1:54" ht="14.1" customHeight="1">
      <c r="A238" s="145">
        <v>238</v>
      </c>
      <c r="B238" s="144" t="str">
        <f>$B$1</f>
        <v>Proforma</v>
      </c>
      <c r="C238" s="144"/>
      <c r="D238" s="144"/>
      <c r="E238" s="149"/>
      <c r="F238" s="173"/>
      <c r="G238" s="173"/>
      <c r="H238" s="173"/>
      <c r="I238" s="173" t="str">
        <f>$I$1</f>
        <v>Natural Gas Utility</v>
      </c>
      <c r="J238" s="173"/>
      <c r="K238" s="173"/>
      <c r="L238" s="173"/>
      <c r="M238" s="458"/>
      <c r="O238" s="173"/>
      <c r="P238" s="173"/>
      <c r="Q238" s="173"/>
      <c r="R238" s="173"/>
      <c r="S238" s="466"/>
      <c r="T238" s="466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G238" s="173"/>
      <c r="AH238" s="173"/>
      <c r="AI238" s="458"/>
      <c r="AJ238" s="458"/>
      <c r="AK238" s="458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49"/>
      <c r="AV238" s="149"/>
      <c r="AW238" s="177"/>
      <c r="AX238" s="145"/>
      <c r="AY238" s="177"/>
      <c r="AZ238" s="146"/>
      <c r="BA238" s="146"/>
      <c r="BB238" s="145"/>
    </row>
    <row r="239" spans="1:54" ht="14.1" customHeight="1">
      <c r="A239" s="145">
        <v>239</v>
      </c>
      <c r="B239" s="144" t="str">
        <f>$B$2</f>
        <v>Pro Forma Results of Operations</v>
      </c>
      <c r="C239" s="144"/>
      <c r="D239" s="144"/>
      <c r="E239" s="149" t="s">
        <v>84</v>
      </c>
      <c r="F239" s="173"/>
      <c r="G239" s="173"/>
      <c r="H239" s="173"/>
      <c r="I239" s="173"/>
      <c r="J239" s="173"/>
      <c r="K239" s="173"/>
      <c r="L239" s="173"/>
      <c r="M239" s="176"/>
      <c r="O239" s="173" t="str">
        <f>E239</f>
        <v>Plant In Service</v>
      </c>
      <c r="P239" s="173"/>
      <c r="Q239" s="173"/>
      <c r="R239" s="173"/>
      <c r="S239" s="176"/>
      <c r="T239" s="176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 t="str">
        <f>E239</f>
        <v>Plant In Service</v>
      </c>
      <c r="AF239" s="173"/>
      <c r="AG239" s="173"/>
      <c r="AH239" s="173"/>
      <c r="AI239" s="176"/>
      <c r="AJ239" s="176"/>
      <c r="AK239" s="176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49"/>
      <c r="AV239" s="149"/>
      <c r="AW239" s="175"/>
      <c r="AX239" s="145"/>
      <c r="AY239" s="175"/>
      <c r="AZ239" s="146"/>
      <c r="BA239" s="146"/>
      <c r="BB239" s="145"/>
    </row>
    <row r="240" spans="1:54" ht="14.1" customHeight="1">
      <c r="A240" s="145">
        <v>240</v>
      </c>
      <c r="B240" s="144" t="str">
        <f>$B$3</f>
        <v>Company Base Case</v>
      </c>
      <c r="C240" s="144"/>
      <c r="D240" s="144"/>
      <c r="E240" s="149"/>
      <c r="F240" s="173"/>
      <c r="G240" s="173"/>
      <c r="H240" s="173"/>
      <c r="I240" s="173"/>
      <c r="J240" s="173"/>
      <c r="K240" s="173"/>
      <c r="L240" s="173"/>
      <c r="M240" s="459"/>
      <c r="O240" s="173"/>
      <c r="P240" s="173"/>
      <c r="Q240" s="173"/>
      <c r="R240" s="173"/>
      <c r="S240" s="459"/>
      <c r="T240" s="459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49"/>
      <c r="AV240" s="149"/>
      <c r="AW240" s="174"/>
      <c r="AX240" s="145"/>
      <c r="AY240" s="174"/>
      <c r="AZ240" s="146"/>
      <c r="BA240" s="146"/>
      <c r="BB240" s="145"/>
    </row>
    <row r="241" spans="1:54" ht="14.1" customHeight="1">
      <c r="A241" s="145">
        <v>241</v>
      </c>
      <c r="B241" s="144"/>
      <c r="C241" s="144"/>
      <c r="D241" s="144"/>
      <c r="E241" s="149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49"/>
      <c r="AV241" s="149"/>
      <c r="AW241" s="149"/>
      <c r="AX241" s="145"/>
      <c r="AY241" s="149"/>
      <c r="AZ241" s="146"/>
      <c r="BA241" s="146"/>
      <c r="BB241" s="145"/>
    </row>
    <row r="242" spans="1:54" ht="14.1" customHeight="1">
      <c r="A242" s="145">
        <v>242</v>
      </c>
      <c r="B242" s="171"/>
      <c r="C242" s="171"/>
      <c r="D242" s="171"/>
      <c r="E242" s="171"/>
      <c r="F242" s="172">
        <f t="shared" ref="F242:AM242" si="181">F5</f>
        <v>1</v>
      </c>
      <c r="G242" s="453">
        <f t="shared" si="181"/>
        <v>1.01</v>
      </c>
      <c r="H242" s="453">
        <f t="shared" si="181"/>
        <v>1.02</v>
      </c>
      <c r="I242" s="453">
        <f t="shared" si="181"/>
        <v>1.03</v>
      </c>
      <c r="J242" s="453">
        <f t="shared" ref="J242:K245" si="182">J5</f>
        <v>2.0099999999999998</v>
      </c>
      <c r="K242" s="453">
        <f t="shared" si="182"/>
        <v>2.02</v>
      </c>
      <c r="L242" s="453">
        <f t="shared" si="181"/>
        <v>2.0299999999999998</v>
      </c>
      <c r="M242" s="453">
        <f t="shared" si="181"/>
        <v>2.04</v>
      </c>
      <c r="N242" s="453">
        <f t="shared" si="181"/>
        <v>2.0499999999999998</v>
      </c>
      <c r="O242" s="453">
        <f t="shared" si="181"/>
        <v>2.06</v>
      </c>
      <c r="P242" s="453">
        <f t="shared" ref="P242:R245" si="183">P5</f>
        <v>2.0699999999999998</v>
      </c>
      <c r="Q242" s="453">
        <f t="shared" si="183"/>
        <v>2.08</v>
      </c>
      <c r="R242" s="453">
        <f t="shared" si="183"/>
        <v>2.09</v>
      </c>
      <c r="S242" s="453">
        <f t="shared" ref="S242:T245" si="184">S5</f>
        <v>2.1</v>
      </c>
      <c r="T242" s="453">
        <f t="shared" si="184"/>
        <v>2.11</v>
      </c>
      <c r="U242" s="453">
        <f t="shared" si="181"/>
        <v>2.12</v>
      </c>
      <c r="V242" s="453">
        <f t="shared" ref="V242:W245" si="185">V5</f>
        <v>2.13</v>
      </c>
      <c r="W242" s="453">
        <f t="shared" si="185"/>
        <v>2.14</v>
      </c>
      <c r="X242" s="453">
        <f t="shared" ref="X242:AA245" si="186">X5</f>
        <v>2.15</v>
      </c>
      <c r="Y242" s="453">
        <f t="shared" si="186"/>
        <v>3.01</v>
      </c>
      <c r="Z242" s="453">
        <f t="shared" si="186"/>
        <v>3.02</v>
      </c>
      <c r="AA242" s="453">
        <f t="shared" si="186"/>
        <v>3.03</v>
      </c>
      <c r="AB242" s="453">
        <f t="shared" ref="AB242" si="187">AB5</f>
        <v>3.04</v>
      </c>
      <c r="AC242" s="453">
        <f t="shared" si="181"/>
        <v>3.05</v>
      </c>
      <c r="AD242" s="453">
        <f t="shared" si="181"/>
        <v>3.06</v>
      </c>
      <c r="AE242" s="453">
        <f t="shared" si="181"/>
        <v>3.07</v>
      </c>
      <c r="AF242" s="453">
        <f t="shared" ref="AF242:AH242" si="188">AF5</f>
        <v>3.08</v>
      </c>
      <c r="AG242" s="453">
        <f t="shared" si="188"/>
        <v>3.09</v>
      </c>
      <c r="AH242" s="453">
        <f t="shared" si="188"/>
        <v>3.1</v>
      </c>
      <c r="AI242" s="453">
        <f t="shared" ref="AI242:AJ245" si="189">AI5</f>
        <v>3.11</v>
      </c>
      <c r="AJ242" s="453">
        <f t="shared" si="189"/>
        <v>3.12</v>
      </c>
      <c r="AK242" s="453">
        <f t="shared" ref="AK242:AK245" si="190">AK5</f>
        <v>3.13</v>
      </c>
      <c r="AL242" s="453">
        <f t="shared" si="181"/>
        <v>3.14</v>
      </c>
      <c r="AM242" s="453">
        <f t="shared" si="181"/>
        <v>3.15</v>
      </c>
      <c r="AN242" s="453">
        <f t="shared" ref="AN242:AR242" si="191">AN5</f>
        <v>3.16</v>
      </c>
      <c r="AO242" s="453">
        <f t="shared" si="191"/>
        <v>3.17</v>
      </c>
      <c r="AP242" s="453">
        <f t="shared" si="191"/>
        <v>3.18</v>
      </c>
      <c r="AQ242" s="453">
        <f t="shared" si="191"/>
        <v>3.19</v>
      </c>
      <c r="AR242" s="453">
        <f t="shared" si="191"/>
        <v>3.2</v>
      </c>
      <c r="AS242" s="453">
        <f t="shared" ref="AS242:AT245" si="192">AS5</f>
        <v>4.01</v>
      </c>
      <c r="AT242" s="453">
        <f t="shared" si="192"/>
        <v>4.0199999999999996</v>
      </c>
      <c r="AU242" s="171"/>
      <c r="AV242" s="171" t="str">
        <f>AV$5</f>
        <v>(av)</v>
      </c>
      <c r="AW242" s="171" t="str">
        <f>AW$5</f>
        <v>(aw)</v>
      </c>
      <c r="AX242" s="171" t="str">
        <f>AX$5</f>
        <v>(ax)</v>
      </c>
      <c r="AY242" s="171" t="str">
        <f>AY$5</f>
        <v>(ay)</v>
      </c>
      <c r="AZ242" s="146"/>
      <c r="BA242" s="146"/>
      <c r="BB242" s="186"/>
    </row>
    <row r="243" spans="1:54" ht="14.1" customHeight="1">
      <c r="A243" s="145">
        <v>243</v>
      </c>
      <c r="B243" s="168" t="str">
        <f>IF(ISBLANK(B$6),"",B$6)</f>
        <v/>
      </c>
      <c r="C243" s="168" t="str">
        <f>IF(ISBLANK(C$6),"",C$6)</f>
        <v/>
      </c>
      <c r="D243" s="168" t="str">
        <f>IF(ISBLANK(D$6),"",D$6)</f>
        <v/>
      </c>
      <c r="E243" s="168" t="str">
        <f>IF(ISBLANK(E$6),"",E$6)</f>
        <v>Notes</v>
      </c>
      <c r="F243" s="168" t="s">
        <v>622</v>
      </c>
      <c r="G243" s="454" t="str">
        <f t="shared" ref="G243:I245" si="193">G6</f>
        <v>Deferred FIT</v>
      </c>
      <c r="H243" s="454" t="str">
        <f t="shared" si="193"/>
        <v>Deferred Debits</v>
      </c>
      <c r="I243" s="454" t="str">
        <f t="shared" si="193"/>
        <v xml:space="preserve">Working </v>
      </c>
      <c r="J243" s="454" t="str">
        <f t="shared" si="182"/>
        <v>Eliminate</v>
      </c>
      <c r="K243" s="454" t="str">
        <f t="shared" si="182"/>
        <v>Restate</v>
      </c>
      <c r="L243" s="454" t="str">
        <f t="shared" ref="L243:O245" si="194">L6</f>
        <v>Uncollectible</v>
      </c>
      <c r="M243" s="454" t="str">
        <f t="shared" si="194"/>
        <v>Regulatory</v>
      </c>
      <c r="N243" s="454" t="str">
        <f t="shared" si="194"/>
        <v>Injuries &amp;</v>
      </c>
      <c r="O243" s="454" t="str">
        <f t="shared" si="194"/>
        <v>FIT/DFIT</v>
      </c>
      <c r="P243" s="454" t="str">
        <f t="shared" si="183"/>
        <v>Office Space</v>
      </c>
      <c r="Q243" s="454" t="str">
        <f t="shared" si="183"/>
        <v>Restate</v>
      </c>
      <c r="R243" s="454" t="str">
        <f t="shared" si="183"/>
        <v>Net Gains/</v>
      </c>
      <c r="S243" s="454" t="str">
        <f t="shared" si="184"/>
        <v>Weather Normalization</v>
      </c>
      <c r="T243" s="454" t="str">
        <f t="shared" si="184"/>
        <v>Eliminate</v>
      </c>
      <c r="U243" s="454" t="str">
        <f>U6</f>
        <v>Misc. Restating</v>
      </c>
      <c r="V243" s="454" t="str">
        <f t="shared" si="185"/>
        <v xml:space="preserve">Restating </v>
      </c>
      <c r="W243" s="454" t="str">
        <f t="shared" si="185"/>
        <v xml:space="preserve">Restate </v>
      </c>
      <c r="X243" s="454" t="str">
        <f t="shared" si="186"/>
        <v xml:space="preserve">Restate </v>
      </c>
      <c r="Y243" s="454" t="str">
        <f t="shared" si="186"/>
        <v>Pro Forma Revenue</v>
      </c>
      <c r="Z243" s="454" t="str">
        <f t="shared" si="186"/>
        <v xml:space="preserve">Pro Forma Def. </v>
      </c>
      <c r="AA243" s="454" t="str">
        <f t="shared" si="186"/>
        <v>Pro Forma</v>
      </c>
      <c r="AB243" s="454" t="str">
        <f t="shared" ref="AB243" si="195">AB6</f>
        <v>Pro Forma</v>
      </c>
      <c r="AC243" s="454" t="str">
        <f t="shared" ref="AC243:AE245" si="196">AC6</f>
        <v>Pro Forma</v>
      </c>
      <c r="AD243" s="454" t="str">
        <f t="shared" si="196"/>
        <v>Pro Forma</v>
      </c>
      <c r="AE243" s="454" t="str">
        <f t="shared" si="196"/>
        <v>Pro Forma</v>
      </c>
      <c r="AF243" s="454" t="str">
        <f t="shared" ref="AF243:AH243" si="197">AF6</f>
        <v>Pro Forma</v>
      </c>
      <c r="AG243" s="454" t="str">
        <f t="shared" si="197"/>
        <v>Remove</v>
      </c>
      <c r="AH243" s="454" t="str">
        <f t="shared" si="197"/>
        <v>Pro Forma</v>
      </c>
      <c r="AI243" s="454" t="str">
        <f t="shared" si="189"/>
        <v>Pro Forma</v>
      </c>
      <c r="AJ243" s="454" t="str">
        <f t="shared" si="189"/>
        <v>Pro Forma</v>
      </c>
      <c r="AK243" s="454" t="str">
        <f t="shared" si="190"/>
        <v>Pro Forma</v>
      </c>
      <c r="AL243" s="454" t="str">
        <f t="shared" ref="AL243:AM245" si="198">AL6</f>
        <v xml:space="preserve">Pro Forma </v>
      </c>
      <c r="AM243" s="454" t="str">
        <f t="shared" si="198"/>
        <v>Pro Forma</v>
      </c>
      <c r="AN243" s="454" t="str">
        <f t="shared" ref="AN243:AR243" si="199">AN6</f>
        <v>Pro Forma</v>
      </c>
      <c r="AO243" s="454" t="str">
        <f t="shared" si="199"/>
        <v>Pro Forma</v>
      </c>
      <c r="AP243" s="454" t="str">
        <f t="shared" si="199"/>
        <v>Pro Forma</v>
      </c>
      <c r="AQ243" s="454" t="str">
        <f t="shared" si="199"/>
        <v>Pro Forma</v>
      </c>
      <c r="AR243" s="454" t="str">
        <f t="shared" si="199"/>
        <v>Pro Forma</v>
      </c>
      <c r="AS243" s="454" t="str">
        <f t="shared" si="192"/>
        <v>Provisional Capital Add.</v>
      </c>
      <c r="AT243" s="454" t="str">
        <f t="shared" si="192"/>
        <v>2024-2025</v>
      </c>
      <c r="AU243" s="168"/>
      <c r="AV243" s="168" t="str">
        <f>IF(ISBLANK(AV$6),"",AV$6)</f>
        <v>Net Total</v>
      </c>
      <c r="AW243" s="168" t="str">
        <f>IF(ISBLANK(AW$6),"",AW$6)</f>
        <v>Total</v>
      </c>
      <c r="AX243" s="168" t="str">
        <f>IF(ISBLANK(AX$6),"",AX$6)</f>
        <v>check</v>
      </c>
      <c r="AY243" s="168" t="str">
        <f>IF(ISBLANK(AY$6),"",AY$6)</f>
        <v>Total</v>
      </c>
      <c r="AZ243" s="146"/>
      <c r="BA243" s="146"/>
      <c r="BB243" s="168"/>
    </row>
    <row r="244" spans="1:54" ht="14.1" customHeight="1">
      <c r="A244" s="145">
        <v>244</v>
      </c>
      <c r="B244" s="170" t="str">
        <f>IF(ISBLANK(B$7),"",B$7)</f>
        <v>Account</v>
      </c>
      <c r="C244" s="169" t="str">
        <f>IF(ISBLANK(C$7),"",C$7)</f>
        <v>Description</v>
      </c>
      <c r="D244" s="168"/>
      <c r="E244" s="168" t="str">
        <f>IF(ISBLANK(E$7),"",E$7)</f>
        <v/>
      </c>
      <c r="F244" s="168" t="s">
        <v>621</v>
      </c>
      <c r="G244" s="454" t="str">
        <f t="shared" si="193"/>
        <v>Rate Base</v>
      </c>
      <c r="H244" s="454" t="str">
        <f t="shared" si="193"/>
        <v>and Credits</v>
      </c>
      <c r="I244" s="454" t="str">
        <f t="shared" si="193"/>
        <v>Capital</v>
      </c>
      <c r="J244" s="454" t="str">
        <f t="shared" si="182"/>
        <v>B &amp; O Taxes</v>
      </c>
      <c r="K244" s="454" t="str">
        <f t="shared" si="182"/>
        <v>Property Taxes</v>
      </c>
      <c r="L244" s="454" t="str">
        <f t="shared" si="194"/>
        <v>Expense</v>
      </c>
      <c r="M244" s="454" t="str">
        <f t="shared" si="194"/>
        <v>Expense</v>
      </c>
      <c r="N244" s="454" t="str">
        <f t="shared" si="194"/>
        <v>Damages</v>
      </c>
      <c r="O244" s="454" t="str">
        <f t="shared" si="194"/>
        <v>Expense</v>
      </c>
      <c r="P244" s="454" t="str">
        <f t="shared" si="183"/>
        <v>Charges to Subs</v>
      </c>
      <c r="Q244" s="454" t="str">
        <f t="shared" si="183"/>
        <v>Excise Tax</v>
      </c>
      <c r="R244" s="454" t="str">
        <f t="shared" si="183"/>
        <v>Losses</v>
      </c>
      <c r="S244" s="454" t="str">
        <f t="shared" si="184"/>
        <v>Gas Cost Adjust</v>
      </c>
      <c r="T244" s="454" t="str">
        <f t="shared" si="184"/>
        <v>Adder Schedules</v>
      </c>
      <c r="U244" s="454" t="str">
        <f>U7</f>
        <v>Adjustments</v>
      </c>
      <c r="V244" s="454" t="str">
        <f t="shared" si="185"/>
        <v>Incentives</v>
      </c>
      <c r="W244" s="454" t="str">
        <f t="shared" si="185"/>
        <v>Debt Int</v>
      </c>
      <c r="X244" s="454" t="str">
        <f t="shared" si="186"/>
        <v>09.2021 Rate Base</v>
      </c>
      <c r="Y244" s="454" t="str">
        <f t="shared" si="186"/>
        <v>Normalization</v>
      </c>
      <c r="Z244" s="454" t="str">
        <f t="shared" si="186"/>
        <v>Debits &amp; Credits</v>
      </c>
      <c r="AA244" s="454" t="str">
        <f t="shared" si="186"/>
        <v>EDIT (RSGM)</v>
      </c>
      <c r="AB244" s="454" t="str">
        <f t="shared" ref="AB244" si="200">AB7</f>
        <v>AMI Amortization</v>
      </c>
      <c r="AC244" s="454" t="str">
        <f t="shared" si="196"/>
        <v>Non-Exec Labor</v>
      </c>
      <c r="AD244" s="454" t="str">
        <f t="shared" si="196"/>
        <v>Exec Labor</v>
      </c>
      <c r="AE244" s="454" t="str">
        <f t="shared" si="196"/>
        <v>Empl. Benefits</v>
      </c>
      <c r="AF244" s="454" t="str">
        <f t="shared" ref="AF244:AH244" si="201">AF7</f>
        <v>Incentives</v>
      </c>
      <c r="AG244" s="454" t="str">
        <f t="shared" si="201"/>
        <v>LIRAP Labor</v>
      </c>
      <c r="AH244" s="454" t="str">
        <f t="shared" si="201"/>
        <v>CCA Labor</v>
      </c>
      <c r="AI244" s="454" t="str">
        <f t="shared" si="189"/>
        <v>Property Tax</v>
      </c>
      <c r="AJ244" s="454" t="str">
        <f t="shared" si="189"/>
        <v>Insurance Expense</v>
      </c>
      <c r="AK244" s="454" t="str">
        <f t="shared" si="190"/>
        <v>IS/IT</v>
      </c>
      <c r="AL244" s="454" t="str">
        <f t="shared" si="198"/>
        <v>Misc O&amp;M Expense</v>
      </c>
      <c r="AM244" s="454" t="str">
        <f t="shared" si="198"/>
        <v>Capital Add. To 12/31/23 EOP</v>
      </c>
      <c r="AN244" s="454" t="str">
        <f t="shared" ref="AN244:AR244" si="202">AN7</f>
        <v>Dep. Expense</v>
      </c>
      <c r="AO244" s="454" t="str">
        <f t="shared" si="202"/>
        <v>Capital Add. To 12/31/24 EOP</v>
      </c>
      <c r="AP244" s="454" t="str">
        <f t="shared" si="202"/>
        <v>New Reg. Amort.</v>
      </c>
      <c r="AQ244" s="454" t="str">
        <f t="shared" si="202"/>
        <v>Nucleus/ETRM Exp.</v>
      </c>
      <c r="AR244" s="454" t="str">
        <f t="shared" si="202"/>
        <v>BOD Fees Exp.</v>
      </c>
      <c r="AS244" s="454" t="str">
        <f t="shared" si="192"/>
        <v>to 12.31.25 AMA</v>
      </c>
      <c r="AT244" s="454" t="str">
        <f t="shared" si="192"/>
        <v xml:space="preserve">Cap. Adds O&amp;M and Rev. </v>
      </c>
      <c r="AU244" s="168"/>
      <c r="AV244" s="168" t="str">
        <f>IF(ISBLANK(AV$7),"",AV$7)</f>
        <v>of All</v>
      </c>
      <c r="AW244" s="168" t="str">
        <f>IF(ISBLANK(AW$7),"",AW$7)</f>
        <v/>
      </c>
      <c r="AX244" s="168" t="str">
        <f>IF(ISBLANK(AX$7),"",AX$7)</f>
        <v/>
      </c>
      <c r="AY244" s="168" t="str">
        <f>IF(ISBLANK(AY$7),"",AY$7)</f>
        <v>$000's</v>
      </c>
      <c r="AZ244" s="146"/>
      <c r="BA244" s="146"/>
      <c r="BB244" s="168"/>
    </row>
    <row r="245" spans="1:54" ht="14.1" customHeight="1">
      <c r="A245" s="145">
        <v>245</v>
      </c>
      <c r="B245" s="168" t="str">
        <f>IF(ISBLANK(B$8),"",B$8)</f>
        <v/>
      </c>
      <c r="C245" s="168" t="str">
        <f>IF(ISBLANK(C$8),"",C$8)</f>
        <v/>
      </c>
      <c r="D245" s="168" t="str">
        <f>IF(ISBLANK(D$8),"",D$8)</f>
        <v/>
      </c>
      <c r="E245" s="168" t="str">
        <f>IF(ISBLANK(E$8),"",E$8)</f>
        <v/>
      </c>
      <c r="F245" s="168"/>
      <c r="G245" s="454" t="str">
        <f t="shared" si="193"/>
        <v>G-DFIT</v>
      </c>
      <c r="H245" s="454" t="str">
        <f t="shared" si="193"/>
        <v>G-DDC</v>
      </c>
      <c r="I245" s="454" t="str">
        <f t="shared" si="193"/>
        <v>G-WC</v>
      </c>
      <c r="J245" s="454" t="str">
        <f t="shared" si="182"/>
        <v>G-EBO</v>
      </c>
      <c r="K245" s="454" t="str">
        <f t="shared" si="182"/>
        <v>G-RPT</v>
      </c>
      <c r="L245" s="454" t="str">
        <f t="shared" si="194"/>
        <v>G-UE</v>
      </c>
      <c r="M245" s="454" t="str">
        <f t="shared" si="194"/>
        <v>G-RE</v>
      </c>
      <c r="N245" s="454" t="str">
        <f t="shared" si="194"/>
        <v>G-ID</v>
      </c>
      <c r="O245" s="454" t="str">
        <f t="shared" si="194"/>
        <v>G-FIT</v>
      </c>
      <c r="P245" s="454" t="str">
        <f t="shared" si="183"/>
        <v>G-OSC</v>
      </c>
      <c r="Q245" s="454" t="str">
        <f t="shared" si="183"/>
        <v>G-RET</v>
      </c>
      <c r="R245" s="454" t="str">
        <f t="shared" si="183"/>
        <v>G-NGL</v>
      </c>
      <c r="S245" s="454" t="str">
        <f t="shared" si="184"/>
        <v>G-WNGC</v>
      </c>
      <c r="T245" s="454" t="str">
        <f t="shared" si="184"/>
        <v>G-EAS</v>
      </c>
      <c r="U245" s="454" t="str">
        <f>U8</f>
        <v>G-MR</v>
      </c>
      <c r="V245" s="454" t="str">
        <f t="shared" si="185"/>
        <v>G-RI</v>
      </c>
      <c r="W245" s="454" t="str">
        <f t="shared" si="185"/>
        <v>G-DI</v>
      </c>
      <c r="X245" s="454" t="str">
        <f t="shared" si="186"/>
        <v>G-EOP09.2021</v>
      </c>
      <c r="Y245" s="454" t="str">
        <f t="shared" si="186"/>
        <v>G-PREV</v>
      </c>
      <c r="Z245" s="454" t="str">
        <f t="shared" si="186"/>
        <v>G-PRA</v>
      </c>
      <c r="AA245" s="454" t="str">
        <f t="shared" si="186"/>
        <v>G-EDIT</v>
      </c>
      <c r="AB245" s="454" t="str">
        <f t="shared" ref="AB245" si="203">AB8</f>
        <v>G-PAMI</v>
      </c>
      <c r="AC245" s="454" t="str">
        <f t="shared" si="196"/>
        <v>G-PLN</v>
      </c>
      <c r="AD245" s="454" t="str">
        <f t="shared" si="196"/>
        <v>G-PLE</v>
      </c>
      <c r="AE245" s="454" t="str">
        <f t="shared" si="196"/>
        <v>G-PEB</v>
      </c>
      <c r="AF245" s="454" t="str">
        <f t="shared" ref="AF245:AH245" si="204">AF8</f>
        <v>G-Pinc</v>
      </c>
      <c r="AG245" s="454" t="str">
        <f t="shared" si="204"/>
        <v>G-LIRAP</v>
      </c>
      <c r="AH245" s="454" t="str">
        <f t="shared" si="204"/>
        <v>G-CCA</v>
      </c>
      <c r="AI245" s="454" t="str">
        <f t="shared" si="189"/>
        <v>G-PPT</v>
      </c>
      <c r="AJ245" s="454" t="str">
        <f t="shared" si="189"/>
        <v>G-PINS</v>
      </c>
      <c r="AK245" s="454" t="str">
        <f t="shared" si="190"/>
        <v>G-PIT</v>
      </c>
      <c r="AL245" s="454" t="str">
        <f t="shared" si="198"/>
        <v>G-PMisc</v>
      </c>
      <c r="AM245" s="454" t="str">
        <f t="shared" si="198"/>
        <v>G-CAP23E</v>
      </c>
      <c r="AN245" s="454" t="str">
        <f t="shared" ref="AN245:AR245" si="205">AN8</f>
        <v>G-DEP</v>
      </c>
      <c r="AO245" s="454" t="str">
        <f t="shared" si="205"/>
        <v>G-CAP24E</v>
      </c>
      <c r="AP245" s="454" t="str">
        <f t="shared" si="205"/>
        <v>G-NRA</v>
      </c>
      <c r="AQ245" s="454" t="str">
        <f t="shared" si="205"/>
        <v>G-ETRM</v>
      </c>
      <c r="AR245" s="454" t="str">
        <f t="shared" si="205"/>
        <v>G-PBOD</v>
      </c>
      <c r="AS245" s="454" t="str">
        <f t="shared" si="192"/>
        <v>G-CAP25A</v>
      </c>
      <c r="AT245" s="454" t="str">
        <f t="shared" si="192"/>
        <v>G-Offsets25</v>
      </c>
      <c r="AU245" s="168"/>
      <c r="AV245" s="168" t="str">
        <f>IF(ISBLANK(AV$8),"",AV$8)</f>
        <v>Adjustments</v>
      </c>
      <c r="AW245" s="168" t="str">
        <f>IF(ISBLANK(AW$8),"",AW$8)</f>
        <v/>
      </c>
      <c r="AX245" s="168" t="str">
        <f>IF(ISBLANK(AX$8),"",AX$8)</f>
        <v/>
      </c>
      <c r="AY245" s="168" t="str">
        <f>IF(ISBLANK(AY$8),"",AY$8)</f>
        <v>in bold</v>
      </c>
      <c r="AZ245" s="146"/>
      <c r="BA245" s="146"/>
      <c r="BB245" s="168"/>
    </row>
    <row r="246" spans="1:54" ht="14.1" customHeight="1">
      <c r="A246" s="145">
        <v>246</v>
      </c>
      <c r="B246" s="144"/>
      <c r="C246" s="144"/>
      <c r="D246" s="144"/>
      <c r="E246" s="141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1"/>
      <c r="AV246" s="144"/>
      <c r="AW246" s="144"/>
      <c r="AX246" s="168">
        <f>AX$9</f>
        <v>0</v>
      </c>
      <c r="AY246" s="144"/>
      <c r="AZ246" s="146"/>
      <c r="BA246" s="146"/>
      <c r="BB246" s="168"/>
    </row>
    <row r="247" spans="1:54" ht="14.1" customHeight="1">
      <c r="A247" s="145">
        <v>247</v>
      </c>
      <c r="B247" s="157" t="s">
        <v>83</v>
      </c>
      <c r="C247" s="157"/>
      <c r="D247" s="144"/>
      <c r="E247" s="141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1"/>
      <c r="AV247" s="149"/>
      <c r="AW247" s="149"/>
      <c r="AX247" s="145"/>
      <c r="AY247" s="149"/>
      <c r="AZ247" s="146"/>
      <c r="BA247" s="146"/>
      <c r="BB247" s="145"/>
    </row>
    <row r="248" spans="1:54" ht="14.1" customHeight="1">
      <c r="A248" s="145">
        <v>248</v>
      </c>
      <c r="B248" s="157" t="s">
        <v>84</v>
      </c>
      <c r="C248" s="157"/>
      <c r="D248" s="144"/>
      <c r="E248" s="141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1"/>
      <c r="AV248" s="149"/>
      <c r="AW248" s="149"/>
      <c r="AX248" s="145"/>
      <c r="AY248" s="149"/>
      <c r="AZ248" s="146"/>
      <c r="BA248" s="146"/>
      <c r="BB248" s="145"/>
    </row>
    <row r="249" spans="1:54" ht="14.1" customHeight="1">
      <c r="A249" s="145">
        <v>249</v>
      </c>
      <c r="B249" s="148"/>
      <c r="C249" s="148" t="s">
        <v>85</v>
      </c>
      <c r="D249" s="149"/>
      <c r="E249" s="141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1"/>
      <c r="AV249" s="149"/>
      <c r="AW249" s="149"/>
      <c r="AX249" s="145"/>
      <c r="AY249" s="149"/>
      <c r="AZ249" s="146"/>
      <c r="BA249" s="146"/>
      <c r="BB249" s="145"/>
    </row>
    <row r="250" spans="1:54" ht="14.1" customHeight="1">
      <c r="A250" s="145">
        <v>250</v>
      </c>
      <c r="B250" s="187">
        <v>303</v>
      </c>
      <c r="C250" s="149" t="s">
        <v>277</v>
      </c>
      <c r="D250" s="149"/>
      <c r="E250" s="141"/>
      <c r="F250" s="150">
        <v>1979000</v>
      </c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1"/>
      <c r="AV250" s="149">
        <f>SUM(G250:AT250)</f>
        <v>0</v>
      </c>
      <c r="AW250" s="149">
        <f>F250+AV250</f>
        <v>1979000</v>
      </c>
      <c r="AX250" s="145"/>
      <c r="AY250" s="149">
        <f>ROUND(AW250/1000,0)*1000</f>
        <v>1979000</v>
      </c>
      <c r="AZ250" s="146"/>
      <c r="BA250" s="146"/>
      <c r="BB250" s="145"/>
    </row>
    <row r="251" spans="1:54" ht="14.1" customHeight="1">
      <c r="A251" s="145">
        <v>251</v>
      </c>
      <c r="B251" s="149" t="s">
        <v>627</v>
      </c>
      <c r="C251" s="149" t="s">
        <v>626</v>
      </c>
      <c r="D251" s="149"/>
      <c r="E251" s="141"/>
      <c r="F251" s="150">
        <f>47323000-F252</f>
        <v>43063000</v>
      </c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66">
        <v>0</v>
      </c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41"/>
      <c r="AV251" s="149">
        <f>SUM(G251:AT251)</f>
        <v>0</v>
      </c>
      <c r="AW251" s="149">
        <f>F251+AV251</f>
        <v>43063000</v>
      </c>
      <c r="AX251" s="145"/>
      <c r="AY251" s="149">
        <f>ROUND(AW251/1000,0)*1000</f>
        <v>43063000</v>
      </c>
      <c r="AZ251" s="146"/>
      <c r="BA251" s="146"/>
      <c r="BB251" s="145"/>
    </row>
    <row r="252" spans="1:54" ht="14.1" customHeight="1">
      <c r="A252" s="145">
        <v>252</v>
      </c>
      <c r="B252" s="789">
        <v>303.12099999999998</v>
      </c>
      <c r="C252" s="149" t="s">
        <v>1251</v>
      </c>
      <c r="D252" s="149"/>
      <c r="E252" s="141"/>
      <c r="F252" s="150">
        <v>4260000</v>
      </c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66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66"/>
      <c r="AM252" s="166"/>
      <c r="AN252" s="166"/>
      <c r="AO252" s="166"/>
      <c r="AP252" s="166"/>
      <c r="AQ252" s="166"/>
      <c r="AR252" s="166"/>
      <c r="AS252" s="142"/>
      <c r="AT252" s="142"/>
      <c r="AU252" s="141"/>
      <c r="AV252" s="149">
        <f>SUM(G252:AT252)</f>
        <v>0</v>
      </c>
      <c r="AW252" s="149">
        <f>F252+AV252</f>
        <v>4260000</v>
      </c>
      <c r="AX252" s="145"/>
      <c r="AY252" s="149">
        <f>ROUND(AW252/1000,0)*1000</f>
        <v>4260000</v>
      </c>
      <c r="AZ252" s="146"/>
      <c r="BA252" s="146"/>
      <c r="BB252" s="145"/>
    </row>
    <row r="253" spans="1:54" s="154" customFormat="1" ht="14.1" customHeight="1">
      <c r="A253" s="145">
        <v>253</v>
      </c>
      <c r="B253" s="148"/>
      <c r="C253" s="148" t="s">
        <v>87</v>
      </c>
      <c r="D253" s="148"/>
      <c r="E253" s="156"/>
      <c r="F253" s="159">
        <f>SUM(F250:F252)</f>
        <v>49302000</v>
      </c>
      <c r="G253" s="159">
        <f>SUM(G250:G252)</f>
        <v>0</v>
      </c>
      <c r="H253" s="159">
        <f t="shared" ref="H253:AT253" si="206">SUM(H250:H252)</f>
        <v>0</v>
      </c>
      <c r="I253" s="159">
        <f t="shared" si="206"/>
        <v>0</v>
      </c>
      <c r="J253" s="159">
        <f t="shared" si="206"/>
        <v>0</v>
      </c>
      <c r="K253" s="159">
        <f t="shared" si="206"/>
        <v>0</v>
      </c>
      <c r="L253" s="159">
        <f t="shared" si="206"/>
        <v>0</v>
      </c>
      <c r="M253" s="159">
        <f t="shared" si="206"/>
        <v>0</v>
      </c>
      <c r="N253" s="159">
        <f t="shared" si="206"/>
        <v>0</v>
      </c>
      <c r="O253" s="159">
        <f t="shared" si="206"/>
        <v>0</v>
      </c>
      <c r="P253" s="159">
        <f t="shared" si="206"/>
        <v>0</v>
      </c>
      <c r="Q253" s="159">
        <f t="shared" si="206"/>
        <v>0</v>
      </c>
      <c r="R253" s="159">
        <f t="shared" si="206"/>
        <v>0</v>
      </c>
      <c r="S253" s="159">
        <f t="shared" si="206"/>
        <v>0</v>
      </c>
      <c r="T253" s="159">
        <f t="shared" si="206"/>
        <v>0</v>
      </c>
      <c r="U253" s="159">
        <f t="shared" si="206"/>
        <v>0</v>
      </c>
      <c r="V253" s="159">
        <f t="shared" si="206"/>
        <v>0</v>
      </c>
      <c r="W253" s="159">
        <f t="shared" si="206"/>
        <v>0</v>
      </c>
      <c r="X253" s="159">
        <f t="shared" si="206"/>
        <v>0</v>
      </c>
      <c r="Y253" s="159">
        <f t="shared" si="206"/>
        <v>0</v>
      </c>
      <c r="Z253" s="159">
        <f t="shared" si="206"/>
        <v>0</v>
      </c>
      <c r="AA253" s="159">
        <f t="shared" si="206"/>
        <v>0</v>
      </c>
      <c r="AB253" s="159">
        <f t="shared" si="206"/>
        <v>0</v>
      </c>
      <c r="AC253" s="159">
        <f t="shared" si="206"/>
        <v>0</v>
      </c>
      <c r="AD253" s="159">
        <f t="shared" si="206"/>
        <v>0</v>
      </c>
      <c r="AE253" s="159">
        <f t="shared" si="206"/>
        <v>0</v>
      </c>
      <c r="AF253" s="159">
        <f t="shared" si="206"/>
        <v>0</v>
      </c>
      <c r="AG253" s="159">
        <f t="shared" si="206"/>
        <v>0</v>
      </c>
      <c r="AH253" s="159">
        <f t="shared" si="206"/>
        <v>0</v>
      </c>
      <c r="AI253" s="159">
        <f>SUM(AI250:AI252)</f>
        <v>0</v>
      </c>
      <c r="AJ253" s="159">
        <f>SUM(AJ250:AJ252)</f>
        <v>0</v>
      </c>
      <c r="AK253" s="159">
        <f t="shared" si="206"/>
        <v>0</v>
      </c>
      <c r="AL253" s="159">
        <f t="shared" si="206"/>
        <v>0</v>
      </c>
      <c r="AM253" s="159">
        <f t="shared" si="206"/>
        <v>0</v>
      </c>
      <c r="AN253" s="159">
        <f t="shared" si="206"/>
        <v>0</v>
      </c>
      <c r="AO253" s="159">
        <f t="shared" si="206"/>
        <v>0</v>
      </c>
      <c r="AP253" s="159">
        <f t="shared" si="206"/>
        <v>0</v>
      </c>
      <c r="AQ253" s="159">
        <f t="shared" si="206"/>
        <v>0</v>
      </c>
      <c r="AR253" s="159">
        <f t="shared" si="206"/>
        <v>0</v>
      </c>
      <c r="AS253" s="159">
        <f t="shared" si="206"/>
        <v>0</v>
      </c>
      <c r="AT253" s="159">
        <f t="shared" si="206"/>
        <v>0</v>
      </c>
      <c r="AU253" s="158"/>
      <c r="AV253" s="158">
        <f>SUM(AV250:AV252)</f>
        <v>0</v>
      </c>
      <c r="AW253" s="158">
        <f>SUM(AW250:AW252)</f>
        <v>49302000</v>
      </c>
      <c r="AX253" s="152" t="str">
        <f>IF(ROUND(SUM(F253:AT253),0)=ROUND(AW253,0),"ok","crossfoot error")</f>
        <v>ok</v>
      </c>
      <c r="AY253" s="158">
        <f>SUM(AY250:AY252)/1000</f>
        <v>49302</v>
      </c>
      <c r="AZ253" s="146"/>
      <c r="BA253" s="146">
        <f>AY253-AZ253</f>
        <v>49302</v>
      </c>
      <c r="BB253" s="146">
        <f>BA253+BA293</f>
        <v>3</v>
      </c>
    </row>
    <row r="254" spans="1:54" ht="14.1" customHeight="1">
      <c r="A254" s="145">
        <v>254</v>
      </c>
      <c r="B254" s="144"/>
      <c r="C254" s="144"/>
      <c r="D254" s="144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1"/>
      <c r="AV254" s="149"/>
      <c r="AW254" s="149"/>
      <c r="AX254" s="145"/>
      <c r="AY254" s="149"/>
      <c r="AZ254" s="146"/>
      <c r="BA254" s="146"/>
      <c r="BB254" s="145"/>
    </row>
    <row r="255" spans="1:54" ht="14.1" customHeight="1">
      <c r="A255" s="145">
        <v>255</v>
      </c>
      <c r="B255" s="160"/>
      <c r="C255" s="157" t="s">
        <v>236</v>
      </c>
      <c r="D255" s="144"/>
      <c r="E255" s="141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1"/>
      <c r="AV255" s="149"/>
      <c r="AW255" s="149"/>
      <c r="AX255" s="145"/>
      <c r="AY255" s="149"/>
      <c r="AZ255" s="146"/>
      <c r="BA255" s="146"/>
      <c r="BB255" s="145"/>
    </row>
    <row r="256" spans="1:54" ht="14.1" customHeight="1">
      <c r="A256" s="145">
        <v>256</v>
      </c>
      <c r="B256" s="185">
        <v>350</v>
      </c>
      <c r="C256" s="144" t="s">
        <v>88</v>
      </c>
      <c r="D256" s="144"/>
      <c r="E256" s="141"/>
      <c r="F256" s="150">
        <v>911000</v>
      </c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66">
        <f>ROUND(F256/$F$264*550000,-3)</f>
        <v>15000</v>
      </c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66">
        <f>ROUND(F256/$F$264*1129000,-3)</f>
        <v>30000</v>
      </c>
      <c r="AN256" s="166">
        <f>ROUND(F256/$F$264*0,-3)</f>
        <v>0</v>
      </c>
      <c r="AO256" s="166">
        <f>ROUND(F256/$F$264*1507000,-3)</f>
        <v>40000</v>
      </c>
      <c r="AP256" s="166"/>
      <c r="AQ256" s="166"/>
      <c r="AR256" s="166"/>
      <c r="AS256" s="166">
        <f>ROUND(F256/$F$264*753000,-3)</f>
        <v>20000</v>
      </c>
      <c r="AT256" s="166">
        <f>ROUND(F256/$F$264*0,-3)</f>
        <v>0</v>
      </c>
      <c r="AU256" s="141"/>
      <c r="AV256" s="149">
        <f t="shared" ref="AV256:AV263" si="207">SUM(G256:AT256)</f>
        <v>105000</v>
      </c>
      <c r="AW256" s="149">
        <f t="shared" ref="AW256:AW263" si="208">F256+AV256</f>
        <v>1016000</v>
      </c>
      <c r="AX256" s="145"/>
      <c r="AY256" s="149">
        <f t="shared" ref="AY256:AY263" si="209">ROUND(AW256/1000,0)*1000</f>
        <v>1016000</v>
      </c>
      <c r="AZ256" s="146"/>
      <c r="BA256" s="146"/>
      <c r="BB256" s="145"/>
    </row>
    <row r="257" spans="1:54" ht="14.1" customHeight="1">
      <c r="A257" s="145">
        <v>257</v>
      </c>
      <c r="B257" s="185">
        <v>351</v>
      </c>
      <c r="C257" s="144" t="s">
        <v>89</v>
      </c>
      <c r="D257" s="144"/>
      <c r="E257" s="141"/>
      <c r="F257" s="150">
        <v>1926000</v>
      </c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66">
        <f t="shared" ref="X257:X263" si="210">ROUND(F257/$F$264*550000,-3)</f>
        <v>31000</v>
      </c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66">
        <f t="shared" ref="AM257:AM263" si="211">ROUND(F257/$F$264*1129000,-3)</f>
        <v>63000</v>
      </c>
      <c r="AN257" s="166">
        <f t="shared" ref="AN257:AN263" si="212">ROUND(F257/$F$264*0,-3)</f>
        <v>0</v>
      </c>
      <c r="AO257" s="166">
        <f t="shared" ref="AO257:AO263" si="213">ROUND(F257/$F$264*1507000,-3)</f>
        <v>84000</v>
      </c>
      <c r="AP257" s="166"/>
      <c r="AQ257" s="166"/>
      <c r="AR257" s="166"/>
      <c r="AS257" s="166">
        <f t="shared" ref="AS257:AS263" si="214">ROUND(F257/$F$264*753000,-3)</f>
        <v>42000</v>
      </c>
      <c r="AT257" s="166">
        <f t="shared" ref="AT257:AT263" si="215">ROUND(F257/$F$264*0,-3)</f>
        <v>0</v>
      </c>
      <c r="AU257" s="141"/>
      <c r="AV257" s="149">
        <f t="shared" si="207"/>
        <v>220000</v>
      </c>
      <c r="AW257" s="149">
        <f t="shared" si="208"/>
        <v>2146000</v>
      </c>
      <c r="AX257" s="145"/>
      <c r="AY257" s="149">
        <f t="shared" si="209"/>
        <v>2146000</v>
      </c>
      <c r="AZ257" s="146"/>
      <c r="BA257" s="146"/>
      <c r="BB257" s="145"/>
    </row>
    <row r="258" spans="1:54" ht="14.1" customHeight="1">
      <c r="A258" s="145">
        <v>258</v>
      </c>
      <c r="B258" s="185">
        <v>352</v>
      </c>
      <c r="C258" s="144" t="s">
        <v>237</v>
      </c>
      <c r="D258" s="144"/>
      <c r="E258" s="141"/>
      <c r="F258" s="150">
        <v>16041000</v>
      </c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66">
        <f t="shared" si="210"/>
        <v>256000</v>
      </c>
      <c r="Y258" s="150"/>
      <c r="Z258" s="150"/>
      <c r="AA258" s="150"/>
      <c r="AB258" s="150"/>
      <c r="AC258" s="142"/>
      <c r="AD258" s="142"/>
      <c r="AE258" s="142"/>
      <c r="AF258" s="142"/>
      <c r="AG258" s="142"/>
      <c r="AH258" s="142"/>
      <c r="AI258" s="150"/>
      <c r="AJ258" s="150"/>
      <c r="AK258" s="150"/>
      <c r="AM258" s="166">
        <f>ROUND(F258/$F$264*1129000,-3)+1000</f>
        <v>526000</v>
      </c>
      <c r="AN258" s="166">
        <f t="shared" si="212"/>
        <v>0</v>
      </c>
      <c r="AO258" s="166">
        <f t="shared" si="213"/>
        <v>701000</v>
      </c>
      <c r="AP258" s="166"/>
      <c r="AQ258" s="166"/>
      <c r="AR258" s="166"/>
      <c r="AS258" s="166">
        <f t="shared" si="214"/>
        <v>350000</v>
      </c>
      <c r="AT258" s="166">
        <f t="shared" si="215"/>
        <v>0</v>
      </c>
      <c r="AU258" s="141"/>
      <c r="AV258" s="149">
        <f t="shared" si="207"/>
        <v>1833000</v>
      </c>
      <c r="AW258" s="149">
        <f t="shared" si="208"/>
        <v>17874000</v>
      </c>
      <c r="AX258" s="145"/>
      <c r="AY258" s="149">
        <f>ROUND(AW258/1000,0)*1000</f>
        <v>17874000</v>
      </c>
      <c r="AZ258" s="146"/>
      <c r="BA258" s="146"/>
      <c r="BB258" s="145"/>
    </row>
    <row r="259" spans="1:54" ht="14.1" customHeight="1">
      <c r="A259" s="145">
        <v>259</v>
      </c>
      <c r="B259" s="185">
        <v>353</v>
      </c>
      <c r="C259" s="144" t="s">
        <v>238</v>
      </c>
      <c r="D259" s="144"/>
      <c r="E259" s="141"/>
      <c r="F259" s="150">
        <v>1409000</v>
      </c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66">
        <f t="shared" si="210"/>
        <v>22000</v>
      </c>
      <c r="Y259" s="150"/>
      <c r="Z259" s="150"/>
      <c r="AA259" s="150"/>
      <c r="AB259" s="150"/>
      <c r="AC259" s="142"/>
      <c r="AD259" s="142"/>
      <c r="AE259" s="142"/>
      <c r="AF259" s="142"/>
      <c r="AG259" s="142"/>
      <c r="AH259" s="142"/>
      <c r="AI259" s="150"/>
      <c r="AJ259" s="150"/>
      <c r="AK259" s="150"/>
      <c r="AL259" s="142"/>
      <c r="AM259" s="166">
        <f t="shared" si="211"/>
        <v>46000</v>
      </c>
      <c r="AN259" s="166">
        <f t="shared" si="212"/>
        <v>0</v>
      </c>
      <c r="AO259" s="166">
        <f t="shared" si="213"/>
        <v>62000</v>
      </c>
      <c r="AP259" s="166"/>
      <c r="AQ259" s="166"/>
      <c r="AR259" s="166"/>
      <c r="AS259" s="166">
        <f t="shared" si="214"/>
        <v>31000</v>
      </c>
      <c r="AT259" s="166">
        <f t="shared" si="215"/>
        <v>0</v>
      </c>
      <c r="AU259" s="141"/>
      <c r="AV259" s="149">
        <f t="shared" si="207"/>
        <v>161000</v>
      </c>
      <c r="AW259" s="149">
        <f t="shared" si="208"/>
        <v>1570000</v>
      </c>
      <c r="AX259" s="145"/>
      <c r="AY259" s="149">
        <f t="shared" si="209"/>
        <v>1570000</v>
      </c>
      <c r="AZ259" s="146"/>
      <c r="BA259" s="146"/>
      <c r="BB259" s="145"/>
    </row>
    <row r="260" spans="1:54" ht="14.1" customHeight="1">
      <c r="A260" s="145">
        <v>260</v>
      </c>
      <c r="B260" s="185">
        <v>354</v>
      </c>
      <c r="C260" s="144" t="s">
        <v>239</v>
      </c>
      <c r="D260" s="144"/>
      <c r="E260" s="141"/>
      <c r="F260" s="150">
        <v>10493000</v>
      </c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66">
        <f t="shared" si="210"/>
        <v>167000</v>
      </c>
      <c r="Y260" s="150"/>
      <c r="Z260" s="150"/>
      <c r="AA260" s="150"/>
      <c r="AB260" s="150"/>
      <c r="AC260" s="142"/>
      <c r="AD260" s="142"/>
      <c r="AE260" s="142"/>
      <c r="AF260" s="142"/>
      <c r="AG260" s="142"/>
      <c r="AH260" s="142"/>
      <c r="AI260" s="150"/>
      <c r="AJ260" s="150"/>
      <c r="AK260" s="150"/>
      <c r="AL260" s="142"/>
      <c r="AM260" s="166">
        <f t="shared" si="211"/>
        <v>343000</v>
      </c>
      <c r="AN260" s="166">
        <f t="shared" si="212"/>
        <v>0</v>
      </c>
      <c r="AO260" s="166">
        <f t="shared" si="213"/>
        <v>458000</v>
      </c>
      <c r="AP260" s="166"/>
      <c r="AQ260" s="166"/>
      <c r="AR260" s="166"/>
      <c r="AS260" s="166">
        <f t="shared" si="214"/>
        <v>229000</v>
      </c>
      <c r="AT260" s="166">
        <f t="shared" si="215"/>
        <v>0</v>
      </c>
      <c r="AU260" s="141"/>
      <c r="AV260" s="149">
        <f t="shared" si="207"/>
        <v>1197000</v>
      </c>
      <c r="AW260" s="149">
        <f t="shared" si="208"/>
        <v>11690000</v>
      </c>
      <c r="AX260" s="145"/>
      <c r="AY260" s="149">
        <f t="shared" si="209"/>
        <v>11690000</v>
      </c>
      <c r="AZ260" s="146"/>
      <c r="BA260" s="146"/>
      <c r="BB260" s="145"/>
    </row>
    <row r="261" spans="1:54" ht="14.1" customHeight="1">
      <c r="A261" s="145">
        <v>261</v>
      </c>
      <c r="B261" s="185">
        <v>355</v>
      </c>
      <c r="C261" s="144" t="s">
        <v>240</v>
      </c>
      <c r="D261" s="144"/>
      <c r="E261" s="141"/>
      <c r="F261" s="150">
        <v>1326000</v>
      </c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66">
        <f t="shared" si="210"/>
        <v>21000</v>
      </c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66">
        <f t="shared" si="211"/>
        <v>43000</v>
      </c>
      <c r="AN261" s="166">
        <f t="shared" si="212"/>
        <v>0</v>
      </c>
      <c r="AO261" s="166">
        <f t="shared" si="213"/>
        <v>58000</v>
      </c>
      <c r="AP261" s="166"/>
      <c r="AQ261" s="166"/>
      <c r="AR261" s="166"/>
      <c r="AS261" s="166">
        <f t="shared" si="214"/>
        <v>29000</v>
      </c>
      <c r="AT261" s="166">
        <f t="shared" si="215"/>
        <v>0</v>
      </c>
      <c r="AU261" s="141"/>
      <c r="AV261" s="149">
        <f t="shared" si="207"/>
        <v>151000</v>
      </c>
      <c r="AW261" s="149">
        <f t="shared" si="208"/>
        <v>1477000</v>
      </c>
      <c r="AX261" s="145"/>
      <c r="AY261" s="149">
        <f t="shared" si="209"/>
        <v>1477000</v>
      </c>
      <c r="AZ261" s="146"/>
      <c r="BA261" s="146"/>
      <c r="BB261" s="145"/>
    </row>
    <row r="262" spans="1:54" ht="14.1" customHeight="1">
      <c r="A262" s="145">
        <v>262</v>
      </c>
      <c r="B262" s="185">
        <v>356</v>
      </c>
      <c r="C262" s="144" t="s">
        <v>241</v>
      </c>
      <c r="D262" s="144"/>
      <c r="E262" s="141"/>
      <c r="F262" s="150">
        <v>373000</v>
      </c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66">
        <f t="shared" si="210"/>
        <v>6000</v>
      </c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66">
        <f t="shared" si="211"/>
        <v>12000</v>
      </c>
      <c r="AN262" s="166">
        <f t="shared" si="212"/>
        <v>0</v>
      </c>
      <c r="AO262" s="166">
        <f t="shared" si="213"/>
        <v>16000</v>
      </c>
      <c r="AP262" s="166"/>
      <c r="AQ262" s="166"/>
      <c r="AR262" s="166"/>
      <c r="AS262" s="166">
        <f t="shared" si="214"/>
        <v>8000</v>
      </c>
      <c r="AT262" s="166">
        <f t="shared" si="215"/>
        <v>0</v>
      </c>
      <c r="AU262" s="141"/>
      <c r="AV262" s="149">
        <f t="shared" si="207"/>
        <v>42000</v>
      </c>
      <c r="AW262" s="149">
        <f t="shared" si="208"/>
        <v>415000</v>
      </c>
      <c r="AX262" s="145"/>
      <c r="AY262" s="149">
        <f t="shared" si="209"/>
        <v>415000</v>
      </c>
      <c r="AZ262" s="146"/>
      <c r="BA262" s="146"/>
      <c r="BB262" s="145"/>
    </row>
    <row r="263" spans="1:54" ht="14.1" customHeight="1">
      <c r="A263" s="145">
        <v>263</v>
      </c>
      <c r="B263" s="185">
        <v>357</v>
      </c>
      <c r="C263" s="144" t="s">
        <v>242</v>
      </c>
      <c r="D263" s="144"/>
      <c r="E263" s="141"/>
      <c r="F263" s="150">
        <v>2020000</v>
      </c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66">
        <f t="shared" si="210"/>
        <v>32000</v>
      </c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66"/>
      <c r="AM263" s="166">
        <f t="shared" si="211"/>
        <v>66000</v>
      </c>
      <c r="AN263" s="166">
        <f t="shared" si="212"/>
        <v>0</v>
      </c>
      <c r="AO263" s="166">
        <f t="shared" si="213"/>
        <v>88000</v>
      </c>
      <c r="AP263" s="166"/>
      <c r="AQ263" s="166"/>
      <c r="AR263" s="166"/>
      <c r="AS263" s="166">
        <f t="shared" si="214"/>
        <v>44000</v>
      </c>
      <c r="AT263" s="166">
        <f t="shared" si="215"/>
        <v>0</v>
      </c>
      <c r="AU263" s="141"/>
      <c r="AV263" s="149">
        <f t="shared" si="207"/>
        <v>230000</v>
      </c>
      <c r="AW263" s="149">
        <f t="shared" si="208"/>
        <v>2250000</v>
      </c>
      <c r="AX263" s="145"/>
      <c r="AY263" s="149">
        <f t="shared" si="209"/>
        <v>2250000</v>
      </c>
      <c r="AZ263" s="146"/>
      <c r="BA263" s="146"/>
      <c r="BB263" s="145"/>
    </row>
    <row r="264" spans="1:54" s="154" customFormat="1" ht="14.1" customHeight="1">
      <c r="A264" s="145">
        <v>264</v>
      </c>
      <c r="B264" s="157"/>
      <c r="C264" s="157" t="s">
        <v>243</v>
      </c>
      <c r="D264" s="157"/>
      <c r="E264" s="156"/>
      <c r="F264" s="159">
        <f t="shared" ref="F264:AK264" si="216">SUM(F256:F263)</f>
        <v>34499000</v>
      </c>
      <c r="G264" s="159">
        <f t="shared" si="216"/>
        <v>0</v>
      </c>
      <c r="H264" s="159">
        <f t="shared" si="216"/>
        <v>0</v>
      </c>
      <c r="I264" s="159">
        <f t="shared" si="216"/>
        <v>0</v>
      </c>
      <c r="J264" s="159">
        <f>SUM(J256:J263)</f>
        <v>0</v>
      </c>
      <c r="K264" s="159">
        <f>SUM(K256:K263)</f>
        <v>0</v>
      </c>
      <c r="L264" s="159">
        <f t="shared" si="216"/>
        <v>0</v>
      </c>
      <c r="M264" s="159">
        <f t="shared" si="216"/>
        <v>0</v>
      </c>
      <c r="N264" s="159">
        <f t="shared" si="216"/>
        <v>0</v>
      </c>
      <c r="O264" s="159">
        <f t="shared" si="216"/>
        <v>0</v>
      </c>
      <c r="P264" s="159">
        <f>SUM(P256:P263)</f>
        <v>0</v>
      </c>
      <c r="Q264" s="159">
        <f>SUM(Q256:Q263)</f>
        <v>0</v>
      </c>
      <c r="R264" s="159">
        <f>SUM(R256:R263)</f>
        <v>0</v>
      </c>
      <c r="S264" s="159">
        <f>SUM(S256:S263)</f>
        <v>0</v>
      </c>
      <c r="T264" s="159">
        <f>SUM(T256:T263)</f>
        <v>0</v>
      </c>
      <c r="U264" s="159">
        <f t="shared" si="216"/>
        <v>0</v>
      </c>
      <c r="V264" s="159">
        <f t="shared" ref="V264:AB264" si="217">SUM(V256:V263)</f>
        <v>0</v>
      </c>
      <c r="W264" s="159">
        <f t="shared" si="217"/>
        <v>0</v>
      </c>
      <c r="X264" s="159">
        <f t="shared" si="217"/>
        <v>550000</v>
      </c>
      <c r="Y264" s="159">
        <f t="shared" si="217"/>
        <v>0</v>
      </c>
      <c r="Z264" s="159">
        <f t="shared" si="217"/>
        <v>0</v>
      </c>
      <c r="AA264" s="159">
        <f t="shared" si="217"/>
        <v>0</v>
      </c>
      <c r="AB264" s="159">
        <f t="shared" si="217"/>
        <v>0</v>
      </c>
      <c r="AC264" s="159">
        <f t="shared" si="216"/>
        <v>0</v>
      </c>
      <c r="AD264" s="159">
        <f t="shared" si="216"/>
        <v>0</v>
      </c>
      <c r="AE264" s="159">
        <f t="shared" si="216"/>
        <v>0</v>
      </c>
      <c r="AF264" s="159">
        <f t="shared" si="216"/>
        <v>0</v>
      </c>
      <c r="AG264" s="159">
        <f t="shared" si="216"/>
        <v>0</v>
      </c>
      <c r="AH264" s="159">
        <f t="shared" si="216"/>
        <v>0</v>
      </c>
      <c r="AI264" s="159">
        <f>SUM(AI256:AI263)</f>
        <v>0</v>
      </c>
      <c r="AJ264" s="159">
        <f>SUM(AJ256:AJ263)</f>
        <v>0</v>
      </c>
      <c r="AK264" s="159">
        <f t="shared" si="216"/>
        <v>0</v>
      </c>
      <c r="AL264" s="159">
        <f t="shared" ref="AL264:AT264" si="218">SUM(AL256:AL263)</f>
        <v>0</v>
      </c>
      <c r="AM264" s="159">
        <f t="shared" si="218"/>
        <v>1129000</v>
      </c>
      <c r="AN264" s="159">
        <f t="shared" si="218"/>
        <v>0</v>
      </c>
      <c r="AO264" s="159">
        <f t="shared" si="218"/>
        <v>1507000</v>
      </c>
      <c r="AP264" s="159">
        <f t="shared" si="218"/>
        <v>0</v>
      </c>
      <c r="AQ264" s="159">
        <f t="shared" si="218"/>
        <v>0</v>
      </c>
      <c r="AR264" s="159">
        <f t="shared" si="218"/>
        <v>0</v>
      </c>
      <c r="AS264" s="159">
        <f t="shared" si="218"/>
        <v>753000</v>
      </c>
      <c r="AT264" s="159">
        <f t="shared" si="218"/>
        <v>0</v>
      </c>
      <c r="AU264" s="158"/>
      <c r="AV264" s="158">
        <f>SUM(AV256:AV263)</f>
        <v>3939000</v>
      </c>
      <c r="AW264" s="158">
        <f>SUM(AW256:AW263)</f>
        <v>38438000</v>
      </c>
      <c r="AX264" s="152" t="str">
        <f>IF(ROUND(SUM(F264:AT264),0)=ROUND(AW264,0),"ok","crossfoot error")</f>
        <v>ok</v>
      </c>
      <c r="AY264" s="158">
        <f>SUM(AY256:AY263)/1000</f>
        <v>38438</v>
      </c>
      <c r="AZ264" s="147">
        <v>38438.699999999997</v>
      </c>
      <c r="BA264" s="146">
        <f>AY264-AZ264</f>
        <v>-0.69999999999708962</v>
      </c>
      <c r="BB264" s="152"/>
    </row>
    <row r="265" spans="1:54" ht="14.1" customHeight="1">
      <c r="A265" s="145">
        <v>265</v>
      </c>
      <c r="B265" s="144"/>
      <c r="C265" s="144"/>
      <c r="D265" s="144"/>
      <c r="E265" s="141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1"/>
      <c r="AV265" s="149"/>
      <c r="AW265" s="149"/>
      <c r="AX265" s="145"/>
      <c r="AY265" s="149"/>
      <c r="AZ265" s="146"/>
      <c r="BA265" s="146"/>
      <c r="BB265" s="145"/>
    </row>
    <row r="266" spans="1:54" ht="14.1" customHeight="1">
      <c r="A266" s="145">
        <v>266</v>
      </c>
      <c r="B266" s="144"/>
      <c r="C266" s="157" t="s">
        <v>90</v>
      </c>
      <c r="D266" s="144"/>
      <c r="E266" s="141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1"/>
      <c r="AV266" s="149"/>
      <c r="AW266" s="149"/>
      <c r="AX266" s="145"/>
      <c r="AY266" s="149"/>
      <c r="AZ266" s="146"/>
      <c r="BA266" s="146"/>
      <c r="BB266" s="145"/>
    </row>
    <row r="267" spans="1:54" ht="14.1" customHeight="1">
      <c r="A267" s="145">
        <v>267</v>
      </c>
      <c r="B267" s="143">
        <v>374</v>
      </c>
      <c r="C267" s="144" t="s">
        <v>88</v>
      </c>
      <c r="D267" s="144"/>
      <c r="E267" s="141"/>
      <c r="F267" s="150">
        <v>574000</v>
      </c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66">
        <f>ROUND(F267/$F$280*21260000,-3)</f>
        <v>19000</v>
      </c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66"/>
      <c r="AM267" s="166">
        <f>ROUND(F267/$F$280*21680000,-3)</f>
        <v>19000</v>
      </c>
      <c r="AN267" s="166">
        <f>ROUND(F267/$F$280*0,-3)</f>
        <v>0</v>
      </c>
      <c r="AO267" s="166">
        <f>ROUND(F267/$F$280*36106000,-3)</f>
        <v>32000</v>
      </c>
      <c r="AP267" s="166"/>
      <c r="AQ267" s="166"/>
      <c r="AR267" s="166"/>
      <c r="AS267" s="166">
        <f>ROUND(F267/$F$280*14747000,-3)</f>
        <v>13000</v>
      </c>
      <c r="AT267" s="166">
        <f>ROUND(F267/$F$280*0,-3)</f>
        <v>0</v>
      </c>
      <c r="AU267" s="141"/>
      <c r="AV267" s="149">
        <f t="shared" ref="AV267:AV279" si="219">SUM(G267:AT267)</f>
        <v>83000</v>
      </c>
      <c r="AW267" s="149">
        <f t="shared" ref="AW267:AW279" si="220">F267+AV267</f>
        <v>657000</v>
      </c>
      <c r="AX267" s="145"/>
      <c r="AY267" s="149">
        <f t="shared" ref="AY267:AY279" si="221">ROUND(AW267/1000,0)*1000</f>
        <v>657000</v>
      </c>
      <c r="AZ267" s="146"/>
      <c r="BA267" s="146"/>
      <c r="BB267" s="145"/>
    </row>
    <row r="268" spans="1:54" ht="14.1" customHeight="1">
      <c r="A268" s="145">
        <v>268</v>
      </c>
      <c r="B268" s="143">
        <v>375</v>
      </c>
      <c r="C268" s="144" t="s">
        <v>89</v>
      </c>
      <c r="D268" s="144"/>
      <c r="E268" s="150"/>
      <c r="F268" s="150">
        <v>931000</v>
      </c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66">
        <f t="shared" ref="X268:X279" si="222">ROUND(F268/$F$280*21260000,-3)</f>
        <v>30000</v>
      </c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M268" s="166">
        <f t="shared" ref="AM268:AM279" si="223">ROUND(F268/$F$280*21680000,-3)</f>
        <v>31000</v>
      </c>
      <c r="AN268" s="166">
        <f t="shared" ref="AN268:AN279" si="224">ROUND(F268/$F$280*0,-3)</f>
        <v>0</v>
      </c>
      <c r="AO268" s="166">
        <f t="shared" ref="AO268:AO279" si="225">ROUND(F268/$F$280*36106000,-3)</f>
        <v>52000</v>
      </c>
      <c r="AP268" s="166"/>
      <c r="AQ268" s="166"/>
      <c r="AR268" s="166"/>
      <c r="AS268" s="166">
        <f t="shared" ref="AS268:AS279" si="226">ROUND(F268/$F$280*14747000,-3)</f>
        <v>21000</v>
      </c>
      <c r="AT268" s="166">
        <f t="shared" ref="AT268:AT279" si="227">ROUND(F268/$F$280*0,-3)</f>
        <v>0</v>
      </c>
      <c r="AU268" s="141"/>
      <c r="AV268" s="149">
        <f t="shared" si="219"/>
        <v>134000</v>
      </c>
      <c r="AW268" s="149">
        <f t="shared" si="220"/>
        <v>1065000</v>
      </c>
      <c r="AX268" s="145"/>
      <c r="AY268" s="149">
        <f>ROUND(AW268/1000,0)*1000</f>
        <v>1065000</v>
      </c>
      <c r="AZ268" s="146"/>
      <c r="BA268" s="146"/>
      <c r="BB268" s="145"/>
    </row>
    <row r="269" spans="1:54" ht="14.1" customHeight="1">
      <c r="A269" s="145">
        <v>269</v>
      </c>
      <c r="B269" s="143" t="s">
        <v>988</v>
      </c>
      <c r="C269" s="144" t="s">
        <v>244</v>
      </c>
      <c r="D269" s="144"/>
      <c r="E269" s="370">
        <v>1</v>
      </c>
      <c r="F269" s="166">
        <v>320529000</v>
      </c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66">
        <f>ROUND(F269/$F$280*21260000,-3)+1000</f>
        <v>10476000</v>
      </c>
      <c r="Y269" s="150"/>
      <c r="Z269" s="150"/>
      <c r="AA269" s="150"/>
      <c r="AB269" s="150"/>
      <c r="AC269" s="142"/>
      <c r="AD269" s="142"/>
      <c r="AE269" s="142"/>
      <c r="AF269" s="142"/>
      <c r="AG269" s="142"/>
      <c r="AH269" s="142"/>
      <c r="AI269" s="150"/>
      <c r="AJ269" s="150"/>
      <c r="AK269" s="150"/>
      <c r="AL269" s="166"/>
      <c r="AM269" s="166">
        <f t="shared" si="223"/>
        <v>10682000</v>
      </c>
      <c r="AN269" s="166">
        <f t="shared" si="224"/>
        <v>0</v>
      </c>
      <c r="AO269" s="166">
        <f>ROUND(F269/$F$280*36106000,-3)+1000</f>
        <v>17791000</v>
      </c>
      <c r="AP269" s="166"/>
      <c r="AQ269" s="166"/>
      <c r="AR269" s="166"/>
      <c r="AS269" s="166">
        <f>ROUND(F269/$F$280*14747000,-3)+1000</f>
        <v>7267000</v>
      </c>
      <c r="AT269" s="166">
        <f t="shared" si="227"/>
        <v>0</v>
      </c>
      <c r="AU269" s="141"/>
      <c r="AV269" s="149">
        <f t="shared" si="219"/>
        <v>46216000</v>
      </c>
      <c r="AW269" s="149">
        <f t="shared" si="220"/>
        <v>366745000</v>
      </c>
      <c r="AX269" s="145"/>
      <c r="AY269" s="149">
        <f t="shared" si="221"/>
        <v>366745000</v>
      </c>
      <c r="AZ269" s="146"/>
      <c r="BA269" s="146"/>
      <c r="BB269" s="145"/>
    </row>
    <row r="270" spans="1:54" ht="14.1" customHeight="1">
      <c r="A270" s="145">
        <v>270</v>
      </c>
      <c r="B270" s="143">
        <v>376</v>
      </c>
      <c r="C270" s="144" t="s">
        <v>244</v>
      </c>
      <c r="D270" s="144"/>
      <c r="E270" s="184">
        <f>1-E269</f>
        <v>0</v>
      </c>
      <c r="F270" s="142">
        <f>ROUND($E$268*E270,-3)</f>
        <v>0</v>
      </c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66">
        <f t="shared" si="222"/>
        <v>0</v>
      </c>
      <c r="Y270" s="150"/>
      <c r="Z270" s="150"/>
      <c r="AA270" s="150"/>
      <c r="AB270" s="150"/>
      <c r="AC270" s="142"/>
      <c r="AD270" s="142"/>
      <c r="AE270" s="142"/>
      <c r="AF270" s="142"/>
      <c r="AG270" s="142"/>
      <c r="AH270" s="142"/>
      <c r="AI270" s="150"/>
      <c r="AJ270" s="150"/>
      <c r="AK270" s="150"/>
      <c r="AL270" s="166"/>
      <c r="AM270" s="166">
        <f t="shared" si="223"/>
        <v>0</v>
      </c>
      <c r="AN270" s="166">
        <f t="shared" si="224"/>
        <v>0</v>
      </c>
      <c r="AO270" s="166">
        <f t="shared" si="225"/>
        <v>0</v>
      </c>
      <c r="AP270" s="166"/>
      <c r="AQ270" s="166"/>
      <c r="AR270" s="166"/>
      <c r="AS270" s="166">
        <f t="shared" si="226"/>
        <v>0</v>
      </c>
      <c r="AT270" s="166">
        <f t="shared" si="227"/>
        <v>0</v>
      </c>
      <c r="AU270" s="141"/>
      <c r="AV270" s="149">
        <f t="shared" si="219"/>
        <v>0</v>
      </c>
      <c r="AW270" s="149">
        <f t="shared" si="220"/>
        <v>0</v>
      </c>
      <c r="AX270" s="145"/>
      <c r="AY270" s="149">
        <f t="shared" si="221"/>
        <v>0</v>
      </c>
      <c r="AZ270" s="146"/>
      <c r="BA270" s="146"/>
      <c r="BB270" s="145"/>
    </row>
    <row r="271" spans="1:54" ht="14.1" customHeight="1">
      <c r="A271" s="145">
        <v>271</v>
      </c>
      <c r="B271" s="143">
        <v>378</v>
      </c>
      <c r="C271" s="144" t="s">
        <v>245</v>
      </c>
      <c r="D271" s="144"/>
      <c r="E271" s="141"/>
      <c r="F271" s="150">
        <v>4781000</v>
      </c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66">
        <f t="shared" si="222"/>
        <v>156000</v>
      </c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66"/>
      <c r="AJ271" s="166"/>
      <c r="AK271" s="166"/>
      <c r="AL271" s="166"/>
      <c r="AM271" s="166">
        <f t="shared" si="223"/>
        <v>159000</v>
      </c>
      <c r="AN271" s="166">
        <f t="shared" si="224"/>
        <v>0</v>
      </c>
      <c r="AO271" s="166">
        <f t="shared" si="225"/>
        <v>265000</v>
      </c>
      <c r="AP271" s="166"/>
      <c r="AQ271" s="166"/>
      <c r="AR271" s="166"/>
      <c r="AS271" s="166">
        <f t="shared" si="226"/>
        <v>108000</v>
      </c>
      <c r="AT271" s="166">
        <f t="shared" si="227"/>
        <v>0</v>
      </c>
      <c r="AU271" s="141"/>
      <c r="AV271" s="149">
        <f t="shared" si="219"/>
        <v>688000</v>
      </c>
      <c r="AW271" s="149">
        <f t="shared" si="220"/>
        <v>5469000</v>
      </c>
      <c r="AX271" s="145"/>
      <c r="AY271" s="149">
        <f t="shared" si="221"/>
        <v>5469000</v>
      </c>
      <c r="AZ271" s="146"/>
      <c r="BA271" s="146"/>
      <c r="BB271" s="145"/>
    </row>
    <row r="272" spans="1:54" ht="14.1" customHeight="1">
      <c r="A272" s="145">
        <v>272</v>
      </c>
      <c r="B272" s="143">
        <v>379</v>
      </c>
      <c r="C272" s="144" t="s">
        <v>246</v>
      </c>
      <c r="D272" s="144"/>
      <c r="E272" s="141"/>
      <c r="F272" s="150">
        <v>1945000</v>
      </c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66">
        <f t="shared" si="222"/>
        <v>64000</v>
      </c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66"/>
      <c r="AM272" s="166">
        <f t="shared" si="223"/>
        <v>65000</v>
      </c>
      <c r="AN272" s="166">
        <f t="shared" si="224"/>
        <v>0</v>
      </c>
      <c r="AO272" s="166">
        <f t="shared" si="225"/>
        <v>108000</v>
      </c>
      <c r="AP272" s="166"/>
      <c r="AQ272" s="166"/>
      <c r="AR272" s="166"/>
      <c r="AS272" s="166">
        <f t="shared" si="226"/>
        <v>44000</v>
      </c>
      <c r="AT272" s="166">
        <f t="shared" si="227"/>
        <v>0</v>
      </c>
      <c r="AU272" s="141"/>
      <c r="AV272" s="149">
        <f t="shared" si="219"/>
        <v>281000</v>
      </c>
      <c r="AW272" s="149">
        <f t="shared" si="220"/>
        <v>2226000</v>
      </c>
      <c r="AX272" s="145"/>
      <c r="AY272" s="149">
        <f t="shared" si="221"/>
        <v>2226000</v>
      </c>
      <c r="AZ272" s="146"/>
      <c r="BA272" s="146"/>
      <c r="BB272" s="145"/>
    </row>
    <row r="273" spans="1:54" ht="14.1" customHeight="1">
      <c r="A273" s="145">
        <v>273</v>
      </c>
      <c r="B273" s="143">
        <v>380</v>
      </c>
      <c r="C273" s="144" t="s">
        <v>91</v>
      </c>
      <c r="D273" s="144"/>
      <c r="E273" s="141"/>
      <c r="F273" s="150">
        <v>232926000</v>
      </c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66">
        <f t="shared" si="222"/>
        <v>7612000</v>
      </c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66"/>
      <c r="AM273" s="166">
        <f t="shared" si="223"/>
        <v>7763000</v>
      </c>
      <c r="AN273" s="166">
        <f t="shared" si="224"/>
        <v>0</v>
      </c>
      <c r="AO273" s="166">
        <f t="shared" si="225"/>
        <v>12928000</v>
      </c>
      <c r="AP273" s="166"/>
      <c r="AQ273" s="166"/>
      <c r="AR273" s="166"/>
      <c r="AS273" s="166">
        <f t="shared" si="226"/>
        <v>5280000</v>
      </c>
      <c r="AT273" s="166">
        <f t="shared" si="227"/>
        <v>0</v>
      </c>
      <c r="AU273" s="141"/>
      <c r="AV273" s="149">
        <f t="shared" si="219"/>
        <v>33583000</v>
      </c>
      <c r="AW273" s="149">
        <f t="shared" si="220"/>
        <v>266509000</v>
      </c>
      <c r="AX273" s="145"/>
      <c r="AY273" s="149">
        <f t="shared" si="221"/>
        <v>266509000</v>
      </c>
      <c r="AZ273" s="146"/>
      <c r="BA273" s="146"/>
      <c r="BB273" s="145"/>
    </row>
    <row r="274" spans="1:54" ht="14.1" customHeight="1">
      <c r="A274" s="145">
        <v>274</v>
      </c>
      <c r="B274" s="143">
        <v>381</v>
      </c>
      <c r="C274" s="144" t="s">
        <v>8</v>
      </c>
      <c r="D274" s="144"/>
      <c r="E274" s="141"/>
      <c r="F274" s="150">
        <v>85804000</v>
      </c>
      <c r="G274" s="142"/>
      <c r="H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66">
        <f t="shared" si="222"/>
        <v>2804000</v>
      </c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66"/>
      <c r="AM274" s="166">
        <f t="shared" si="223"/>
        <v>2860000</v>
      </c>
      <c r="AN274" s="166">
        <f t="shared" si="224"/>
        <v>0</v>
      </c>
      <c r="AO274" s="166">
        <f t="shared" si="225"/>
        <v>4762000</v>
      </c>
      <c r="AP274" s="166"/>
      <c r="AQ274" s="166"/>
      <c r="AR274" s="166"/>
      <c r="AS274" s="166">
        <f t="shared" si="226"/>
        <v>1945000</v>
      </c>
      <c r="AT274" s="166">
        <f t="shared" si="227"/>
        <v>0</v>
      </c>
      <c r="AU274" s="141"/>
      <c r="AV274" s="149">
        <f t="shared" si="219"/>
        <v>12371000</v>
      </c>
      <c r="AW274" s="149">
        <f t="shared" si="220"/>
        <v>98175000</v>
      </c>
      <c r="AX274" s="145"/>
      <c r="AY274" s="149">
        <f t="shared" si="221"/>
        <v>98175000</v>
      </c>
      <c r="AZ274" s="146"/>
      <c r="BA274" s="146"/>
      <c r="BB274" s="145"/>
    </row>
    <row r="275" spans="1:54" ht="14.1" customHeight="1">
      <c r="A275" s="145">
        <v>275</v>
      </c>
      <c r="B275" s="143">
        <v>382</v>
      </c>
      <c r="C275" s="144" t="s">
        <v>247</v>
      </c>
      <c r="D275" s="144"/>
      <c r="E275" s="141"/>
      <c r="F275" s="150">
        <v>0</v>
      </c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66">
        <f t="shared" si="222"/>
        <v>0</v>
      </c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66"/>
      <c r="AM275" s="166">
        <f t="shared" si="223"/>
        <v>0</v>
      </c>
      <c r="AN275" s="166">
        <f t="shared" si="224"/>
        <v>0</v>
      </c>
      <c r="AO275" s="166">
        <f t="shared" si="225"/>
        <v>0</v>
      </c>
      <c r="AP275" s="166"/>
      <c r="AQ275" s="166"/>
      <c r="AR275" s="166"/>
      <c r="AS275" s="166">
        <f t="shared" si="226"/>
        <v>0</v>
      </c>
      <c r="AT275" s="166">
        <f t="shared" si="227"/>
        <v>0</v>
      </c>
      <c r="AU275" s="141"/>
      <c r="AV275" s="149">
        <f t="shared" si="219"/>
        <v>0</v>
      </c>
      <c r="AW275" s="149">
        <f t="shared" si="220"/>
        <v>0</v>
      </c>
      <c r="AX275" s="145"/>
      <c r="AY275" s="149">
        <f t="shared" si="221"/>
        <v>0</v>
      </c>
      <c r="AZ275" s="146"/>
      <c r="BA275" s="146"/>
      <c r="BB275" s="145"/>
    </row>
    <row r="276" spans="1:54" ht="14.1" customHeight="1">
      <c r="A276" s="145">
        <v>276</v>
      </c>
      <c r="B276" s="143">
        <v>383</v>
      </c>
      <c r="C276" s="144" t="s">
        <v>248</v>
      </c>
      <c r="D276" s="144"/>
      <c r="E276" s="141"/>
      <c r="F276" s="150">
        <v>0</v>
      </c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66">
        <f t="shared" si="222"/>
        <v>0</v>
      </c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66"/>
      <c r="AM276" s="166">
        <f t="shared" si="223"/>
        <v>0</v>
      </c>
      <c r="AN276" s="166">
        <f t="shared" si="224"/>
        <v>0</v>
      </c>
      <c r="AO276" s="166">
        <f t="shared" si="225"/>
        <v>0</v>
      </c>
      <c r="AP276" s="166"/>
      <c r="AQ276" s="166"/>
      <c r="AR276" s="166"/>
      <c r="AS276" s="166">
        <f t="shared" si="226"/>
        <v>0</v>
      </c>
      <c r="AT276" s="166">
        <f t="shared" si="227"/>
        <v>0</v>
      </c>
      <c r="AU276" s="141"/>
      <c r="AV276" s="149">
        <f t="shared" si="219"/>
        <v>0</v>
      </c>
      <c r="AW276" s="149">
        <f t="shared" si="220"/>
        <v>0</v>
      </c>
      <c r="AX276" s="145"/>
      <c r="AY276" s="149">
        <f t="shared" si="221"/>
        <v>0</v>
      </c>
      <c r="AZ276" s="146"/>
      <c r="BA276" s="146"/>
      <c r="BB276" s="145"/>
    </row>
    <row r="277" spans="1:54" ht="14.1" customHeight="1">
      <c r="A277" s="145">
        <v>277</v>
      </c>
      <c r="B277" s="143">
        <v>384</v>
      </c>
      <c r="C277" s="144" t="s">
        <v>249</v>
      </c>
      <c r="D277" s="144"/>
      <c r="E277" s="141"/>
      <c r="F277" s="150">
        <v>0</v>
      </c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66">
        <f t="shared" si="222"/>
        <v>0</v>
      </c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66"/>
      <c r="AM277" s="166">
        <f t="shared" si="223"/>
        <v>0</v>
      </c>
      <c r="AN277" s="166">
        <f t="shared" si="224"/>
        <v>0</v>
      </c>
      <c r="AO277" s="166">
        <f t="shared" si="225"/>
        <v>0</v>
      </c>
      <c r="AP277" s="166"/>
      <c r="AQ277" s="166"/>
      <c r="AR277" s="166"/>
      <c r="AS277" s="166">
        <f t="shared" si="226"/>
        <v>0</v>
      </c>
      <c r="AT277" s="166">
        <f t="shared" si="227"/>
        <v>0</v>
      </c>
      <c r="AU277" s="141"/>
      <c r="AV277" s="149">
        <f t="shared" si="219"/>
        <v>0</v>
      </c>
      <c r="AW277" s="149">
        <f t="shared" si="220"/>
        <v>0</v>
      </c>
      <c r="AX277" s="145"/>
      <c r="AY277" s="149">
        <f t="shared" si="221"/>
        <v>0</v>
      </c>
      <c r="AZ277" s="146"/>
      <c r="BA277" s="146"/>
      <c r="BB277" s="145"/>
    </row>
    <row r="278" spans="1:54" ht="14.1" customHeight="1">
      <c r="A278" s="145">
        <v>278</v>
      </c>
      <c r="B278" s="143">
        <v>385</v>
      </c>
      <c r="C278" s="144" t="s">
        <v>250</v>
      </c>
      <c r="D278" s="144"/>
      <c r="E278" s="141"/>
      <c r="F278" s="150">
        <v>3032000</v>
      </c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66">
        <f t="shared" si="222"/>
        <v>99000</v>
      </c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66"/>
      <c r="AM278" s="166">
        <f t="shared" si="223"/>
        <v>101000</v>
      </c>
      <c r="AN278" s="166">
        <f t="shared" si="224"/>
        <v>0</v>
      </c>
      <c r="AO278" s="166">
        <f t="shared" si="225"/>
        <v>168000</v>
      </c>
      <c r="AP278" s="166"/>
      <c r="AQ278" s="166"/>
      <c r="AR278" s="166"/>
      <c r="AS278" s="166">
        <f t="shared" si="226"/>
        <v>69000</v>
      </c>
      <c r="AT278" s="166">
        <f t="shared" si="227"/>
        <v>0</v>
      </c>
      <c r="AU278" s="141"/>
      <c r="AV278" s="149">
        <f t="shared" si="219"/>
        <v>437000</v>
      </c>
      <c r="AW278" s="149">
        <f t="shared" si="220"/>
        <v>3469000</v>
      </c>
      <c r="AX278" s="145"/>
      <c r="AY278" s="149">
        <f t="shared" si="221"/>
        <v>3469000</v>
      </c>
      <c r="AZ278" s="146"/>
      <c r="BA278" s="146"/>
      <c r="BB278" s="145"/>
    </row>
    <row r="279" spans="1:54" ht="14.1" customHeight="1">
      <c r="A279" s="145">
        <v>279</v>
      </c>
      <c r="B279" s="143">
        <v>387</v>
      </c>
      <c r="C279" s="144" t="s">
        <v>242</v>
      </c>
      <c r="D279" s="144"/>
      <c r="E279" s="141"/>
      <c r="F279" s="150">
        <v>0</v>
      </c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66">
        <f t="shared" si="222"/>
        <v>0</v>
      </c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66"/>
      <c r="AM279" s="166">
        <f t="shared" si="223"/>
        <v>0</v>
      </c>
      <c r="AN279" s="166">
        <f t="shared" si="224"/>
        <v>0</v>
      </c>
      <c r="AO279" s="166">
        <f t="shared" si="225"/>
        <v>0</v>
      </c>
      <c r="AP279" s="166"/>
      <c r="AQ279" s="166"/>
      <c r="AR279" s="166"/>
      <c r="AS279" s="166">
        <f t="shared" si="226"/>
        <v>0</v>
      </c>
      <c r="AT279" s="166">
        <f t="shared" si="227"/>
        <v>0</v>
      </c>
      <c r="AU279" s="141"/>
      <c r="AV279" s="149">
        <f t="shared" si="219"/>
        <v>0</v>
      </c>
      <c r="AW279" s="149">
        <f t="shared" si="220"/>
        <v>0</v>
      </c>
      <c r="AX279" s="145"/>
      <c r="AY279" s="149">
        <f t="shared" si="221"/>
        <v>0</v>
      </c>
      <c r="AZ279" s="146"/>
      <c r="BA279" s="146"/>
      <c r="BB279" s="145"/>
    </row>
    <row r="280" spans="1:54" s="154" customFormat="1" ht="14.1" customHeight="1">
      <c r="A280" s="145">
        <v>280</v>
      </c>
      <c r="B280" s="157"/>
      <c r="C280" s="157" t="s">
        <v>92</v>
      </c>
      <c r="D280" s="157"/>
      <c r="E280" s="156"/>
      <c r="F280" s="159">
        <f>SUM(F267:F279)</f>
        <v>650522000</v>
      </c>
      <c r="G280" s="159">
        <f t="shared" ref="G280:AK280" si="228">SUM(G267:G279)</f>
        <v>0</v>
      </c>
      <c r="H280" s="159">
        <f t="shared" si="228"/>
        <v>0</v>
      </c>
      <c r="I280" s="159">
        <f t="shared" si="228"/>
        <v>0</v>
      </c>
      <c r="J280" s="159">
        <f>SUM(J267:J279)</f>
        <v>0</v>
      </c>
      <c r="K280" s="159">
        <f>SUM(K267:K279)</f>
        <v>0</v>
      </c>
      <c r="L280" s="159">
        <f t="shared" si="228"/>
        <v>0</v>
      </c>
      <c r="M280" s="159">
        <f t="shared" si="228"/>
        <v>0</v>
      </c>
      <c r="N280" s="159">
        <f t="shared" si="228"/>
        <v>0</v>
      </c>
      <c r="O280" s="159">
        <f t="shared" si="228"/>
        <v>0</v>
      </c>
      <c r="P280" s="159">
        <f>SUM(P267:P279)</f>
        <v>0</v>
      </c>
      <c r="Q280" s="159">
        <f>SUM(Q267:Q279)</f>
        <v>0</v>
      </c>
      <c r="R280" s="159">
        <f>SUM(R267:R279)</f>
        <v>0</v>
      </c>
      <c r="S280" s="159">
        <f>SUM(S267:S279)</f>
        <v>0</v>
      </c>
      <c r="T280" s="159">
        <f>SUM(T267:T279)</f>
        <v>0</v>
      </c>
      <c r="U280" s="159">
        <f t="shared" si="228"/>
        <v>0</v>
      </c>
      <c r="V280" s="159">
        <f t="shared" ref="V280:AB280" si="229">SUM(V267:V279)</f>
        <v>0</v>
      </c>
      <c r="W280" s="159">
        <f t="shared" si="229"/>
        <v>0</v>
      </c>
      <c r="X280" s="159">
        <f t="shared" si="229"/>
        <v>21260000</v>
      </c>
      <c r="Y280" s="159">
        <f t="shared" si="229"/>
        <v>0</v>
      </c>
      <c r="Z280" s="159">
        <f t="shared" si="229"/>
        <v>0</v>
      </c>
      <c r="AA280" s="159">
        <f t="shared" si="229"/>
        <v>0</v>
      </c>
      <c r="AB280" s="159">
        <f t="shared" si="229"/>
        <v>0</v>
      </c>
      <c r="AC280" s="159">
        <f t="shared" si="228"/>
        <v>0</v>
      </c>
      <c r="AD280" s="159">
        <f t="shared" si="228"/>
        <v>0</v>
      </c>
      <c r="AE280" s="159">
        <f t="shared" si="228"/>
        <v>0</v>
      </c>
      <c r="AF280" s="159">
        <f t="shared" si="228"/>
        <v>0</v>
      </c>
      <c r="AG280" s="159">
        <f t="shared" si="228"/>
        <v>0</v>
      </c>
      <c r="AH280" s="159">
        <f t="shared" si="228"/>
        <v>0</v>
      </c>
      <c r="AI280" s="159">
        <f>SUM(AI267:AI279)</f>
        <v>0</v>
      </c>
      <c r="AJ280" s="159">
        <f>SUM(AJ267:AJ279)</f>
        <v>0</v>
      </c>
      <c r="AK280" s="159">
        <f t="shared" si="228"/>
        <v>0</v>
      </c>
      <c r="AL280" s="159">
        <f t="shared" ref="AL280:AT280" si="230">SUM(AL267:AL279)</f>
        <v>0</v>
      </c>
      <c r="AM280" s="159">
        <f t="shared" si="230"/>
        <v>21680000</v>
      </c>
      <c r="AN280" s="159">
        <f t="shared" si="230"/>
        <v>0</v>
      </c>
      <c r="AO280" s="159">
        <f t="shared" si="230"/>
        <v>36106000</v>
      </c>
      <c r="AP280" s="159">
        <f t="shared" si="230"/>
        <v>0</v>
      </c>
      <c r="AQ280" s="159">
        <f t="shared" si="230"/>
        <v>0</v>
      </c>
      <c r="AR280" s="159">
        <f t="shared" si="230"/>
        <v>0</v>
      </c>
      <c r="AS280" s="159">
        <f t="shared" si="230"/>
        <v>14747000</v>
      </c>
      <c r="AT280" s="159">
        <f t="shared" si="230"/>
        <v>0</v>
      </c>
      <c r="AU280" s="158"/>
      <c r="AV280" s="158">
        <f>SUM(AV267:AV279)</f>
        <v>93793000</v>
      </c>
      <c r="AW280" s="158">
        <f>SUM(AW267:AW279)</f>
        <v>744315000</v>
      </c>
      <c r="AX280" s="152" t="str">
        <f>IF(ROUND(SUM(F280:AT280),0)=ROUND(AW280,0),"ok","crossfoot error")</f>
        <v>ok</v>
      </c>
      <c r="AY280" s="158">
        <f>SUM(AY267:AY279)/1000</f>
        <v>744315</v>
      </c>
      <c r="AZ280" s="147">
        <v>744315.7</v>
      </c>
      <c r="BA280" s="146">
        <f>AY280-AZ280</f>
        <v>-0.69999999995343387</v>
      </c>
      <c r="BB280" s="146">
        <f>BA280+(AY370+AY371)/1000</f>
        <v>-0.70099999995343387</v>
      </c>
    </row>
    <row r="281" spans="1:54" ht="14.1" customHeight="1">
      <c r="A281" s="145">
        <v>281</v>
      </c>
      <c r="B281" s="143"/>
      <c r="C281" s="144"/>
      <c r="D281" s="144"/>
      <c r="E281" s="141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1"/>
      <c r="AV281" s="149"/>
      <c r="AW281" s="149"/>
      <c r="AX281" s="145"/>
      <c r="AY281" s="149"/>
      <c r="AZ281" s="146"/>
      <c r="BA281" s="146"/>
      <c r="BB281" s="145"/>
    </row>
    <row r="282" spans="1:54" ht="14.1" customHeight="1">
      <c r="A282" s="145">
        <v>282</v>
      </c>
      <c r="B282" s="143"/>
      <c r="C282" s="157" t="s">
        <v>93</v>
      </c>
      <c r="D282" s="144"/>
      <c r="E282" s="141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1"/>
      <c r="AV282" s="149"/>
      <c r="AW282" s="149"/>
      <c r="AX282" s="145"/>
      <c r="AY282" s="149"/>
      <c r="AZ282" s="146"/>
      <c r="BA282" s="146"/>
      <c r="BB282" s="145"/>
    </row>
    <row r="283" spans="1:54" ht="14.1" customHeight="1">
      <c r="A283" s="145">
        <v>283</v>
      </c>
      <c r="B283" s="143">
        <v>389</v>
      </c>
      <c r="C283" s="144" t="s">
        <v>88</v>
      </c>
      <c r="D283" s="144"/>
      <c r="E283" s="141"/>
      <c r="F283" s="150">
        <v>5185000</v>
      </c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66">
        <f>ROUND(F283/$F$293*2797000,-3)</f>
        <v>129000</v>
      </c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66">
        <f>ROUND(F283/$F$293*1859000,-3)</f>
        <v>86000</v>
      </c>
      <c r="AN283" s="166">
        <f>ROUND(F283/$F$293*0,-3)</f>
        <v>0</v>
      </c>
      <c r="AO283" s="166">
        <f>ROUND(F283/$F$293*2150000,-3)</f>
        <v>99000</v>
      </c>
      <c r="AP283" s="166"/>
      <c r="AQ283" s="166"/>
      <c r="AR283" s="166"/>
      <c r="AS283" s="166">
        <f>ROUND(F283/$F$293*1141000,-3)</f>
        <v>53000</v>
      </c>
      <c r="AT283" s="166">
        <f>ROUND(F283/$F$293*0,-3)</f>
        <v>0</v>
      </c>
      <c r="AU283" s="141"/>
      <c r="AV283" s="149">
        <f t="shared" ref="AV283:AV292" si="231">SUM(G283:AT283)</f>
        <v>367000</v>
      </c>
      <c r="AW283" s="149">
        <f t="shared" ref="AW283:AW292" si="232">F283+AV283</f>
        <v>5552000</v>
      </c>
      <c r="AX283" s="145"/>
      <c r="AY283" s="149">
        <f>ROUND(AW283/1000,0)*1000</f>
        <v>5552000</v>
      </c>
      <c r="AZ283" s="146"/>
      <c r="BA283" s="146"/>
      <c r="BB283" s="145"/>
    </row>
    <row r="284" spans="1:54" ht="14.1" customHeight="1">
      <c r="A284" s="145">
        <v>284</v>
      </c>
      <c r="B284" s="143">
        <v>390</v>
      </c>
      <c r="C284" s="144" t="s">
        <v>89</v>
      </c>
      <c r="D284" s="144"/>
      <c r="E284" s="141"/>
      <c r="F284" s="150">
        <v>48957000</v>
      </c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66">
        <f>ROUND(F284/$F$293*2797000,-3)+1000</f>
        <v>1222000</v>
      </c>
      <c r="Y284" s="150"/>
      <c r="Z284" s="150"/>
      <c r="AA284" s="150"/>
      <c r="AB284" s="150"/>
      <c r="AC284" s="142"/>
      <c r="AD284" s="142"/>
      <c r="AE284" s="142"/>
      <c r="AF284" s="142"/>
      <c r="AG284" s="142"/>
      <c r="AH284" s="142"/>
      <c r="AI284" s="150"/>
      <c r="AJ284" s="150"/>
      <c r="AK284" s="150"/>
      <c r="AM284" s="166">
        <f t="shared" ref="AM284:AM292" si="233">ROUND(F284/$F$293*1859000,-3)</f>
        <v>811000</v>
      </c>
      <c r="AN284" s="166">
        <f t="shared" ref="AN284:AN292" si="234">ROUND(F284/$F$293*0,-3)</f>
        <v>0</v>
      </c>
      <c r="AO284" s="166">
        <f t="shared" ref="AO284:AO292" si="235">ROUND(F284/$F$293*2150000,-3)</f>
        <v>938000</v>
      </c>
      <c r="AP284" s="166"/>
      <c r="AQ284" s="166"/>
      <c r="AR284" s="166"/>
      <c r="AS284" s="166">
        <f>ROUND(F284/$F$293*1141000,-3)+1000</f>
        <v>499000</v>
      </c>
      <c r="AT284" s="166">
        <f t="shared" ref="AT284:AT292" si="236">ROUND(F284/$F$293*0,-3)</f>
        <v>0</v>
      </c>
      <c r="AU284" s="141"/>
      <c r="AV284" s="149">
        <f t="shared" si="231"/>
        <v>3470000</v>
      </c>
      <c r="AW284" s="149">
        <f t="shared" si="232"/>
        <v>52427000</v>
      </c>
      <c r="AX284" s="145"/>
      <c r="AY284" s="149">
        <f>ROUND(AW284/1000,0)*1000+1000</f>
        <v>52428000</v>
      </c>
      <c r="AZ284" s="146"/>
      <c r="BA284" s="146"/>
      <c r="BB284" s="145"/>
    </row>
    <row r="285" spans="1:54" ht="14.1" customHeight="1">
      <c r="A285" s="145">
        <v>285</v>
      </c>
      <c r="B285" s="143">
        <v>391</v>
      </c>
      <c r="C285" s="144" t="s">
        <v>94</v>
      </c>
      <c r="D285" s="144"/>
      <c r="E285" s="141"/>
      <c r="F285" s="150">
        <v>12141000</v>
      </c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66">
        <f t="shared" ref="X285:X292" si="237">ROUND(F285/$F$293*2797000,-3)</f>
        <v>303000</v>
      </c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66">
        <f t="shared" si="233"/>
        <v>201000</v>
      </c>
      <c r="AN285" s="166">
        <f t="shared" si="234"/>
        <v>0</v>
      </c>
      <c r="AO285" s="166">
        <f t="shared" si="235"/>
        <v>233000</v>
      </c>
      <c r="AP285" s="166"/>
      <c r="AQ285" s="166"/>
      <c r="AR285" s="166"/>
      <c r="AS285" s="166">
        <f t="shared" ref="AS285:AS292" si="238">ROUND(F285/$F$293*1141000,-3)</f>
        <v>123000</v>
      </c>
      <c r="AT285" s="166">
        <f t="shared" si="236"/>
        <v>0</v>
      </c>
      <c r="AU285" s="141"/>
      <c r="AV285" s="149">
        <f t="shared" si="231"/>
        <v>860000</v>
      </c>
      <c r="AW285" s="149">
        <f t="shared" si="232"/>
        <v>13001000</v>
      </c>
      <c r="AX285" s="145"/>
      <c r="AY285" s="149">
        <f t="shared" ref="AY285:AY292" si="239">ROUND(AW285/1000,0)*1000</f>
        <v>13001000</v>
      </c>
      <c r="AZ285" s="146"/>
      <c r="BA285" s="146"/>
      <c r="BB285" s="145"/>
    </row>
    <row r="286" spans="1:54" ht="14.1" customHeight="1">
      <c r="A286" s="145">
        <v>286</v>
      </c>
      <c r="B286" s="143">
        <v>392</v>
      </c>
      <c r="C286" s="144" t="s">
        <v>95</v>
      </c>
      <c r="D286" s="144"/>
      <c r="E286" s="141"/>
      <c r="F286" s="150">
        <v>14284000</v>
      </c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66">
        <f t="shared" si="237"/>
        <v>356000</v>
      </c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66"/>
      <c r="AJ286" s="166"/>
      <c r="AK286" s="166"/>
      <c r="AL286" s="142"/>
      <c r="AM286" s="166">
        <f t="shared" si="233"/>
        <v>237000</v>
      </c>
      <c r="AN286" s="166">
        <f t="shared" si="234"/>
        <v>0</v>
      </c>
      <c r="AO286" s="166">
        <f t="shared" si="235"/>
        <v>274000</v>
      </c>
      <c r="AP286" s="166"/>
      <c r="AQ286" s="166"/>
      <c r="AR286" s="166"/>
      <c r="AS286" s="166">
        <f t="shared" si="238"/>
        <v>145000</v>
      </c>
      <c r="AT286" s="166">
        <f t="shared" si="236"/>
        <v>0</v>
      </c>
      <c r="AU286" s="141"/>
      <c r="AV286" s="149">
        <f t="shared" si="231"/>
        <v>1012000</v>
      </c>
      <c r="AW286" s="149">
        <f t="shared" si="232"/>
        <v>15296000</v>
      </c>
      <c r="AX286" s="145"/>
      <c r="AY286" s="149">
        <f>ROUND(AW286/1000,0)*1000</f>
        <v>15296000</v>
      </c>
      <c r="AZ286" s="146"/>
      <c r="BA286" s="146"/>
      <c r="BB286" s="145"/>
    </row>
    <row r="287" spans="1:54" ht="14.1" customHeight="1">
      <c r="A287" s="145">
        <v>287</v>
      </c>
      <c r="B287" s="143">
        <v>393</v>
      </c>
      <c r="C287" s="144" t="s">
        <v>96</v>
      </c>
      <c r="D287" s="144"/>
      <c r="E287" s="141"/>
      <c r="F287" s="150">
        <v>1127000</v>
      </c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66">
        <f t="shared" si="237"/>
        <v>28000</v>
      </c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66">
        <f t="shared" si="233"/>
        <v>19000</v>
      </c>
      <c r="AN287" s="166">
        <f t="shared" si="234"/>
        <v>0</v>
      </c>
      <c r="AO287" s="166">
        <f t="shared" si="235"/>
        <v>22000</v>
      </c>
      <c r="AP287" s="166"/>
      <c r="AQ287" s="166"/>
      <c r="AR287" s="166"/>
      <c r="AS287" s="166">
        <f t="shared" si="238"/>
        <v>11000</v>
      </c>
      <c r="AT287" s="166">
        <f t="shared" si="236"/>
        <v>0</v>
      </c>
      <c r="AU287" s="141"/>
      <c r="AV287" s="149">
        <f t="shared" si="231"/>
        <v>80000</v>
      </c>
      <c r="AW287" s="149">
        <f t="shared" si="232"/>
        <v>1207000</v>
      </c>
      <c r="AX287" s="145"/>
      <c r="AY287" s="149">
        <f t="shared" si="239"/>
        <v>1207000</v>
      </c>
      <c r="AZ287" s="146"/>
      <c r="BA287" s="146"/>
      <c r="BB287" s="145"/>
    </row>
    <row r="288" spans="1:54" ht="14.1" customHeight="1">
      <c r="A288" s="145">
        <v>288</v>
      </c>
      <c r="B288" s="143">
        <v>394</v>
      </c>
      <c r="C288" s="144" t="s">
        <v>97</v>
      </c>
      <c r="D288" s="144"/>
      <c r="E288" s="141"/>
      <c r="F288" s="150">
        <v>8317000</v>
      </c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66">
        <f t="shared" si="237"/>
        <v>207000</v>
      </c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66">
        <f t="shared" si="233"/>
        <v>138000</v>
      </c>
      <c r="AN288" s="166">
        <f t="shared" si="234"/>
        <v>0</v>
      </c>
      <c r="AO288" s="166">
        <f t="shared" si="235"/>
        <v>159000</v>
      </c>
      <c r="AP288" s="166"/>
      <c r="AQ288" s="166"/>
      <c r="AR288" s="166"/>
      <c r="AS288" s="166">
        <f t="shared" si="238"/>
        <v>85000</v>
      </c>
      <c r="AT288" s="166">
        <f t="shared" si="236"/>
        <v>0</v>
      </c>
      <c r="AU288" s="141"/>
      <c r="AV288" s="149">
        <f t="shared" si="231"/>
        <v>589000</v>
      </c>
      <c r="AW288" s="149">
        <f t="shared" si="232"/>
        <v>8906000</v>
      </c>
      <c r="AX288" s="145"/>
      <c r="AY288" s="149">
        <f t="shared" si="239"/>
        <v>8906000</v>
      </c>
      <c r="AZ288" s="146"/>
      <c r="BA288" s="146"/>
      <c r="BB288" s="145"/>
    </row>
    <row r="289" spans="1:54" ht="14.1" customHeight="1">
      <c r="A289" s="145">
        <v>289</v>
      </c>
      <c r="B289" s="143">
        <v>395</v>
      </c>
      <c r="C289" s="144" t="s">
        <v>98</v>
      </c>
      <c r="D289" s="144"/>
      <c r="E289" s="141"/>
      <c r="F289" s="150">
        <v>500000</v>
      </c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66">
        <f t="shared" si="237"/>
        <v>12000</v>
      </c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66">
        <f t="shared" si="233"/>
        <v>8000</v>
      </c>
      <c r="AN289" s="166">
        <f t="shared" si="234"/>
        <v>0</v>
      </c>
      <c r="AO289" s="166">
        <f t="shared" si="235"/>
        <v>10000</v>
      </c>
      <c r="AP289" s="166"/>
      <c r="AQ289" s="166"/>
      <c r="AR289" s="166"/>
      <c r="AS289" s="166">
        <f t="shared" si="238"/>
        <v>5000</v>
      </c>
      <c r="AT289" s="166">
        <f t="shared" si="236"/>
        <v>0</v>
      </c>
      <c r="AU289" s="141"/>
      <c r="AV289" s="149">
        <f t="shared" si="231"/>
        <v>35000</v>
      </c>
      <c r="AW289" s="149">
        <f t="shared" si="232"/>
        <v>535000</v>
      </c>
      <c r="AX289" s="145"/>
      <c r="AY289" s="149">
        <f t="shared" si="239"/>
        <v>535000</v>
      </c>
      <c r="AZ289" s="146"/>
      <c r="BA289" s="146"/>
      <c r="BB289" s="145"/>
    </row>
    <row r="290" spans="1:54" ht="14.1" customHeight="1">
      <c r="A290" s="145">
        <v>290</v>
      </c>
      <c r="B290" s="143">
        <v>396</v>
      </c>
      <c r="C290" s="144" t="s">
        <v>99</v>
      </c>
      <c r="D290" s="144"/>
      <c r="E290" s="141"/>
      <c r="F290" s="150">
        <v>3377000</v>
      </c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66">
        <f t="shared" si="237"/>
        <v>84000</v>
      </c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66">
        <f t="shared" si="233"/>
        <v>56000</v>
      </c>
      <c r="AN290" s="166">
        <f t="shared" si="234"/>
        <v>0</v>
      </c>
      <c r="AO290" s="166">
        <f t="shared" si="235"/>
        <v>65000</v>
      </c>
      <c r="AP290" s="166"/>
      <c r="AQ290" s="166"/>
      <c r="AR290" s="166"/>
      <c r="AS290" s="166">
        <f t="shared" si="238"/>
        <v>34000</v>
      </c>
      <c r="AT290" s="166">
        <f t="shared" si="236"/>
        <v>0</v>
      </c>
      <c r="AU290" s="141"/>
      <c r="AV290" s="149">
        <f t="shared" si="231"/>
        <v>239000</v>
      </c>
      <c r="AW290" s="149">
        <f t="shared" si="232"/>
        <v>3616000</v>
      </c>
      <c r="AX290" s="145"/>
      <c r="AY290" s="149">
        <f t="shared" si="239"/>
        <v>3616000</v>
      </c>
      <c r="AZ290" s="146"/>
      <c r="BA290" s="146"/>
      <c r="BB290" s="145"/>
    </row>
    <row r="291" spans="1:54" ht="14.1" customHeight="1">
      <c r="A291" s="145">
        <v>291</v>
      </c>
      <c r="B291" s="143">
        <v>397</v>
      </c>
      <c r="C291" s="144" t="s">
        <v>100</v>
      </c>
      <c r="D291" s="144"/>
      <c r="E291" s="141"/>
      <c r="F291" s="150">
        <v>18164000</v>
      </c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66">
        <f t="shared" si="237"/>
        <v>453000</v>
      </c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66">
        <f t="shared" si="233"/>
        <v>301000</v>
      </c>
      <c r="AN291" s="166">
        <f t="shared" si="234"/>
        <v>0</v>
      </c>
      <c r="AO291" s="166">
        <f t="shared" si="235"/>
        <v>348000</v>
      </c>
      <c r="AP291" s="166"/>
      <c r="AQ291" s="166"/>
      <c r="AR291" s="166"/>
      <c r="AS291" s="166">
        <f t="shared" si="238"/>
        <v>185000</v>
      </c>
      <c r="AT291" s="166">
        <f t="shared" si="236"/>
        <v>0</v>
      </c>
      <c r="AU291" s="141"/>
      <c r="AV291" s="149">
        <f t="shared" si="231"/>
        <v>1287000</v>
      </c>
      <c r="AW291" s="149">
        <f t="shared" si="232"/>
        <v>19451000</v>
      </c>
      <c r="AX291" s="145"/>
      <c r="AY291" s="149">
        <f t="shared" si="239"/>
        <v>19451000</v>
      </c>
      <c r="AZ291" s="146"/>
      <c r="BA291" s="146"/>
      <c r="BB291" s="145"/>
    </row>
    <row r="292" spans="1:54" ht="14.1" customHeight="1">
      <c r="A292" s="145">
        <v>292</v>
      </c>
      <c r="B292" s="143">
        <v>398</v>
      </c>
      <c r="C292" s="144" t="s">
        <v>101</v>
      </c>
      <c r="D292" s="144"/>
      <c r="E292" s="141"/>
      <c r="F292" s="150">
        <v>121000</v>
      </c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66">
        <f t="shared" si="237"/>
        <v>3000</v>
      </c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66"/>
      <c r="AM292" s="166">
        <f t="shared" si="233"/>
        <v>2000</v>
      </c>
      <c r="AN292" s="166">
        <f t="shared" si="234"/>
        <v>0</v>
      </c>
      <c r="AO292" s="166">
        <f t="shared" si="235"/>
        <v>2000</v>
      </c>
      <c r="AP292" s="166"/>
      <c r="AQ292" s="166"/>
      <c r="AR292" s="166"/>
      <c r="AS292" s="166">
        <f t="shared" si="238"/>
        <v>1000</v>
      </c>
      <c r="AT292" s="166">
        <f t="shared" si="236"/>
        <v>0</v>
      </c>
      <c r="AU292" s="141"/>
      <c r="AV292" s="149">
        <f t="shared" si="231"/>
        <v>8000</v>
      </c>
      <c r="AW292" s="149">
        <f t="shared" si="232"/>
        <v>129000</v>
      </c>
      <c r="AX292" s="145"/>
      <c r="AY292" s="149">
        <f t="shared" si="239"/>
        <v>129000</v>
      </c>
      <c r="AZ292" s="146"/>
      <c r="BA292" s="146"/>
      <c r="BB292" s="145"/>
    </row>
    <row r="293" spans="1:54" s="154" customFormat="1" ht="14.1" customHeight="1">
      <c r="A293" s="145">
        <v>293</v>
      </c>
      <c r="B293" s="165"/>
      <c r="C293" s="157" t="s">
        <v>102</v>
      </c>
      <c r="D293" s="157"/>
      <c r="E293" s="156"/>
      <c r="F293" s="159">
        <f t="shared" ref="F293:AE293" si="240">SUM(F283:F292)</f>
        <v>112173000</v>
      </c>
      <c r="G293" s="159">
        <f t="shared" si="240"/>
        <v>0</v>
      </c>
      <c r="H293" s="159">
        <f t="shared" si="240"/>
        <v>0</v>
      </c>
      <c r="I293" s="159">
        <f t="shared" si="240"/>
        <v>0</v>
      </c>
      <c r="J293" s="159">
        <f t="shared" si="240"/>
        <v>0</v>
      </c>
      <c r="K293" s="159">
        <f t="shared" si="240"/>
        <v>0</v>
      </c>
      <c r="L293" s="159">
        <f t="shared" si="240"/>
        <v>0</v>
      </c>
      <c r="M293" s="159">
        <f t="shared" si="240"/>
        <v>0</v>
      </c>
      <c r="N293" s="159">
        <f t="shared" si="240"/>
        <v>0</v>
      </c>
      <c r="O293" s="159">
        <f t="shared" si="240"/>
        <v>0</v>
      </c>
      <c r="P293" s="159">
        <f t="shared" si="240"/>
        <v>0</v>
      </c>
      <c r="Q293" s="159">
        <f t="shared" si="240"/>
        <v>0</v>
      </c>
      <c r="R293" s="159">
        <f t="shared" si="240"/>
        <v>0</v>
      </c>
      <c r="S293" s="159">
        <f t="shared" si="240"/>
        <v>0</v>
      </c>
      <c r="T293" s="159">
        <f t="shared" si="240"/>
        <v>0</v>
      </c>
      <c r="U293" s="159">
        <f t="shared" si="240"/>
        <v>0</v>
      </c>
      <c r="V293" s="159">
        <f t="shared" si="240"/>
        <v>0</v>
      </c>
      <c r="W293" s="159">
        <f t="shared" si="240"/>
        <v>0</v>
      </c>
      <c r="X293" s="159">
        <f t="shared" si="240"/>
        <v>2797000</v>
      </c>
      <c r="Y293" s="159">
        <f t="shared" si="240"/>
        <v>0</v>
      </c>
      <c r="Z293" s="159">
        <f t="shared" si="240"/>
        <v>0</v>
      </c>
      <c r="AA293" s="159">
        <f t="shared" si="240"/>
        <v>0</v>
      </c>
      <c r="AB293" s="159">
        <f t="shared" ref="AB293" si="241">SUM(AB283:AB292)</f>
        <v>0</v>
      </c>
      <c r="AC293" s="159">
        <f t="shared" si="240"/>
        <v>0</v>
      </c>
      <c r="AD293" s="159">
        <f t="shared" si="240"/>
        <v>0</v>
      </c>
      <c r="AE293" s="159">
        <f t="shared" si="240"/>
        <v>0</v>
      </c>
      <c r="AF293" s="159">
        <f t="shared" ref="AF293:AH293" si="242">SUM(AF283:AF292)</f>
        <v>0</v>
      </c>
      <c r="AG293" s="159">
        <f t="shared" si="242"/>
        <v>0</v>
      </c>
      <c r="AH293" s="159">
        <f t="shared" si="242"/>
        <v>0</v>
      </c>
      <c r="AI293" s="159">
        <f>SUM(AI283:AI292)</f>
        <v>0</v>
      </c>
      <c r="AJ293" s="159">
        <f>SUM(AJ283:AJ292)</f>
        <v>0</v>
      </c>
      <c r="AK293" s="159">
        <f t="shared" ref="AK293:AT293" si="243">SUM(AK283:AK292)</f>
        <v>0</v>
      </c>
      <c r="AL293" s="159">
        <f t="shared" si="243"/>
        <v>0</v>
      </c>
      <c r="AM293" s="159">
        <f t="shared" si="243"/>
        <v>1859000</v>
      </c>
      <c r="AN293" s="159">
        <f t="shared" si="243"/>
        <v>0</v>
      </c>
      <c r="AO293" s="159">
        <f t="shared" si="243"/>
        <v>2150000</v>
      </c>
      <c r="AP293" s="159">
        <f t="shared" si="243"/>
        <v>0</v>
      </c>
      <c r="AQ293" s="159">
        <f t="shared" si="243"/>
        <v>0</v>
      </c>
      <c r="AR293" s="159">
        <f t="shared" si="243"/>
        <v>0</v>
      </c>
      <c r="AS293" s="159">
        <f t="shared" si="243"/>
        <v>1141000</v>
      </c>
      <c r="AT293" s="159">
        <f t="shared" si="243"/>
        <v>0</v>
      </c>
      <c r="AU293" s="158"/>
      <c r="AV293" s="158">
        <f>SUM(AV283:AV292)</f>
        <v>7947000</v>
      </c>
      <c r="AW293" s="158">
        <f>SUM(AW283:AW292)</f>
        <v>120120000</v>
      </c>
      <c r="AX293" s="152" t="str">
        <f>IF(ROUND(SUM(F293:AT293),0)=ROUND(AW293,0),"ok","crossfoot error")</f>
        <v>ok</v>
      </c>
      <c r="AY293" s="158">
        <f>SUM(AY283:AY292)/1000</f>
        <v>120121</v>
      </c>
      <c r="AZ293" s="147">
        <v>169420</v>
      </c>
      <c r="BA293" s="146">
        <f>AY293-AZ293</f>
        <v>-49299</v>
      </c>
      <c r="BB293" s="146">
        <f>BA293+BA253</f>
        <v>3</v>
      </c>
    </row>
    <row r="294" spans="1:54" ht="14.1" customHeight="1">
      <c r="A294" s="145">
        <v>294</v>
      </c>
      <c r="B294" s="143"/>
      <c r="C294" s="144"/>
      <c r="D294" s="144"/>
      <c r="E294" s="141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1"/>
      <c r="AV294" s="149"/>
      <c r="AW294" s="149"/>
      <c r="AX294" s="145"/>
      <c r="AY294" s="149"/>
      <c r="AZ294" s="146"/>
      <c r="BA294" s="146"/>
      <c r="BB294" s="145"/>
    </row>
    <row r="295" spans="1:54" s="154" customFormat="1" ht="14.1" customHeight="1">
      <c r="A295" s="145">
        <v>295</v>
      </c>
      <c r="B295" s="157"/>
      <c r="C295" s="157" t="s">
        <v>103</v>
      </c>
      <c r="D295" s="157"/>
      <c r="E295" s="156"/>
      <c r="F295" s="155">
        <f t="shared" ref="F295:AR295" si="244">F293+F280+F264+F253</f>
        <v>846496000</v>
      </c>
      <c r="G295" s="155">
        <f t="shared" si="244"/>
        <v>0</v>
      </c>
      <c r="H295" s="155">
        <f t="shared" si="244"/>
        <v>0</v>
      </c>
      <c r="I295" s="155">
        <f t="shared" si="244"/>
        <v>0</v>
      </c>
      <c r="J295" s="155">
        <f>J293+J280+J264+J253</f>
        <v>0</v>
      </c>
      <c r="K295" s="155">
        <f>K293+K280+K264+K253</f>
        <v>0</v>
      </c>
      <c r="L295" s="155">
        <f t="shared" si="244"/>
        <v>0</v>
      </c>
      <c r="M295" s="155">
        <f t="shared" si="244"/>
        <v>0</v>
      </c>
      <c r="N295" s="155">
        <f t="shared" si="244"/>
        <v>0</v>
      </c>
      <c r="O295" s="155">
        <f t="shared" si="244"/>
        <v>0</v>
      </c>
      <c r="P295" s="155">
        <f>P293+P280+P264+P253</f>
        <v>0</v>
      </c>
      <c r="Q295" s="155">
        <f>Q293+Q280+Q264+Q253</f>
        <v>0</v>
      </c>
      <c r="R295" s="155">
        <f>R293+R280+R264+R253</f>
        <v>0</v>
      </c>
      <c r="S295" s="155">
        <f>S293+S280+S264+S253</f>
        <v>0</v>
      </c>
      <c r="T295" s="155">
        <f>T293+T280+T264+T253</f>
        <v>0</v>
      </c>
      <c r="U295" s="155">
        <f t="shared" si="244"/>
        <v>0</v>
      </c>
      <c r="V295" s="155">
        <f t="shared" ref="V295:AA295" si="245">V293+V280+V264+V253</f>
        <v>0</v>
      </c>
      <c r="W295" s="155">
        <f t="shared" si="245"/>
        <v>0</v>
      </c>
      <c r="X295" s="155">
        <f t="shared" si="245"/>
        <v>24607000</v>
      </c>
      <c r="Y295" s="155">
        <f t="shared" si="245"/>
        <v>0</v>
      </c>
      <c r="Z295" s="155">
        <f t="shared" si="245"/>
        <v>0</v>
      </c>
      <c r="AA295" s="155">
        <f t="shared" si="245"/>
        <v>0</v>
      </c>
      <c r="AB295" s="155">
        <f t="shared" ref="AB295" si="246">AB293+AB280+AB264+AB253</f>
        <v>0</v>
      </c>
      <c r="AC295" s="155">
        <f t="shared" si="244"/>
        <v>0</v>
      </c>
      <c r="AD295" s="155">
        <f t="shared" si="244"/>
        <v>0</v>
      </c>
      <c r="AE295" s="155">
        <f t="shared" si="244"/>
        <v>0</v>
      </c>
      <c r="AF295" s="155">
        <f t="shared" ref="AF295:AH295" si="247">AF293+AF280+AF264+AF253</f>
        <v>0</v>
      </c>
      <c r="AG295" s="155">
        <f t="shared" si="247"/>
        <v>0</v>
      </c>
      <c r="AH295" s="155">
        <f t="shared" si="247"/>
        <v>0</v>
      </c>
      <c r="AI295" s="155">
        <f>AI293+AI280+AI264+AI253</f>
        <v>0</v>
      </c>
      <c r="AJ295" s="155">
        <f>AJ293+AJ280+AJ264+AJ253</f>
        <v>0</v>
      </c>
      <c r="AK295" s="155">
        <f>AK293+AK280+AK264+AK253</f>
        <v>0</v>
      </c>
      <c r="AL295" s="155">
        <f t="shared" si="244"/>
        <v>0</v>
      </c>
      <c r="AM295" s="155">
        <f t="shared" si="244"/>
        <v>24668000</v>
      </c>
      <c r="AN295" s="155">
        <f t="shared" si="244"/>
        <v>0</v>
      </c>
      <c r="AO295" s="155">
        <f t="shared" si="244"/>
        <v>39763000</v>
      </c>
      <c r="AP295" s="155">
        <f t="shared" si="244"/>
        <v>0</v>
      </c>
      <c r="AQ295" s="155">
        <f t="shared" si="244"/>
        <v>0</v>
      </c>
      <c r="AR295" s="155">
        <f t="shared" si="244"/>
        <v>0</v>
      </c>
      <c r="AS295" s="155">
        <f t="shared" ref="AS295:AT295" si="248">AS293+AS280+AS264+AS253</f>
        <v>16641000</v>
      </c>
      <c r="AT295" s="155">
        <f t="shared" si="248"/>
        <v>0</v>
      </c>
      <c r="AU295" s="148"/>
      <c r="AV295" s="148">
        <f>AV293+AV280+AV264+AV253</f>
        <v>105679000</v>
      </c>
      <c r="AW295" s="148">
        <f>AW293+AW280+AW264+AW253</f>
        <v>952175000</v>
      </c>
      <c r="AX295" s="152" t="str">
        <f>IF(ROUND(SUM(F295:AT295),0)=ROUND(AW295,0),"ok","crossfoot error")</f>
        <v>ok</v>
      </c>
      <c r="AY295" s="148">
        <f>AY293+AY280+AY264+AY253</f>
        <v>952176</v>
      </c>
      <c r="AZ295" s="147">
        <v>952174.39999999991</v>
      </c>
      <c r="BA295" s="146">
        <f>AY295-AZ295</f>
        <v>1.6000000000931323</v>
      </c>
      <c r="BB295" s="146">
        <f>BA295+(AY370+AY371)/1000</f>
        <v>1.5990000000931324</v>
      </c>
    </row>
    <row r="296" spans="1:54" ht="14.1" customHeight="1">
      <c r="A296" s="145">
        <v>296</v>
      </c>
      <c r="B296" s="143"/>
      <c r="C296" s="144"/>
      <c r="D296" s="144"/>
      <c r="E296" s="141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1"/>
      <c r="AV296" s="149"/>
      <c r="AW296" s="149"/>
      <c r="AX296" s="145"/>
      <c r="AY296" s="149"/>
      <c r="AZ296" s="146"/>
      <c r="BA296" s="146"/>
      <c r="BB296" s="145"/>
    </row>
    <row r="297" spans="1:54" ht="14.1" customHeight="1">
      <c r="A297" s="145">
        <v>297</v>
      </c>
      <c r="B297" s="143"/>
      <c r="C297" s="144"/>
      <c r="D297" s="144"/>
      <c r="E297" s="141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1"/>
      <c r="AV297" s="149"/>
      <c r="AW297" s="149"/>
      <c r="AX297" s="145"/>
      <c r="AY297" s="149"/>
      <c r="AZ297" s="146"/>
      <c r="BA297" s="146"/>
      <c r="BB297" s="145"/>
    </row>
    <row r="298" spans="1:54" ht="14.1" customHeight="1">
      <c r="A298" s="145">
        <v>298</v>
      </c>
      <c r="B298" s="144" t="str">
        <f>$B$1</f>
        <v>Proforma</v>
      </c>
      <c r="C298" s="144"/>
      <c r="D298" s="144"/>
      <c r="E298" s="149"/>
      <c r="F298" s="173"/>
      <c r="G298" s="173"/>
      <c r="H298" s="173"/>
      <c r="I298" s="173" t="str">
        <f>$I$1</f>
        <v>Natural Gas Utility</v>
      </c>
      <c r="J298" s="173"/>
      <c r="K298" s="173"/>
      <c r="L298" s="173"/>
      <c r="M298" s="458"/>
      <c r="O298" s="173"/>
      <c r="P298" s="173"/>
      <c r="Q298" s="173"/>
      <c r="R298" s="173"/>
      <c r="S298" s="466"/>
      <c r="T298" s="466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G298" s="173"/>
      <c r="AH298" s="173"/>
      <c r="AI298" s="458"/>
      <c r="AJ298" s="458"/>
      <c r="AK298" s="458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49"/>
      <c r="AV298" s="149"/>
      <c r="AW298" s="177"/>
      <c r="AX298" s="145"/>
      <c r="AY298" s="177"/>
      <c r="AZ298" s="146"/>
      <c r="BA298" s="146"/>
      <c r="BB298" s="145"/>
    </row>
    <row r="299" spans="1:54" ht="14.1" customHeight="1">
      <c r="A299" s="145">
        <v>299</v>
      </c>
      <c r="B299" s="144" t="str">
        <f>$B$2</f>
        <v>Pro Forma Results of Operations</v>
      </c>
      <c r="C299" s="144"/>
      <c r="D299" s="144"/>
      <c r="E299" s="149" t="s">
        <v>104</v>
      </c>
      <c r="F299" s="173"/>
      <c r="G299" s="173"/>
      <c r="H299" s="173"/>
      <c r="I299" s="173"/>
      <c r="J299" s="173"/>
      <c r="K299" s="173"/>
      <c r="L299" s="173"/>
      <c r="M299" s="176"/>
      <c r="O299" s="173" t="str">
        <f>E299</f>
        <v>Accumulated Reserve For Depreciation</v>
      </c>
      <c r="P299" s="173"/>
      <c r="Q299" s="173"/>
      <c r="R299" s="173"/>
      <c r="S299" s="176"/>
      <c r="T299" s="176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 t="str">
        <f>E299</f>
        <v>Accumulated Reserve For Depreciation</v>
      </c>
      <c r="AF299" s="173"/>
      <c r="AG299" s="173"/>
      <c r="AH299" s="173"/>
      <c r="AI299" s="176"/>
      <c r="AJ299" s="176"/>
      <c r="AK299" s="176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49"/>
      <c r="AV299" s="149"/>
      <c r="AW299" s="175"/>
      <c r="AX299" s="145"/>
      <c r="AY299" s="175"/>
      <c r="AZ299" s="146"/>
      <c r="BA299" s="146"/>
      <c r="BB299" s="145"/>
    </row>
    <row r="300" spans="1:54" ht="14.1" customHeight="1">
      <c r="A300" s="145">
        <v>300</v>
      </c>
      <c r="B300" s="144" t="str">
        <f>$B$3</f>
        <v>Company Base Case</v>
      </c>
      <c r="C300" s="144"/>
      <c r="D300" s="144"/>
      <c r="E300" s="149"/>
      <c r="F300" s="173"/>
      <c r="G300" s="173"/>
      <c r="H300" s="173"/>
      <c r="I300" s="173"/>
      <c r="J300" s="173"/>
      <c r="K300" s="173"/>
      <c r="L300" s="173"/>
      <c r="M300" s="459"/>
      <c r="O300" s="173"/>
      <c r="P300" s="173"/>
      <c r="Q300" s="173"/>
      <c r="R300" s="173"/>
      <c r="S300" s="459"/>
      <c r="T300" s="459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49"/>
      <c r="AV300" s="149"/>
      <c r="AW300" s="174"/>
      <c r="AX300" s="145"/>
      <c r="AY300" s="174"/>
      <c r="AZ300" s="146"/>
      <c r="BA300" s="146"/>
      <c r="BB300" s="145"/>
    </row>
    <row r="301" spans="1:54" ht="14.1" customHeight="1">
      <c r="A301" s="145">
        <v>301</v>
      </c>
      <c r="B301" s="144"/>
      <c r="C301" s="144"/>
      <c r="D301" s="144"/>
      <c r="E301" s="149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49"/>
      <c r="AV301" s="149"/>
      <c r="AW301" s="149"/>
      <c r="AX301" s="145"/>
      <c r="AY301" s="149"/>
      <c r="AZ301" s="146"/>
      <c r="BA301" s="146"/>
      <c r="BB301" s="145"/>
    </row>
    <row r="302" spans="1:54" ht="14.1" customHeight="1">
      <c r="A302" s="145">
        <v>302</v>
      </c>
      <c r="B302" s="171"/>
      <c r="C302" s="171"/>
      <c r="D302" s="171"/>
      <c r="E302" s="171"/>
      <c r="F302" s="172">
        <f t="shared" ref="F302:AT302" si="249">F$5</f>
        <v>1</v>
      </c>
      <c r="G302" s="453">
        <f t="shared" si="249"/>
        <v>1.01</v>
      </c>
      <c r="H302" s="453">
        <f t="shared" si="249"/>
        <v>1.02</v>
      </c>
      <c r="I302" s="453">
        <f t="shared" si="249"/>
        <v>1.03</v>
      </c>
      <c r="J302" s="453">
        <f t="shared" si="249"/>
        <v>2.0099999999999998</v>
      </c>
      <c r="K302" s="453">
        <f t="shared" si="249"/>
        <v>2.02</v>
      </c>
      <c r="L302" s="453">
        <f t="shared" si="249"/>
        <v>2.0299999999999998</v>
      </c>
      <c r="M302" s="453">
        <f t="shared" si="249"/>
        <v>2.04</v>
      </c>
      <c r="N302" s="453">
        <f t="shared" si="249"/>
        <v>2.0499999999999998</v>
      </c>
      <c r="O302" s="453">
        <f t="shared" si="249"/>
        <v>2.06</v>
      </c>
      <c r="P302" s="453">
        <f t="shared" si="249"/>
        <v>2.0699999999999998</v>
      </c>
      <c r="Q302" s="453">
        <f t="shared" si="249"/>
        <v>2.08</v>
      </c>
      <c r="R302" s="453">
        <f t="shared" si="249"/>
        <v>2.09</v>
      </c>
      <c r="S302" s="453">
        <f>S$5</f>
        <v>2.1</v>
      </c>
      <c r="T302" s="453">
        <f>T$5</f>
        <v>2.11</v>
      </c>
      <c r="U302" s="453">
        <f t="shared" si="249"/>
        <v>2.12</v>
      </c>
      <c r="V302" s="453">
        <f t="shared" si="249"/>
        <v>2.13</v>
      </c>
      <c r="W302" s="453">
        <f t="shared" si="249"/>
        <v>2.14</v>
      </c>
      <c r="X302" s="453">
        <f t="shared" si="249"/>
        <v>2.15</v>
      </c>
      <c r="Y302" s="453">
        <f t="shared" si="249"/>
        <v>3.01</v>
      </c>
      <c r="Z302" s="453">
        <f t="shared" si="249"/>
        <v>3.02</v>
      </c>
      <c r="AA302" s="453">
        <f t="shared" si="249"/>
        <v>3.03</v>
      </c>
      <c r="AB302" s="453">
        <f t="shared" si="249"/>
        <v>3.04</v>
      </c>
      <c r="AC302" s="453">
        <f t="shared" si="249"/>
        <v>3.05</v>
      </c>
      <c r="AD302" s="453">
        <f t="shared" si="249"/>
        <v>3.06</v>
      </c>
      <c r="AE302" s="453">
        <f t="shared" si="249"/>
        <v>3.07</v>
      </c>
      <c r="AF302" s="453">
        <f t="shared" si="249"/>
        <v>3.08</v>
      </c>
      <c r="AG302" s="453">
        <f t="shared" si="249"/>
        <v>3.09</v>
      </c>
      <c r="AH302" s="453">
        <f t="shared" si="249"/>
        <v>3.1</v>
      </c>
      <c r="AI302" s="453">
        <f>AI$5</f>
        <v>3.11</v>
      </c>
      <c r="AJ302" s="453">
        <f>AJ$5</f>
        <v>3.12</v>
      </c>
      <c r="AK302" s="453">
        <f t="shared" si="249"/>
        <v>3.13</v>
      </c>
      <c r="AL302" s="453">
        <f t="shared" si="249"/>
        <v>3.14</v>
      </c>
      <c r="AM302" s="453">
        <f t="shared" si="249"/>
        <v>3.15</v>
      </c>
      <c r="AN302" s="453">
        <f t="shared" si="249"/>
        <v>3.16</v>
      </c>
      <c r="AO302" s="453">
        <f t="shared" si="249"/>
        <v>3.17</v>
      </c>
      <c r="AP302" s="453">
        <f t="shared" si="249"/>
        <v>3.18</v>
      </c>
      <c r="AQ302" s="453">
        <f t="shared" si="249"/>
        <v>3.19</v>
      </c>
      <c r="AR302" s="453">
        <f t="shared" si="249"/>
        <v>3.2</v>
      </c>
      <c r="AS302" s="453">
        <f t="shared" si="249"/>
        <v>4.01</v>
      </c>
      <c r="AT302" s="453">
        <f t="shared" si="249"/>
        <v>4.0199999999999996</v>
      </c>
      <c r="AU302" s="171"/>
      <c r="AV302" s="171" t="str">
        <f>AV$5</f>
        <v>(av)</v>
      </c>
      <c r="AW302" s="171" t="str">
        <f>AW$5</f>
        <v>(aw)</v>
      </c>
      <c r="AX302" s="171" t="str">
        <f>AX$5</f>
        <v>(ax)</v>
      </c>
      <c r="AY302" s="171" t="str">
        <f>AY$5</f>
        <v>(ay)</v>
      </c>
      <c r="AZ302" s="146"/>
      <c r="BA302" s="146"/>
      <c r="BB302" s="186"/>
    </row>
    <row r="303" spans="1:54" ht="14.1" customHeight="1">
      <c r="A303" s="145">
        <v>303</v>
      </c>
      <c r="B303" s="168" t="str">
        <f>IF(ISBLANK(B$6),"",B$6)</f>
        <v/>
      </c>
      <c r="C303" s="168" t="str">
        <f>IF(ISBLANK(C$6),"",C$6)</f>
        <v/>
      </c>
      <c r="D303" s="168" t="str">
        <f>IF(ISBLANK(D$6),"",D$6)</f>
        <v/>
      </c>
      <c r="E303" s="168" t="str">
        <f>IF(ISBLANK(E$6),"",E$6)</f>
        <v>Notes</v>
      </c>
      <c r="F303" s="168" t="s">
        <v>622</v>
      </c>
      <c r="G303" s="454" t="str">
        <f t="shared" ref="G303:AT303" si="250">G6</f>
        <v>Deferred FIT</v>
      </c>
      <c r="H303" s="454" t="str">
        <f t="shared" si="250"/>
        <v>Deferred Debits</v>
      </c>
      <c r="I303" s="454" t="str">
        <f t="shared" si="250"/>
        <v xml:space="preserve">Working </v>
      </c>
      <c r="J303" s="454" t="str">
        <f t="shared" si="250"/>
        <v>Eliminate</v>
      </c>
      <c r="K303" s="454" t="str">
        <f t="shared" si="250"/>
        <v>Restate</v>
      </c>
      <c r="L303" s="454" t="str">
        <f t="shared" si="250"/>
        <v>Uncollectible</v>
      </c>
      <c r="M303" s="454" t="str">
        <f t="shared" si="250"/>
        <v>Regulatory</v>
      </c>
      <c r="N303" s="454" t="str">
        <f t="shared" si="250"/>
        <v>Injuries &amp;</v>
      </c>
      <c r="O303" s="454" t="str">
        <f t="shared" si="250"/>
        <v>FIT/DFIT</v>
      </c>
      <c r="P303" s="454" t="str">
        <f t="shared" si="250"/>
        <v>Office Space</v>
      </c>
      <c r="Q303" s="454" t="str">
        <f t="shared" si="250"/>
        <v>Restate</v>
      </c>
      <c r="R303" s="454" t="str">
        <f t="shared" si="250"/>
        <v>Net Gains/</v>
      </c>
      <c r="S303" s="454" t="str">
        <f t="shared" si="250"/>
        <v>Weather Normalization</v>
      </c>
      <c r="T303" s="454" t="str">
        <f t="shared" si="250"/>
        <v>Eliminate</v>
      </c>
      <c r="U303" s="454" t="str">
        <f t="shared" si="250"/>
        <v>Misc. Restating</v>
      </c>
      <c r="V303" s="454" t="str">
        <f t="shared" si="250"/>
        <v xml:space="preserve">Restating </v>
      </c>
      <c r="W303" s="454" t="str">
        <f t="shared" si="250"/>
        <v xml:space="preserve">Restate </v>
      </c>
      <c r="X303" s="454" t="str">
        <f t="shared" si="250"/>
        <v xml:space="preserve">Restate </v>
      </c>
      <c r="Y303" s="454" t="str">
        <f t="shared" si="250"/>
        <v>Pro Forma Revenue</v>
      </c>
      <c r="Z303" s="454" t="str">
        <f t="shared" si="250"/>
        <v xml:space="preserve">Pro Forma Def. </v>
      </c>
      <c r="AA303" s="454" t="str">
        <f t="shared" si="250"/>
        <v>Pro Forma</v>
      </c>
      <c r="AB303" s="454" t="str">
        <f t="shared" ref="AB303" si="251">AB6</f>
        <v>Pro Forma</v>
      </c>
      <c r="AC303" s="454" t="str">
        <f t="shared" si="250"/>
        <v>Pro Forma</v>
      </c>
      <c r="AD303" s="454" t="str">
        <f t="shared" si="250"/>
        <v>Pro Forma</v>
      </c>
      <c r="AE303" s="454" t="str">
        <f t="shared" si="250"/>
        <v>Pro Forma</v>
      </c>
      <c r="AF303" s="454" t="str">
        <f t="shared" ref="AF303:AH303" si="252">AF6</f>
        <v>Pro Forma</v>
      </c>
      <c r="AG303" s="454" t="str">
        <f t="shared" si="252"/>
        <v>Remove</v>
      </c>
      <c r="AH303" s="454" t="str">
        <f t="shared" si="252"/>
        <v>Pro Forma</v>
      </c>
      <c r="AI303" s="454" t="str">
        <f t="shared" ref="AI303:AJ305" si="253">AI6</f>
        <v>Pro Forma</v>
      </c>
      <c r="AJ303" s="454" t="str">
        <f t="shared" si="253"/>
        <v>Pro Forma</v>
      </c>
      <c r="AK303" s="454" t="str">
        <f t="shared" si="250"/>
        <v>Pro Forma</v>
      </c>
      <c r="AL303" s="454" t="str">
        <f t="shared" si="250"/>
        <v xml:space="preserve">Pro Forma </v>
      </c>
      <c r="AM303" s="454" t="str">
        <f t="shared" si="250"/>
        <v>Pro Forma</v>
      </c>
      <c r="AN303" s="454" t="str">
        <f t="shared" ref="AN303:AR303" si="254">AN6</f>
        <v>Pro Forma</v>
      </c>
      <c r="AO303" s="454" t="str">
        <f t="shared" si="254"/>
        <v>Pro Forma</v>
      </c>
      <c r="AP303" s="454" t="str">
        <f t="shared" si="254"/>
        <v>Pro Forma</v>
      </c>
      <c r="AQ303" s="454" t="str">
        <f t="shared" si="254"/>
        <v>Pro Forma</v>
      </c>
      <c r="AR303" s="454" t="str">
        <f t="shared" si="254"/>
        <v>Pro Forma</v>
      </c>
      <c r="AS303" s="454" t="str">
        <f t="shared" si="250"/>
        <v>Provisional Capital Add.</v>
      </c>
      <c r="AT303" s="454" t="str">
        <f t="shared" si="250"/>
        <v>2024-2025</v>
      </c>
      <c r="AU303" s="168"/>
      <c r="AV303" s="168" t="str">
        <f>IF(ISBLANK(AV$6),"",AV$6)</f>
        <v>Net Total</v>
      </c>
      <c r="AW303" s="168" t="str">
        <f>IF(ISBLANK(AW$6),"",AW$6)</f>
        <v>Total</v>
      </c>
      <c r="AX303" s="168" t="str">
        <f>IF(ISBLANK(AX$6),"",AX$6)</f>
        <v>check</v>
      </c>
      <c r="AY303" s="168" t="str">
        <f>IF(ISBLANK(AY$6),"",AY$6)</f>
        <v>Total</v>
      </c>
      <c r="AZ303" s="146"/>
      <c r="BA303" s="146"/>
      <c r="BB303" s="168"/>
    </row>
    <row r="304" spans="1:54" ht="14.1" customHeight="1">
      <c r="A304" s="145">
        <v>304</v>
      </c>
      <c r="B304" s="170" t="str">
        <f>IF(ISBLANK(B$7),"",B$7)</f>
        <v>Account</v>
      </c>
      <c r="C304" s="169" t="str">
        <f>IF(ISBLANK(C$7),"",C$7)</f>
        <v>Description</v>
      </c>
      <c r="D304" s="168"/>
      <c r="E304" s="168" t="str">
        <f>IF(ISBLANK(E$7),"",E$7)</f>
        <v/>
      </c>
      <c r="F304" s="168" t="s">
        <v>621</v>
      </c>
      <c r="G304" s="454" t="str">
        <f t="shared" ref="G304:AT304" si="255">G7</f>
        <v>Rate Base</v>
      </c>
      <c r="H304" s="454" t="str">
        <f t="shared" si="255"/>
        <v>and Credits</v>
      </c>
      <c r="I304" s="454" t="str">
        <f t="shared" si="255"/>
        <v>Capital</v>
      </c>
      <c r="J304" s="454" t="str">
        <f t="shared" si="255"/>
        <v>B &amp; O Taxes</v>
      </c>
      <c r="K304" s="454" t="str">
        <f t="shared" si="255"/>
        <v>Property Taxes</v>
      </c>
      <c r="L304" s="454" t="str">
        <f t="shared" si="255"/>
        <v>Expense</v>
      </c>
      <c r="M304" s="454" t="str">
        <f t="shared" si="255"/>
        <v>Expense</v>
      </c>
      <c r="N304" s="454" t="str">
        <f t="shared" si="255"/>
        <v>Damages</v>
      </c>
      <c r="O304" s="454" t="str">
        <f t="shared" si="255"/>
        <v>Expense</v>
      </c>
      <c r="P304" s="454" t="str">
        <f t="shared" si="255"/>
        <v>Charges to Subs</v>
      </c>
      <c r="Q304" s="454" t="str">
        <f t="shared" si="255"/>
        <v>Excise Tax</v>
      </c>
      <c r="R304" s="454" t="str">
        <f t="shared" si="255"/>
        <v>Losses</v>
      </c>
      <c r="S304" s="454" t="str">
        <f t="shared" si="255"/>
        <v>Gas Cost Adjust</v>
      </c>
      <c r="T304" s="454" t="str">
        <f t="shared" si="255"/>
        <v>Adder Schedules</v>
      </c>
      <c r="U304" s="454" t="str">
        <f t="shared" si="255"/>
        <v>Adjustments</v>
      </c>
      <c r="V304" s="454" t="str">
        <f t="shared" si="255"/>
        <v>Incentives</v>
      </c>
      <c r="W304" s="454" t="str">
        <f t="shared" si="255"/>
        <v>Debt Int</v>
      </c>
      <c r="X304" s="454" t="str">
        <f t="shared" si="255"/>
        <v>09.2021 Rate Base</v>
      </c>
      <c r="Y304" s="454" t="str">
        <f t="shared" si="255"/>
        <v>Normalization</v>
      </c>
      <c r="Z304" s="454" t="str">
        <f t="shared" si="255"/>
        <v>Debits &amp; Credits</v>
      </c>
      <c r="AA304" s="454" t="str">
        <f t="shared" si="255"/>
        <v>EDIT (RSGM)</v>
      </c>
      <c r="AB304" s="454" t="str">
        <f t="shared" ref="AB304" si="256">AB7</f>
        <v>AMI Amortization</v>
      </c>
      <c r="AC304" s="454" t="str">
        <f t="shared" si="255"/>
        <v>Non-Exec Labor</v>
      </c>
      <c r="AD304" s="454" t="str">
        <f t="shared" si="255"/>
        <v>Exec Labor</v>
      </c>
      <c r="AE304" s="454" t="str">
        <f t="shared" si="255"/>
        <v>Empl. Benefits</v>
      </c>
      <c r="AF304" s="454" t="str">
        <f t="shared" ref="AF304:AH304" si="257">AF7</f>
        <v>Incentives</v>
      </c>
      <c r="AG304" s="454" t="str">
        <f t="shared" si="257"/>
        <v>LIRAP Labor</v>
      </c>
      <c r="AH304" s="454" t="str">
        <f t="shared" si="257"/>
        <v>CCA Labor</v>
      </c>
      <c r="AI304" s="454" t="str">
        <f t="shared" si="253"/>
        <v>Property Tax</v>
      </c>
      <c r="AJ304" s="454" t="str">
        <f t="shared" si="253"/>
        <v>Insurance Expense</v>
      </c>
      <c r="AK304" s="454" t="str">
        <f t="shared" si="255"/>
        <v>IS/IT</v>
      </c>
      <c r="AL304" s="454" t="str">
        <f t="shared" si="255"/>
        <v>Misc O&amp;M Expense</v>
      </c>
      <c r="AM304" s="454" t="str">
        <f t="shared" si="255"/>
        <v>Capital Add. To 12/31/23 EOP</v>
      </c>
      <c r="AN304" s="454" t="str">
        <f t="shared" ref="AN304:AR304" si="258">AN7</f>
        <v>Dep. Expense</v>
      </c>
      <c r="AO304" s="454" t="str">
        <f t="shared" si="258"/>
        <v>Capital Add. To 12/31/24 EOP</v>
      </c>
      <c r="AP304" s="454" t="str">
        <f t="shared" si="258"/>
        <v>New Reg. Amort.</v>
      </c>
      <c r="AQ304" s="454" t="str">
        <f t="shared" si="258"/>
        <v>Nucleus/ETRM Exp.</v>
      </c>
      <c r="AR304" s="454" t="str">
        <f t="shared" si="258"/>
        <v>BOD Fees Exp.</v>
      </c>
      <c r="AS304" s="454" t="str">
        <f t="shared" si="255"/>
        <v>to 12.31.25 AMA</v>
      </c>
      <c r="AT304" s="454" t="str">
        <f t="shared" si="255"/>
        <v xml:space="preserve">Cap. Adds O&amp;M and Rev. </v>
      </c>
      <c r="AU304" s="168"/>
      <c r="AV304" s="168" t="str">
        <f>IF(ISBLANK(AV$7),"",AV$7)</f>
        <v>of All</v>
      </c>
      <c r="AW304" s="168" t="str">
        <f>IF(ISBLANK(AW$7),"",AW$7)</f>
        <v/>
      </c>
      <c r="AX304" s="168" t="str">
        <f>IF(ISBLANK(AX$7),"",AX$7)</f>
        <v/>
      </c>
      <c r="AY304" s="168" t="str">
        <f>IF(ISBLANK(AY$7),"",AY$7)</f>
        <v>$000's</v>
      </c>
      <c r="AZ304" s="146"/>
      <c r="BA304" s="146"/>
      <c r="BB304" s="168"/>
    </row>
    <row r="305" spans="1:54" ht="14.1" customHeight="1">
      <c r="A305" s="145">
        <v>305</v>
      </c>
      <c r="B305" s="168" t="str">
        <f>IF(ISBLANK(B$8),"",B$8)</f>
        <v/>
      </c>
      <c r="C305" s="168" t="str">
        <f>IF(ISBLANK(C$8),"",C$8)</f>
        <v/>
      </c>
      <c r="D305" s="168" t="str">
        <f>IF(ISBLANK(D$8),"",D$8)</f>
        <v/>
      </c>
      <c r="E305" s="168" t="str">
        <f>IF(ISBLANK(E$8),"",E$8)</f>
        <v/>
      </c>
      <c r="F305" s="168"/>
      <c r="G305" s="454" t="str">
        <f t="shared" ref="G305:AT305" si="259">G8</f>
        <v>G-DFIT</v>
      </c>
      <c r="H305" s="454" t="str">
        <f t="shared" si="259"/>
        <v>G-DDC</v>
      </c>
      <c r="I305" s="454" t="str">
        <f t="shared" si="259"/>
        <v>G-WC</v>
      </c>
      <c r="J305" s="454" t="str">
        <f t="shared" si="259"/>
        <v>G-EBO</v>
      </c>
      <c r="K305" s="454" t="str">
        <f t="shared" si="259"/>
        <v>G-RPT</v>
      </c>
      <c r="L305" s="454" t="str">
        <f t="shared" si="259"/>
        <v>G-UE</v>
      </c>
      <c r="M305" s="454" t="str">
        <f t="shared" si="259"/>
        <v>G-RE</v>
      </c>
      <c r="N305" s="454" t="str">
        <f t="shared" si="259"/>
        <v>G-ID</v>
      </c>
      <c r="O305" s="454" t="str">
        <f t="shared" si="259"/>
        <v>G-FIT</v>
      </c>
      <c r="P305" s="454" t="str">
        <f t="shared" si="259"/>
        <v>G-OSC</v>
      </c>
      <c r="Q305" s="454" t="str">
        <f t="shared" si="259"/>
        <v>G-RET</v>
      </c>
      <c r="R305" s="454" t="str">
        <f t="shared" si="259"/>
        <v>G-NGL</v>
      </c>
      <c r="S305" s="454" t="str">
        <f t="shared" si="259"/>
        <v>G-WNGC</v>
      </c>
      <c r="T305" s="454" t="str">
        <f t="shared" si="259"/>
        <v>G-EAS</v>
      </c>
      <c r="U305" s="454" t="str">
        <f t="shared" si="259"/>
        <v>G-MR</v>
      </c>
      <c r="V305" s="454" t="str">
        <f t="shared" si="259"/>
        <v>G-RI</v>
      </c>
      <c r="W305" s="454" t="str">
        <f t="shared" si="259"/>
        <v>G-DI</v>
      </c>
      <c r="X305" s="454" t="str">
        <f t="shared" si="259"/>
        <v>G-EOP09.2021</v>
      </c>
      <c r="Y305" s="454" t="str">
        <f t="shared" si="259"/>
        <v>G-PREV</v>
      </c>
      <c r="Z305" s="454" t="str">
        <f t="shared" si="259"/>
        <v>G-PRA</v>
      </c>
      <c r="AA305" s="454" t="str">
        <f t="shared" si="259"/>
        <v>G-EDIT</v>
      </c>
      <c r="AB305" s="454" t="str">
        <f t="shared" ref="AB305" si="260">AB8</f>
        <v>G-PAMI</v>
      </c>
      <c r="AC305" s="454" t="str">
        <f t="shared" si="259"/>
        <v>G-PLN</v>
      </c>
      <c r="AD305" s="454" t="str">
        <f t="shared" si="259"/>
        <v>G-PLE</v>
      </c>
      <c r="AE305" s="454" t="str">
        <f t="shared" si="259"/>
        <v>G-PEB</v>
      </c>
      <c r="AF305" s="454" t="str">
        <f t="shared" ref="AF305:AH305" si="261">AF8</f>
        <v>G-Pinc</v>
      </c>
      <c r="AG305" s="454" t="str">
        <f t="shared" si="261"/>
        <v>G-LIRAP</v>
      </c>
      <c r="AH305" s="454" t="str">
        <f t="shared" si="261"/>
        <v>G-CCA</v>
      </c>
      <c r="AI305" s="454" t="str">
        <f t="shared" si="253"/>
        <v>G-PPT</v>
      </c>
      <c r="AJ305" s="454" t="str">
        <f t="shared" si="253"/>
        <v>G-PINS</v>
      </c>
      <c r="AK305" s="454" t="str">
        <f t="shared" si="259"/>
        <v>G-PIT</v>
      </c>
      <c r="AL305" s="454" t="str">
        <f t="shared" si="259"/>
        <v>G-PMisc</v>
      </c>
      <c r="AM305" s="454" t="str">
        <f t="shared" si="259"/>
        <v>G-CAP23E</v>
      </c>
      <c r="AN305" s="454" t="str">
        <f t="shared" ref="AN305:AR305" si="262">AN8</f>
        <v>G-DEP</v>
      </c>
      <c r="AO305" s="454" t="str">
        <f t="shared" si="262"/>
        <v>G-CAP24E</v>
      </c>
      <c r="AP305" s="454" t="str">
        <f t="shared" si="262"/>
        <v>G-NRA</v>
      </c>
      <c r="AQ305" s="454" t="str">
        <f t="shared" si="262"/>
        <v>G-ETRM</v>
      </c>
      <c r="AR305" s="454" t="str">
        <f t="shared" si="262"/>
        <v>G-PBOD</v>
      </c>
      <c r="AS305" s="454" t="str">
        <f t="shared" si="259"/>
        <v>G-CAP25A</v>
      </c>
      <c r="AT305" s="454" t="str">
        <f t="shared" si="259"/>
        <v>G-Offsets25</v>
      </c>
      <c r="AU305" s="168"/>
      <c r="AV305" s="168" t="str">
        <f>IF(ISBLANK(AV$8),"",AV$8)</f>
        <v>Adjustments</v>
      </c>
      <c r="AW305" s="168" t="str">
        <f>IF(ISBLANK(AW$8),"",AW$8)</f>
        <v/>
      </c>
      <c r="AX305" s="168" t="str">
        <f>IF(ISBLANK(AX$8),"",AX$8)</f>
        <v/>
      </c>
      <c r="AY305" s="168" t="str">
        <f>IF(ISBLANK(AY$8),"",AY$8)</f>
        <v>in bold</v>
      </c>
      <c r="AZ305" s="146"/>
      <c r="BA305" s="146"/>
      <c r="BB305" s="168"/>
    </row>
    <row r="306" spans="1:54" ht="14.1" customHeight="1">
      <c r="A306" s="145">
        <v>306</v>
      </c>
      <c r="B306" s="144"/>
      <c r="C306" s="144"/>
      <c r="D306" s="144"/>
      <c r="AV306" s="144"/>
      <c r="AW306" s="144"/>
      <c r="AX306" s="168">
        <f>AX$9</f>
        <v>0</v>
      </c>
      <c r="AY306" s="144"/>
      <c r="AZ306" s="146"/>
      <c r="BA306" s="146"/>
      <c r="BB306" s="168"/>
    </row>
    <row r="307" spans="1:54" ht="14.1" customHeight="1">
      <c r="A307" s="145">
        <v>307</v>
      </c>
      <c r="B307" s="157" t="s">
        <v>633</v>
      </c>
      <c r="C307" s="144"/>
      <c r="D307" s="144"/>
      <c r="E307" s="141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1"/>
      <c r="AV307" s="149"/>
      <c r="AW307" s="149"/>
      <c r="AX307" s="145"/>
      <c r="AY307" s="149"/>
      <c r="AZ307" s="146"/>
      <c r="BA307" s="146"/>
      <c r="BB307" s="145"/>
    </row>
    <row r="308" spans="1:54" ht="14.1" customHeight="1">
      <c r="A308" s="145">
        <v>308</v>
      </c>
      <c r="B308" s="160"/>
      <c r="C308" s="182" t="s">
        <v>632</v>
      </c>
      <c r="D308" s="144"/>
      <c r="E308" s="141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1"/>
      <c r="AV308" s="149"/>
      <c r="AW308" s="149"/>
      <c r="AX308" s="145"/>
      <c r="AY308" s="149"/>
      <c r="AZ308" s="146"/>
      <c r="BA308" s="146"/>
      <c r="BB308" s="145"/>
    </row>
    <row r="309" spans="1:54" ht="14.1" customHeight="1">
      <c r="A309" s="145">
        <v>309</v>
      </c>
      <c r="B309" s="185">
        <v>350</v>
      </c>
      <c r="C309" s="144" t="s">
        <v>252</v>
      </c>
      <c r="D309" s="144"/>
      <c r="E309" s="141"/>
      <c r="F309" s="150">
        <v>22000</v>
      </c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66">
        <f>ROUND(F309/$F$317*-258000,-3)</f>
        <v>0</v>
      </c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66">
        <f>ROUND(F309/$F$317*-264000,-3)</f>
        <v>0</v>
      </c>
      <c r="AN309" s="166">
        <f>ROUND(F309/$F$317*0,-3)</f>
        <v>0</v>
      </c>
      <c r="AO309" s="166">
        <f>ROUND(F309/$F$317*-542000,-3)</f>
        <v>-1000</v>
      </c>
      <c r="AP309" s="166"/>
      <c r="AQ309" s="166"/>
      <c r="AR309" s="166"/>
      <c r="AS309" s="166">
        <f>ROUND(F309/$F$317*-280000,-3)</f>
        <v>0</v>
      </c>
      <c r="AT309" s="166">
        <f>ROUND(F309/$F$317*0,-3)</f>
        <v>0</v>
      </c>
      <c r="AU309" s="141"/>
      <c r="AV309" s="149">
        <f t="shared" ref="AV309:AV316" si="263">-SUM(G309:AT309)</f>
        <v>1000</v>
      </c>
      <c r="AW309" s="149">
        <f t="shared" ref="AW309:AW316" si="264">F309+AV309</f>
        <v>23000</v>
      </c>
      <c r="AX309" s="145"/>
      <c r="AY309" s="149">
        <f t="shared" ref="AY309:AY316" si="265">-ROUND(AW309/1000,0)*1000</f>
        <v>-23000</v>
      </c>
      <c r="AZ309" s="146"/>
      <c r="BA309" s="146"/>
      <c r="BB309" s="145"/>
    </row>
    <row r="310" spans="1:54" ht="14.1" customHeight="1">
      <c r="A310" s="145">
        <v>310</v>
      </c>
      <c r="B310" s="185">
        <v>351</v>
      </c>
      <c r="C310" s="144" t="s">
        <v>253</v>
      </c>
      <c r="D310" s="144"/>
      <c r="E310" s="141"/>
      <c r="F310" s="150">
        <v>700000</v>
      </c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66">
        <f t="shared" ref="X310:X316" si="266">ROUND(F310/$F$317*-258000,-3)</f>
        <v>-14000</v>
      </c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66">
        <f t="shared" ref="AM310:AM316" si="267">ROUND(F310/$F$317*-264000,-3)</f>
        <v>-14000</v>
      </c>
      <c r="AN310" s="166">
        <f t="shared" ref="AN310:AN316" si="268">ROUND(F310/$F$317*0,-3)</f>
        <v>0</v>
      </c>
      <c r="AO310" s="166">
        <f t="shared" ref="AO310:AO316" si="269">ROUND(F310/$F$317*-542000,-3)</f>
        <v>-29000</v>
      </c>
      <c r="AP310" s="166"/>
      <c r="AQ310" s="166"/>
      <c r="AR310" s="166"/>
      <c r="AS310" s="166">
        <f t="shared" ref="AS310:AS316" si="270">ROUND(F310/$F$317*-280000,-3)</f>
        <v>-15000</v>
      </c>
      <c r="AT310" s="166">
        <f t="shared" ref="AT310:AT316" si="271">ROUND(F310/$F$317*0,-3)</f>
        <v>0</v>
      </c>
      <c r="AU310" s="141"/>
      <c r="AV310" s="149">
        <f t="shared" si="263"/>
        <v>72000</v>
      </c>
      <c r="AW310" s="149">
        <f t="shared" si="264"/>
        <v>772000</v>
      </c>
      <c r="AX310" s="145"/>
      <c r="AY310" s="149">
        <f t="shared" si="265"/>
        <v>-772000</v>
      </c>
      <c r="AZ310" s="146"/>
      <c r="BA310" s="146"/>
      <c r="BB310" s="145"/>
    </row>
    <row r="311" spans="1:54" ht="14.1" customHeight="1">
      <c r="A311" s="145">
        <v>311</v>
      </c>
      <c r="B311" s="185">
        <v>352</v>
      </c>
      <c r="C311" s="144" t="s">
        <v>254</v>
      </c>
      <c r="D311" s="144"/>
      <c r="E311" s="141"/>
      <c r="F311" s="150">
        <v>7296000</v>
      </c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66">
        <f>ROUND(F311/$F$317*-258000,-3)-1000</f>
        <v>-144000</v>
      </c>
      <c r="Y311" s="150"/>
      <c r="Z311" s="150"/>
      <c r="AA311" s="150"/>
      <c r="AB311" s="150"/>
      <c r="AC311" s="142"/>
      <c r="AD311" s="142"/>
      <c r="AE311" s="142"/>
      <c r="AF311" s="142"/>
      <c r="AG311" s="142"/>
      <c r="AH311" s="142"/>
      <c r="AI311" s="150"/>
      <c r="AJ311" s="150"/>
      <c r="AK311" s="150"/>
      <c r="AM311" s="166">
        <f>ROUND(F311/$F$317*-264000,-3)-1000</f>
        <v>-147000</v>
      </c>
      <c r="AN311" s="166">
        <f t="shared" si="268"/>
        <v>0</v>
      </c>
      <c r="AO311" s="166">
        <f t="shared" si="269"/>
        <v>-301000</v>
      </c>
      <c r="AP311" s="166"/>
      <c r="AQ311" s="166"/>
      <c r="AR311" s="166"/>
      <c r="AS311" s="166">
        <f>ROUND(F311/$F$317*-280000,-3)-1000</f>
        <v>-156000</v>
      </c>
      <c r="AT311" s="166">
        <f t="shared" si="271"/>
        <v>0</v>
      </c>
      <c r="AU311" s="141"/>
      <c r="AV311" s="149">
        <f t="shared" si="263"/>
        <v>748000</v>
      </c>
      <c r="AW311" s="149">
        <f t="shared" si="264"/>
        <v>8044000</v>
      </c>
      <c r="AX311" s="145"/>
      <c r="AY311" s="149">
        <f>-ROUND(AW311/1000,0)*1000</f>
        <v>-8044000</v>
      </c>
      <c r="AZ311" s="146"/>
      <c r="BA311" s="146"/>
      <c r="BB311" s="145"/>
    </row>
    <row r="312" spans="1:54" ht="14.1" customHeight="1">
      <c r="A312" s="145">
        <v>312</v>
      </c>
      <c r="B312" s="185">
        <v>353</v>
      </c>
      <c r="C312" s="144" t="s">
        <v>255</v>
      </c>
      <c r="D312" s="144"/>
      <c r="E312" s="141"/>
      <c r="F312" s="150">
        <v>468000</v>
      </c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66">
        <f t="shared" si="266"/>
        <v>-9000</v>
      </c>
      <c r="Y312" s="150"/>
      <c r="Z312" s="150"/>
      <c r="AA312" s="150"/>
      <c r="AB312" s="150"/>
      <c r="AC312" s="142"/>
      <c r="AD312" s="142"/>
      <c r="AE312" s="142"/>
      <c r="AF312" s="142"/>
      <c r="AG312" s="142"/>
      <c r="AH312" s="142"/>
      <c r="AI312" s="150"/>
      <c r="AJ312" s="150"/>
      <c r="AK312" s="150"/>
      <c r="AL312" s="142"/>
      <c r="AM312" s="166">
        <f t="shared" si="267"/>
        <v>-9000</v>
      </c>
      <c r="AN312" s="166">
        <f t="shared" si="268"/>
        <v>0</v>
      </c>
      <c r="AO312" s="166">
        <f t="shared" si="269"/>
        <v>-19000</v>
      </c>
      <c r="AP312" s="166"/>
      <c r="AQ312" s="166"/>
      <c r="AR312" s="166"/>
      <c r="AS312" s="166">
        <f t="shared" si="270"/>
        <v>-10000</v>
      </c>
      <c r="AT312" s="166">
        <f t="shared" si="271"/>
        <v>0</v>
      </c>
      <c r="AU312" s="141"/>
      <c r="AV312" s="149">
        <f t="shared" si="263"/>
        <v>47000</v>
      </c>
      <c r="AW312" s="149">
        <f t="shared" si="264"/>
        <v>515000</v>
      </c>
      <c r="AX312" s="145"/>
      <c r="AY312" s="149">
        <f t="shared" si="265"/>
        <v>-515000</v>
      </c>
      <c r="AZ312" s="146"/>
      <c r="BA312" s="146"/>
      <c r="BB312" s="145"/>
    </row>
    <row r="313" spans="1:54" ht="14.1" customHeight="1">
      <c r="A313" s="145">
        <v>313</v>
      </c>
      <c r="B313" s="185">
        <v>354</v>
      </c>
      <c r="C313" s="144" t="s">
        <v>256</v>
      </c>
      <c r="D313" s="144"/>
      <c r="E313" s="141"/>
      <c r="F313" s="150">
        <v>2978000</v>
      </c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66">
        <f t="shared" si="266"/>
        <v>-58000</v>
      </c>
      <c r="Y313" s="150"/>
      <c r="Z313" s="150"/>
      <c r="AA313" s="150"/>
      <c r="AB313" s="150"/>
      <c r="AC313" s="142"/>
      <c r="AD313" s="142"/>
      <c r="AE313" s="142"/>
      <c r="AF313" s="142"/>
      <c r="AG313" s="142"/>
      <c r="AH313" s="142"/>
      <c r="AI313" s="150"/>
      <c r="AJ313" s="150"/>
      <c r="AK313" s="150"/>
      <c r="AL313" s="142"/>
      <c r="AM313" s="166">
        <f t="shared" si="267"/>
        <v>-60000</v>
      </c>
      <c r="AN313" s="166">
        <f t="shared" si="268"/>
        <v>0</v>
      </c>
      <c r="AO313" s="166">
        <f t="shared" si="269"/>
        <v>-123000</v>
      </c>
      <c r="AP313" s="166"/>
      <c r="AQ313" s="166"/>
      <c r="AR313" s="166"/>
      <c r="AS313" s="166">
        <f t="shared" si="270"/>
        <v>-63000</v>
      </c>
      <c r="AT313" s="166">
        <f t="shared" si="271"/>
        <v>0</v>
      </c>
      <c r="AU313" s="141"/>
      <c r="AV313" s="149">
        <f t="shared" si="263"/>
        <v>304000</v>
      </c>
      <c r="AW313" s="149">
        <f t="shared" si="264"/>
        <v>3282000</v>
      </c>
      <c r="AX313" s="145"/>
      <c r="AY313" s="149">
        <f t="shared" si="265"/>
        <v>-3282000</v>
      </c>
      <c r="AZ313" s="146"/>
      <c r="BA313" s="146"/>
      <c r="BB313" s="145"/>
    </row>
    <row r="314" spans="1:54" ht="14.1" customHeight="1">
      <c r="A314" s="145">
        <v>314</v>
      </c>
      <c r="B314" s="185">
        <v>355</v>
      </c>
      <c r="C314" s="144" t="s">
        <v>257</v>
      </c>
      <c r="D314" s="144"/>
      <c r="E314" s="141"/>
      <c r="F314" s="150">
        <v>662000</v>
      </c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66">
        <f t="shared" si="266"/>
        <v>-13000</v>
      </c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66">
        <f t="shared" si="267"/>
        <v>-13000</v>
      </c>
      <c r="AN314" s="166">
        <f t="shared" si="268"/>
        <v>0</v>
      </c>
      <c r="AO314" s="166">
        <f t="shared" si="269"/>
        <v>-27000</v>
      </c>
      <c r="AP314" s="166"/>
      <c r="AQ314" s="166"/>
      <c r="AR314" s="166"/>
      <c r="AS314" s="166">
        <f t="shared" si="270"/>
        <v>-14000</v>
      </c>
      <c r="AT314" s="166">
        <f t="shared" si="271"/>
        <v>0</v>
      </c>
      <c r="AU314" s="141"/>
      <c r="AV314" s="149">
        <f t="shared" si="263"/>
        <v>67000</v>
      </c>
      <c r="AW314" s="149">
        <f t="shared" si="264"/>
        <v>729000</v>
      </c>
      <c r="AX314" s="145"/>
      <c r="AY314" s="149">
        <f t="shared" si="265"/>
        <v>-729000</v>
      </c>
      <c r="AZ314" s="146"/>
      <c r="BA314" s="146"/>
      <c r="BB314" s="145"/>
    </row>
    <row r="315" spans="1:54" ht="14.1" customHeight="1">
      <c r="A315" s="145">
        <v>315</v>
      </c>
      <c r="B315" s="185">
        <v>356</v>
      </c>
      <c r="C315" s="144" t="s">
        <v>258</v>
      </c>
      <c r="D315" s="144"/>
      <c r="E315" s="141"/>
      <c r="F315" s="150">
        <v>278000</v>
      </c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66">
        <f t="shared" si="266"/>
        <v>-5000</v>
      </c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66">
        <f t="shared" si="267"/>
        <v>-6000</v>
      </c>
      <c r="AN315" s="166">
        <f t="shared" si="268"/>
        <v>0</v>
      </c>
      <c r="AO315" s="166">
        <f t="shared" si="269"/>
        <v>-11000</v>
      </c>
      <c r="AP315" s="166"/>
      <c r="AQ315" s="166"/>
      <c r="AR315" s="166"/>
      <c r="AS315" s="166">
        <f t="shared" si="270"/>
        <v>-6000</v>
      </c>
      <c r="AT315" s="166">
        <f t="shared" si="271"/>
        <v>0</v>
      </c>
      <c r="AU315" s="141"/>
      <c r="AV315" s="149">
        <f t="shared" si="263"/>
        <v>28000</v>
      </c>
      <c r="AW315" s="149">
        <f t="shared" si="264"/>
        <v>306000</v>
      </c>
      <c r="AX315" s="145"/>
      <c r="AY315" s="149">
        <f t="shared" si="265"/>
        <v>-306000</v>
      </c>
      <c r="AZ315" s="146"/>
      <c r="BA315" s="146"/>
      <c r="BB315" s="145"/>
    </row>
    <row r="316" spans="1:54" ht="14.1" customHeight="1">
      <c r="A316" s="145">
        <v>316</v>
      </c>
      <c r="B316" s="185">
        <v>357</v>
      </c>
      <c r="C316" s="144" t="s">
        <v>259</v>
      </c>
      <c r="D316" s="144"/>
      <c r="E316" s="141"/>
      <c r="F316" s="150">
        <v>746000</v>
      </c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66">
        <f t="shared" si="266"/>
        <v>-15000</v>
      </c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66"/>
      <c r="AM316" s="166">
        <f t="shared" si="267"/>
        <v>-15000</v>
      </c>
      <c r="AN316" s="166">
        <f t="shared" si="268"/>
        <v>0</v>
      </c>
      <c r="AO316" s="166">
        <f t="shared" si="269"/>
        <v>-31000</v>
      </c>
      <c r="AP316" s="166"/>
      <c r="AQ316" s="166"/>
      <c r="AR316" s="166"/>
      <c r="AS316" s="166">
        <f t="shared" si="270"/>
        <v>-16000</v>
      </c>
      <c r="AT316" s="166">
        <f t="shared" si="271"/>
        <v>0</v>
      </c>
      <c r="AU316" s="141"/>
      <c r="AV316" s="149">
        <f t="shared" si="263"/>
        <v>77000</v>
      </c>
      <c r="AW316" s="149">
        <f t="shared" si="264"/>
        <v>823000</v>
      </c>
      <c r="AX316" s="145"/>
      <c r="AY316" s="149">
        <f t="shared" si="265"/>
        <v>-823000</v>
      </c>
      <c r="AZ316" s="146"/>
      <c r="BA316" s="146"/>
      <c r="BB316" s="145"/>
    </row>
    <row r="317" spans="1:54" s="154" customFormat="1" ht="14.1" customHeight="1">
      <c r="A317" s="145">
        <v>317</v>
      </c>
      <c r="B317" s="157"/>
      <c r="C317" s="157" t="s">
        <v>631</v>
      </c>
      <c r="D317" s="157"/>
      <c r="E317" s="180"/>
      <c r="F317" s="179">
        <f t="shared" ref="F317:AK317" si="272">SUM(F309:F316)</f>
        <v>13150000</v>
      </c>
      <c r="G317" s="179">
        <f t="shared" si="272"/>
        <v>0</v>
      </c>
      <c r="H317" s="179">
        <f t="shared" si="272"/>
        <v>0</v>
      </c>
      <c r="I317" s="179">
        <f t="shared" si="272"/>
        <v>0</v>
      </c>
      <c r="J317" s="179">
        <f>SUM(J309:J316)</f>
        <v>0</v>
      </c>
      <c r="K317" s="179">
        <f>SUM(K309:K316)</f>
        <v>0</v>
      </c>
      <c r="L317" s="179">
        <f t="shared" si="272"/>
        <v>0</v>
      </c>
      <c r="M317" s="179">
        <f t="shared" si="272"/>
        <v>0</v>
      </c>
      <c r="N317" s="179">
        <f t="shared" si="272"/>
        <v>0</v>
      </c>
      <c r="O317" s="179">
        <f t="shared" si="272"/>
        <v>0</v>
      </c>
      <c r="P317" s="179">
        <f>SUM(P309:P316)</f>
        <v>0</v>
      </c>
      <c r="Q317" s="179">
        <f>SUM(Q309:Q316)</f>
        <v>0</v>
      </c>
      <c r="R317" s="179">
        <f>SUM(R309:R316)</f>
        <v>0</v>
      </c>
      <c r="S317" s="179">
        <f>SUM(S309:S316)</f>
        <v>0</v>
      </c>
      <c r="T317" s="179">
        <f>SUM(T309:T316)</f>
        <v>0</v>
      </c>
      <c r="U317" s="179">
        <f t="shared" si="272"/>
        <v>0</v>
      </c>
      <c r="V317" s="179">
        <f t="shared" ref="V317:AB317" si="273">SUM(V309:V316)</f>
        <v>0</v>
      </c>
      <c r="W317" s="179">
        <f t="shared" si="273"/>
        <v>0</v>
      </c>
      <c r="X317" s="179">
        <f t="shared" si="273"/>
        <v>-258000</v>
      </c>
      <c r="Y317" s="179">
        <f t="shared" si="273"/>
        <v>0</v>
      </c>
      <c r="Z317" s="179">
        <f t="shared" si="273"/>
        <v>0</v>
      </c>
      <c r="AA317" s="179">
        <f t="shared" si="273"/>
        <v>0</v>
      </c>
      <c r="AB317" s="179">
        <f t="shared" si="273"/>
        <v>0</v>
      </c>
      <c r="AC317" s="179">
        <f t="shared" si="272"/>
        <v>0</v>
      </c>
      <c r="AD317" s="179">
        <f t="shared" si="272"/>
        <v>0</v>
      </c>
      <c r="AE317" s="179">
        <f t="shared" si="272"/>
        <v>0</v>
      </c>
      <c r="AF317" s="179">
        <f t="shared" si="272"/>
        <v>0</v>
      </c>
      <c r="AG317" s="179">
        <f t="shared" si="272"/>
        <v>0</v>
      </c>
      <c r="AH317" s="179">
        <f t="shared" si="272"/>
        <v>0</v>
      </c>
      <c r="AI317" s="179">
        <f>SUM(AI309:AI316)</f>
        <v>0</v>
      </c>
      <c r="AJ317" s="179">
        <f>SUM(AJ309:AJ316)</f>
        <v>0</v>
      </c>
      <c r="AK317" s="179">
        <f t="shared" si="272"/>
        <v>0</v>
      </c>
      <c r="AL317" s="179">
        <f t="shared" ref="AL317:AT317" si="274">SUM(AL309:AL316)</f>
        <v>0</v>
      </c>
      <c r="AM317" s="179">
        <f t="shared" si="274"/>
        <v>-264000</v>
      </c>
      <c r="AN317" s="179">
        <f t="shared" si="274"/>
        <v>0</v>
      </c>
      <c r="AO317" s="179">
        <f t="shared" si="274"/>
        <v>-542000</v>
      </c>
      <c r="AP317" s="179">
        <f t="shared" si="274"/>
        <v>0</v>
      </c>
      <c r="AQ317" s="179">
        <f t="shared" si="274"/>
        <v>0</v>
      </c>
      <c r="AR317" s="179">
        <f t="shared" si="274"/>
        <v>0</v>
      </c>
      <c r="AS317" s="179">
        <f t="shared" si="274"/>
        <v>-280000</v>
      </c>
      <c r="AT317" s="179">
        <f t="shared" si="274"/>
        <v>0</v>
      </c>
      <c r="AU317" s="158"/>
      <c r="AV317" s="158">
        <f>SUM(AV309:AV316)</f>
        <v>1344000</v>
      </c>
      <c r="AW317" s="158">
        <f>SUM(AW309:AW316)</f>
        <v>14494000</v>
      </c>
      <c r="AX317" s="152" t="str">
        <f>IF(ROUND(SUM(F317:AT317),0)=ROUND(AW317,0),"ok","crossfoot error")</f>
        <v>crossfoot error</v>
      </c>
      <c r="AY317" s="158">
        <f>-SUM(AY309:AY316)/1000</f>
        <v>14494</v>
      </c>
      <c r="AZ317" s="147">
        <v>14492.5</v>
      </c>
      <c r="BA317" s="146">
        <f>AY317-AZ317</f>
        <v>1.5</v>
      </c>
      <c r="BB317" s="152"/>
    </row>
    <row r="318" spans="1:54" ht="14.1" customHeight="1">
      <c r="A318" s="145">
        <v>318</v>
      </c>
      <c r="B318" s="144"/>
      <c r="C318" s="144"/>
      <c r="D318" s="144"/>
      <c r="E318" s="141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1"/>
      <c r="AV318" s="149"/>
      <c r="AW318" s="149"/>
      <c r="AX318" s="145"/>
      <c r="AY318" s="149"/>
      <c r="AZ318" s="146"/>
      <c r="BA318" s="146"/>
      <c r="BB318" s="145"/>
    </row>
    <row r="319" spans="1:54" ht="14.1" customHeight="1">
      <c r="A319" s="145">
        <v>319</v>
      </c>
      <c r="B319" s="144"/>
      <c r="C319" s="182" t="s">
        <v>105</v>
      </c>
      <c r="D319" s="144"/>
      <c r="E319" s="141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1"/>
      <c r="AV319" s="149"/>
      <c r="AW319" s="149"/>
      <c r="AX319" s="145"/>
      <c r="AY319" s="149"/>
      <c r="AZ319" s="146"/>
      <c r="BA319" s="146"/>
      <c r="BB319" s="145"/>
    </row>
    <row r="320" spans="1:54" ht="14.1" customHeight="1">
      <c r="A320" s="145">
        <v>320</v>
      </c>
      <c r="B320" s="143">
        <v>374</v>
      </c>
      <c r="C320" s="144" t="s">
        <v>252</v>
      </c>
      <c r="D320" s="144"/>
      <c r="E320" s="142"/>
      <c r="F320" s="150">
        <v>45000</v>
      </c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66">
        <f>ROUND(F320/$F$333*-7739000,-3)</f>
        <v>-2000</v>
      </c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66"/>
      <c r="AM320" s="166">
        <f>ROUND(F320/$F$333*-7161000,-3)</f>
        <v>-2000</v>
      </c>
      <c r="AN320" s="166">
        <f>ROUND(F320/$F$333*0,-3)</f>
        <v>0</v>
      </c>
      <c r="AO320" s="166">
        <f>ROUND(F320/$F$333*-15082000,-3)</f>
        <v>-4000</v>
      </c>
      <c r="AP320" s="166"/>
      <c r="AQ320" s="166"/>
      <c r="AR320" s="166"/>
      <c r="AS320" s="166">
        <f>ROUND(F320/$F$333*-8158000,-3)</f>
        <v>-2000</v>
      </c>
      <c r="AT320" s="166">
        <f>ROUND(F320/$F$333*0,-3)</f>
        <v>0</v>
      </c>
      <c r="AU320" s="141"/>
      <c r="AV320" s="149">
        <f t="shared" ref="AV320:AV332" si="275">-SUM(G320:AT320)</f>
        <v>10000</v>
      </c>
      <c r="AW320" s="149">
        <f t="shared" ref="AW320:AW332" si="276">F320+AV320</f>
        <v>55000</v>
      </c>
      <c r="AX320" s="145"/>
      <c r="AY320" s="149">
        <f>-ROUND(AW320/1000,0)*1000</f>
        <v>-55000</v>
      </c>
      <c r="AZ320" s="146"/>
      <c r="BA320" s="146"/>
      <c r="BB320" s="145"/>
    </row>
    <row r="321" spans="1:54" ht="14.1" customHeight="1">
      <c r="A321" s="145">
        <v>321</v>
      </c>
      <c r="B321" s="143">
        <v>375</v>
      </c>
      <c r="C321" s="144" t="s">
        <v>253</v>
      </c>
      <c r="D321" s="144"/>
      <c r="E321" s="150"/>
      <c r="F321" s="150">
        <v>205000</v>
      </c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66">
        <f t="shared" ref="X321:X332" si="277">ROUND(F321/$F$333*-7739000,-3)</f>
        <v>-8000</v>
      </c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M321" s="166">
        <f t="shared" ref="AM321:AM332" si="278">ROUND(F321/$F$333*-7161000,-3)</f>
        <v>-8000</v>
      </c>
      <c r="AN321" s="166">
        <f t="shared" ref="AN321:AN332" si="279">ROUND(F321/$F$333*0,-3)</f>
        <v>0</v>
      </c>
      <c r="AO321" s="166">
        <f t="shared" ref="AO321:AO332" si="280">ROUND(F321/$F$333*-15082000,-3)</f>
        <v>-16000</v>
      </c>
      <c r="AP321" s="166"/>
      <c r="AQ321" s="166"/>
      <c r="AR321" s="166"/>
      <c r="AS321" s="166">
        <f t="shared" ref="AS321:AS332" si="281">ROUND(F321/$F$333*-8158000,-3)</f>
        <v>-9000</v>
      </c>
      <c r="AT321" s="166">
        <f t="shared" ref="AT321:AT332" si="282">ROUND(F321/$F$333*0,-3)</f>
        <v>0</v>
      </c>
      <c r="AU321" s="141"/>
      <c r="AV321" s="149">
        <f t="shared" si="275"/>
        <v>41000</v>
      </c>
      <c r="AW321" s="149">
        <f t="shared" si="276"/>
        <v>246000</v>
      </c>
      <c r="AX321" s="145"/>
      <c r="AY321" s="149">
        <f t="shared" ref="AY321:AY332" si="283">-ROUND(AW321/1000,0)*1000</f>
        <v>-246000</v>
      </c>
      <c r="AZ321" s="146"/>
      <c r="BA321" s="146"/>
      <c r="BB321" s="145"/>
    </row>
    <row r="322" spans="1:54" ht="14.1" customHeight="1">
      <c r="A322" s="145">
        <v>322</v>
      </c>
      <c r="B322" s="143" t="s">
        <v>988</v>
      </c>
      <c r="C322" s="144" t="s">
        <v>260</v>
      </c>
      <c r="D322" s="144"/>
      <c r="E322" s="184">
        <f>E269</f>
        <v>1</v>
      </c>
      <c r="F322" s="166">
        <v>87617000</v>
      </c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66">
        <f t="shared" si="277"/>
        <v>-3600000</v>
      </c>
      <c r="Y322" s="150"/>
      <c r="Z322" s="150"/>
      <c r="AA322" s="150"/>
      <c r="AB322" s="150"/>
      <c r="AC322" s="142"/>
      <c r="AD322" s="142"/>
      <c r="AE322" s="142"/>
      <c r="AF322" s="142"/>
      <c r="AG322" s="142"/>
      <c r="AH322" s="142"/>
      <c r="AI322" s="150"/>
      <c r="AJ322" s="150"/>
      <c r="AK322" s="150"/>
      <c r="AL322" s="166"/>
      <c r="AM322" s="166">
        <f t="shared" si="278"/>
        <v>-3331000</v>
      </c>
      <c r="AN322" s="166">
        <f t="shared" si="279"/>
        <v>0</v>
      </c>
      <c r="AO322" s="166">
        <f>ROUND(F322/$F$333*-15082000,-3)-2000</f>
        <v>-7018000</v>
      </c>
      <c r="AP322" s="166"/>
      <c r="AQ322" s="166"/>
      <c r="AR322" s="166"/>
      <c r="AS322" s="166">
        <f t="shared" si="281"/>
        <v>-3795000</v>
      </c>
      <c r="AT322" s="166">
        <f t="shared" si="282"/>
        <v>0</v>
      </c>
      <c r="AU322" s="141"/>
      <c r="AV322" s="149">
        <f t="shared" si="275"/>
        <v>17744000</v>
      </c>
      <c r="AW322" s="149">
        <f t="shared" si="276"/>
        <v>105361000</v>
      </c>
      <c r="AX322" s="145"/>
      <c r="AY322" s="149">
        <f t="shared" si="283"/>
        <v>-105361000</v>
      </c>
      <c r="AZ322" s="146"/>
      <c r="BA322" s="146"/>
      <c r="BB322" s="145"/>
    </row>
    <row r="323" spans="1:54" ht="14.1" customHeight="1">
      <c r="A323" s="145">
        <v>323</v>
      </c>
      <c r="B323" s="143">
        <v>376</v>
      </c>
      <c r="C323" s="144" t="s">
        <v>260</v>
      </c>
      <c r="D323" s="144"/>
      <c r="E323" s="184">
        <f>E270</f>
        <v>0</v>
      </c>
      <c r="F323" s="142">
        <f>ROUND($E$321*E323,-3)</f>
        <v>0</v>
      </c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66">
        <f t="shared" si="277"/>
        <v>0</v>
      </c>
      <c r="Y323" s="150"/>
      <c r="Z323" s="150"/>
      <c r="AA323" s="150"/>
      <c r="AB323" s="150"/>
      <c r="AC323" s="142"/>
      <c r="AD323" s="142"/>
      <c r="AE323" s="142"/>
      <c r="AF323" s="142"/>
      <c r="AG323" s="142"/>
      <c r="AH323" s="142"/>
      <c r="AI323" s="150"/>
      <c r="AJ323" s="150"/>
      <c r="AK323" s="150"/>
      <c r="AL323" s="166"/>
      <c r="AM323" s="166">
        <f t="shared" si="278"/>
        <v>0</v>
      </c>
      <c r="AN323" s="166">
        <f t="shared" si="279"/>
        <v>0</v>
      </c>
      <c r="AO323" s="166">
        <f t="shared" si="280"/>
        <v>0</v>
      </c>
      <c r="AP323" s="166"/>
      <c r="AQ323" s="166"/>
      <c r="AR323" s="166"/>
      <c r="AS323" s="166">
        <f t="shared" si="281"/>
        <v>0</v>
      </c>
      <c r="AT323" s="166">
        <f t="shared" si="282"/>
        <v>0</v>
      </c>
      <c r="AU323" s="141"/>
      <c r="AV323" s="149">
        <f t="shared" si="275"/>
        <v>0</v>
      </c>
      <c r="AW323" s="149">
        <f t="shared" si="276"/>
        <v>0</v>
      </c>
      <c r="AX323" s="145"/>
      <c r="AY323" s="149">
        <f t="shared" si="283"/>
        <v>0</v>
      </c>
      <c r="AZ323" s="146"/>
      <c r="BA323" s="146"/>
      <c r="BB323" s="145"/>
    </row>
    <row r="324" spans="1:54" ht="14.1" customHeight="1">
      <c r="A324" s="145">
        <v>324</v>
      </c>
      <c r="B324" s="143">
        <v>378</v>
      </c>
      <c r="C324" s="144" t="s">
        <v>261</v>
      </c>
      <c r="D324" s="144"/>
      <c r="E324" s="183"/>
      <c r="F324" s="150">
        <v>1529000</v>
      </c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66">
        <f t="shared" si="277"/>
        <v>-63000</v>
      </c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66"/>
      <c r="AM324" s="166">
        <f t="shared" si="278"/>
        <v>-58000</v>
      </c>
      <c r="AN324" s="166">
        <f t="shared" si="279"/>
        <v>0</v>
      </c>
      <c r="AO324" s="166">
        <f t="shared" si="280"/>
        <v>-122000</v>
      </c>
      <c r="AP324" s="166"/>
      <c r="AQ324" s="166"/>
      <c r="AR324" s="166"/>
      <c r="AS324" s="166">
        <f t="shared" si="281"/>
        <v>-66000</v>
      </c>
      <c r="AT324" s="166">
        <f t="shared" si="282"/>
        <v>0</v>
      </c>
      <c r="AU324" s="141"/>
      <c r="AV324" s="149">
        <f t="shared" si="275"/>
        <v>309000</v>
      </c>
      <c r="AW324" s="149">
        <f t="shared" si="276"/>
        <v>1838000</v>
      </c>
      <c r="AX324" s="145"/>
      <c r="AY324" s="149">
        <f t="shared" si="283"/>
        <v>-1838000</v>
      </c>
      <c r="AZ324" s="146"/>
      <c r="BA324" s="146"/>
      <c r="BB324" s="145"/>
    </row>
    <row r="325" spans="1:54" ht="14.1" customHeight="1">
      <c r="A325" s="145">
        <v>325</v>
      </c>
      <c r="B325" s="143">
        <v>379</v>
      </c>
      <c r="C325" s="144" t="s">
        <v>262</v>
      </c>
      <c r="D325" s="144"/>
      <c r="E325" s="142"/>
      <c r="F325" s="150">
        <v>602000</v>
      </c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66">
        <f t="shared" si="277"/>
        <v>-25000</v>
      </c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66"/>
      <c r="AM325" s="166">
        <f t="shared" si="278"/>
        <v>-23000</v>
      </c>
      <c r="AN325" s="166">
        <f t="shared" si="279"/>
        <v>0</v>
      </c>
      <c r="AO325" s="166">
        <f t="shared" si="280"/>
        <v>-48000</v>
      </c>
      <c r="AP325" s="166"/>
      <c r="AQ325" s="166"/>
      <c r="AR325" s="166"/>
      <c r="AS325" s="166">
        <f t="shared" si="281"/>
        <v>-26000</v>
      </c>
      <c r="AT325" s="166">
        <f t="shared" si="282"/>
        <v>0</v>
      </c>
      <c r="AU325" s="141"/>
      <c r="AV325" s="149">
        <f t="shared" si="275"/>
        <v>122000</v>
      </c>
      <c r="AW325" s="149">
        <f t="shared" si="276"/>
        <v>724000</v>
      </c>
      <c r="AX325" s="145"/>
      <c r="AY325" s="149">
        <f t="shared" si="283"/>
        <v>-724000</v>
      </c>
      <c r="AZ325" s="146"/>
      <c r="BA325" s="146"/>
      <c r="BB325" s="145"/>
    </row>
    <row r="326" spans="1:54" ht="14.1" customHeight="1">
      <c r="A326" s="145">
        <v>326</v>
      </c>
      <c r="B326" s="143">
        <v>380</v>
      </c>
      <c r="C326" s="144" t="s">
        <v>263</v>
      </c>
      <c r="D326" s="144"/>
      <c r="E326" s="142"/>
      <c r="F326" s="150">
        <v>79949000</v>
      </c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66">
        <f t="shared" si="277"/>
        <v>-3285000</v>
      </c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66"/>
      <c r="AJ326" s="166"/>
      <c r="AK326" s="166"/>
      <c r="AL326" s="166"/>
      <c r="AM326" s="166">
        <f t="shared" si="278"/>
        <v>-3040000</v>
      </c>
      <c r="AN326" s="166">
        <f t="shared" si="279"/>
        <v>0</v>
      </c>
      <c r="AO326" s="166">
        <f t="shared" si="280"/>
        <v>-6402000</v>
      </c>
      <c r="AP326" s="166"/>
      <c r="AQ326" s="166"/>
      <c r="AR326" s="166"/>
      <c r="AS326" s="166">
        <f t="shared" si="281"/>
        <v>-3463000</v>
      </c>
      <c r="AT326" s="166">
        <f t="shared" si="282"/>
        <v>0</v>
      </c>
      <c r="AU326" s="141"/>
      <c r="AV326" s="149">
        <f t="shared" si="275"/>
        <v>16190000</v>
      </c>
      <c r="AW326" s="149">
        <f t="shared" si="276"/>
        <v>96139000</v>
      </c>
      <c r="AX326" s="145"/>
      <c r="AY326" s="149">
        <f t="shared" si="283"/>
        <v>-96139000</v>
      </c>
      <c r="AZ326" s="146"/>
      <c r="BA326" s="146"/>
      <c r="BB326" s="145"/>
    </row>
    <row r="327" spans="1:54" ht="14.1" customHeight="1">
      <c r="A327" s="145">
        <v>327</v>
      </c>
      <c r="B327" s="143">
        <v>381</v>
      </c>
      <c r="C327" s="144" t="s">
        <v>264</v>
      </c>
      <c r="D327" s="144"/>
      <c r="E327" s="142"/>
      <c r="F327" s="150">
        <v>17072000</v>
      </c>
      <c r="G327" s="142"/>
      <c r="H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66">
        <f t="shared" si="277"/>
        <v>-702000</v>
      </c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66"/>
      <c r="AM327" s="166">
        <f t="shared" si="278"/>
        <v>-649000</v>
      </c>
      <c r="AN327" s="166">
        <f t="shared" si="279"/>
        <v>0</v>
      </c>
      <c r="AO327" s="166">
        <f t="shared" si="280"/>
        <v>-1367000</v>
      </c>
      <c r="AP327" s="166"/>
      <c r="AQ327" s="166"/>
      <c r="AR327" s="166"/>
      <c r="AS327" s="166">
        <f t="shared" si="281"/>
        <v>-740000</v>
      </c>
      <c r="AT327" s="166">
        <f t="shared" si="282"/>
        <v>0</v>
      </c>
      <c r="AU327" s="141"/>
      <c r="AV327" s="149">
        <f t="shared" si="275"/>
        <v>3458000</v>
      </c>
      <c r="AW327" s="149">
        <f t="shared" si="276"/>
        <v>20530000</v>
      </c>
      <c r="AX327" s="145"/>
      <c r="AY327" s="149">
        <f t="shared" si="283"/>
        <v>-20530000</v>
      </c>
      <c r="AZ327" s="146"/>
      <c r="BA327" s="146"/>
      <c r="BB327" s="145"/>
    </row>
    <row r="328" spans="1:54" ht="14.1" customHeight="1">
      <c r="A328" s="145">
        <v>328</v>
      </c>
      <c r="B328" s="143">
        <v>382</v>
      </c>
      <c r="C328" s="144" t="s">
        <v>265</v>
      </c>
      <c r="D328" s="144"/>
      <c r="E328" s="142"/>
      <c r="F328" s="150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66">
        <f t="shared" si="277"/>
        <v>0</v>
      </c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66"/>
      <c r="AM328" s="166">
        <f t="shared" si="278"/>
        <v>0</v>
      </c>
      <c r="AN328" s="166">
        <f t="shared" si="279"/>
        <v>0</v>
      </c>
      <c r="AO328" s="166">
        <f t="shared" si="280"/>
        <v>0</v>
      </c>
      <c r="AP328" s="166"/>
      <c r="AQ328" s="166"/>
      <c r="AR328" s="166"/>
      <c r="AS328" s="166">
        <f t="shared" si="281"/>
        <v>0</v>
      </c>
      <c r="AT328" s="166">
        <f t="shared" si="282"/>
        <v>0</v>
      </c>
      <c r="AU328" s="141"/>
      <c r="AV328" s="149">
        <f t="shared" si="275"/>
        <v>0</v>
      </c>
      <c r="AW328" s="149">
        <f t="shared" si="276"/>
        <v>0</v>
      </c>
      <c r="AX328" s="145"/>
      <c r="AY328" s="149">
        <f t="shared" si="283"/>
        <v>0</v>
      </c>
      <c r="AZ328" s="146"/>
      <c r="BA328" s="146"/>
      <c r="BB328" s="145"/>
    </row>
    <row r="329" spans="1:54" ht="14.1" customHeight="1">
      <c r="A329" s="145">
        <v>329</v>
      </c>
      <c r="B329" s="143">
        <v>383</v>
      </c>
      <c r="C329" s="144" t="s">
        <v>266</v>
      </c>
      <c r="D329" s="144"/>
      <c r="E329" s="142"/>
      <c r="F329" s="150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66">
        <f t="shared" si="277"/>
        <v>0</v>
      </c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66"/>
      <c r="AM329" s="166">
        <f t="shared" si="278"/>
        <v>0</v>
      </c>
      <c r="AN329" s="166">
        <f t="shared" si="279"/>
        <v>0</v>
      </c>
      <c r="AO329" s="166">
        <f t="shared" si="280"/>
        <v>0</v>
      </c>
      <c r="AP329" s="166"/>
      <c r="AQ329" s="166"/>
      <c r="AR329" s="166"/>
      <c r="AS329" s="166">
        <f t="shared" si="281"/>
        <v>0</v>
      </c>
      <c r="AT329" s="166">
        <f t="shared" si="282"/>
        <v>0</v>
      </c>
      <c r="AU329" s="141"/>
      <c r="AV329" s="149">
        <f t="shared" si="275"/>
        <v>0</v>
      </c>
      <c r="AW329" s="149">
        <f t="shared" si="276"/>
        <v>0</v>
      </c>
      <c r="AX329" s="145"/>
      <c r="AY329" s="149">
        <f t="shared" si="283"/>
        <v>0</v>
      </c>
      <c r="AZ329" s="146"/>
      <c r="BA329" s="146"/>
      <c r="BB329" s="145"/>
    </row>
    <row r="330" spans="1:54" ht="14.1" customHeight="1">
      <c r="A330" s="145">
        <v>330</v>
      </c>
      <c r="B330" s="143">
        <v>384</v>
      </c>
      <c r="C330" s="144" t="s">
        <v>267</v>
      </c>
      <c r="D330" s="144"/>
      <c r="E330" s="142"/>
      <c r="F330" s="150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66">
        <f t="shared" si="277"/>
        <v>0</v>
      </c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66"/>
      <c r="AM330" s="166">
        <f t="shared" si="278"/>
        <v>0</v>
      </c>
      <c r="AN330" s="166">
        <f t="shared" si="279"/>
        <v>0</v>
      </c>
      <c r="AO330" s="166">
        <f t="shared" si="280"/>
        <v>0</v>
      </c>
      <c r="AP330" s="166"/>
      <c r="AQ330" s="166"/>
      <c r="AR330" s="166"/>
      <c r="AS330" s="166">
        <f t="shared" si="281"/>
        <v>0</v>
      </c>
      <c r="AT330" s="166">
        <f t="shared" si="282"/>
        <v>0</v>
      </c>
      <c r="AU330" s="141"/>
      <c r="AV330" s="149">
        <f t="shared" si="275"/>
        <v>0</v>
      </c>
      <c r="AW330" s="149">
        <f t="shared" si="276"/>
        <v>0</v>
      </c>
      <c r="AX330" s="145"/>
      <c r="AY330" s="149">
        <f t="shared" si="283"/>
        <v>0</v>
      </c>
      <c r="AZ330" s="146"/>
      <c r="BA330" s="146"/>
      <c r="BB330" s="145"/>
    </row>
    <row r="331" spans="1:54" ht="14.1" customHeight="1">
      <c r="A331" s="145">
        <v>331</v>
      </c>
      <c r="B331" s="143">
        <v>385</v>
      </c>
      <c r="C331" s="144" t="s">
        <v>268</v>
      </c>
      <c r="D331" s="144"/>
      <c r="E331" s="142"/>
      <c r="F331" s="150">
        <v>1315000</v>
      </c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66">
        <f t="shared" si="277"/>
        <v>-54000</v>
      </c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66"/>
      <c r="AM331" s="166">
        <f t="shared" si="278"/>
        <v>-50000</v>
      </c>
      <c r="AN331" s="166">
        <f t="shared" si="279"/>
        <v>0</v>
      </c>
      <c r="AO331" s="166">
        <f t="shared" si="280"/>
        <v>-105000</v>
      </c>
      <c r="AP331" s="166"/>
      <c r="AQ331" s="166"/>
      <c r="AR331" s="166"/>
      <c r="AS331" s="166">
        <f t="shared" si="281"/>
        <v>-57000</v>
      </c>
      <c r="AT331" s="166">
        <f t="shared" si="282"/>
        <v>0</v>
      </c>
      <c r="AU331" s="141"/>
      <c r="AV331" s="149">
        <f t="shared" si="275"/>
        <v>266000</v>
      </c>
      <c r="AW331" s="149">
        <f t="shared" si="276"/>
        <v>1581000</v>
      </c>
      <c r="AX331" s="145"/>
      <c r="AY331" s="149">
        <f t="shared" si="283"/>
        <v>-1581000</v>
      </c>
      <c r="AZ331" s="146"/>
      <c r="BA331" s="146"/>
      <c r="BB331" s="145"/>
    </row>
    <row r="332" spans="1:54" ht="14.1" customHeight="1">
      <c r="A332" s="145">
        <v>332</v>
      </c>
      <c r="B332" s="143">
        <v>387</v>
      </c>
      <c r="C332" s="144" t="s">
        <v>259</v>
      </c>
      <c r="D332" s="144"/>
      <c r="E332" s="142"/>
      <c r="F332" s="150">
        <v>0</v>
      </c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66">
        <f t="shared" si="277"/>
        <v>0</v>
      </c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66"/>
      <c r="AM332" s="166">
        <f t="shared" si="278"/>
        <v>0</v>
      </c>
      <c r="AN332" s="166">
        <f t="shared" si="279"/>
        <v>0</v>
      </c>
      <c r="AO332" s="166">
        <f t="shared" si="280"/>
        <v>0</v>
      </c>
      <c r="AP332" s="166"/>
      <c r="AQ332" s="166"/>
      <c r="AR332" s="166"/>
      <c r="AS332" s="166">
        <f t="shared" si="281"/>
        <v>0</v>
      </c>
      <c r="AT332" s="166">
        <f t="shared" si="282"/>
        <v>0</v>
      </c>
      <c r="AU332" s="141"/>
      <c r="AV332" s="149">
        <f t="shared" si="275"/>
        <v>0</v>
      </c>
      <c r="AW332" s="149">
        <f t="shared" si="276"/>
        <v>0</v>
      </c>
      <c r="AX332" s="145"/>
      <c r="AY332" s="149">
        <f t="shared" si="283"/>
        <v>0</v>
      </c>
      <c r="AZ332" s="146"/>
      <c r="BA332" s="146"/>
      <c r="BB332" s="145"/>
    </row>
    <row r="333" spans="1:54" s="154" customFormat="1" ht="14.1" customHeight="1">
      <c r="A333" s="145">
        <v>333</v>
      </c>
      <c r="B333" s="157"/>
      <c r="C333" s="157" t="s">
        <v>630</v>
      </c>
      <c r="D333" s="157"/>
      <c r="E333" s="180"/>
      <c r="F333" s="179">
        <f t="shared" ref="F333:AK333" si="284">SUM(F320:F332)</f>
        <v>188334000</v>
      </c>
      <c r="G333" s="159">
        <f>SUM(G320:G332)</f>
        <v>0</v>
      </c>
      <c r="H333" s="159">
        <f t="shared" si="284"/>
        <v>0</v>
      </c>
      <c r="I333" s="159">
        <f t="shared" si="284"/>
        <v>0</v>
      </c>
      <c r="J333" s="159">
        <f>SUM(J320:J332)</f>
        <v>0</v>
      </c>
      <c r="K333" s="159">
        <f>SUM(K320:K332)</f>
        <v>0</v>
      </c>
      <c r="L333" s="159">
        <f t="shared" si="284"/>
        <v>0</v>
      </c>
      <c r="M333" s="159">
        <f t="shared" si="284"/>
        <v>0</v>
      </c>
      <c r="N333" s="159">
        <f t="shared" si="284"/>
        <v>0</v>
      </c>
      <c r="O333" s="159">
        <f t="shared" si="284"/>
        <v>0</v>
      </c>
      <c r="P333" s="159">
        <f>SUM(P320:P332)</f>
        <v>0</v>
      </c>
      <c r="Q333" s="159">
        <f>SUM(Q320:Q332)</f>
        <v>0</v>
      </c>
      <c r="R333" s="159">
        <f>SUM(R320:R332)</f>
        <v>0</v>
      </c>
      <c r="S333" s="159">
        <f>SUM(S320:S332)</f>
        <v>0</v>
      </c>
      <c r="T333" s="159">
        <f>SUM(T320:T332)</f>
        <v>0</v>
      </c>
      <c r="U333" s="159">
        <f t="shared" si="284"/>
        <v>0</v>
      </c>
      <c r="V333" s="159">
        <f t="shared" ref="V333:AB333" si="285">SUM(V320:V332)</f>
        <v>0</v>
      </c>
      <c r="W333" s="159">
        <f t="shared" si="285"/>
        <v>0</v>
      </c>
      <c r="X333" s="159">
        <f t="shared" si="285"/>
        <v>-7739000</v>
      </c>
      <c r="Y333" s="159">
        <f t="shared" si="285"/>
        <v>0</v>
      </c>
      <c r="Z333" s="159">
        <f t="shared" si="285"/>
        <v>0</v>
      </c>
      <c r="AA333" s="159">
        <f t="shared" si="285"/>
        <v>0</v>
      </c>
      <c r="AB333" s="159">
        <f t="shared" si="285"/>
        <v>0</v>
      </c>
      <c r="AC333" s="159">
        <f t="shared" si="284"/>
        <v>0</v>
      </c>
      <c r="AD333" s="159">
        <f t="shared" si="284"/>
        <v>0</v>
      </c>
      <c r="AE333" s="159">
        <f t="shared" si="284"/>
        <v>0</v>
      </c>
      <c r="AF333" s="159">
        <f t="shared" si="284"/>
        <v>0</v>
      </c>
      <c r="AG333" s="159">
        <f t="shared" si="284"/>
        <v>0</v>
      </c>
      <c r="AH333" s="159">
        <f t="shared" si="284"/>
        <v>0</v>
      </c>
      <c r="AI333" s="159">
        <f>SUM(AI320:AI332)</f>
        <v>0</v>
      </c>
      <c r="AJ333" s="159">
        <f>SUM(AJ320:AJ332)</f>
        <v>0</v>
      </c>
      <c r="AK333" s="159">
        <f t="shared" si="284"/>
        <v>0</v>
      </c>
      <c r="AL333" s="159">
        <f t="shared" ref="AL333:AT333" si="286">SUM(AL320:AL332)</f>
        <v>0</v>
      </c>
      <c r="AM333" s="159">
        <f t="shared" si="286"/>
        <v>-7161000</v>
      </c>
      <c r="AN333" s="159">
        <f t="shared" si="286"/>
        <v>0</v>
      </c>
      <c r="AO333" s="159">
        <f t="shared" si="286"/>
        <v>-15082000</v>
      </c>
      <c r="AP333" s="159">
        <f t="shared" si="286"/>
        <v>0</v>
      </c>
      <c r="AQ333" s="159">
        <f t="shared" si="286"/>
        <v>0</v>
      </c>
      <c r="AR333" s="159">
        <f t="shared" si="286"/>
        <v>0</v>
      </c>
      <c r="AS333" s="159">
        <f t="shared" si="286"/>
        <v>-8158000</v>
      </c>
      <c r="AT333" s="159">
        <f t="shared" si="286"/>
        <v>0</v>
      </c>
      <c r="AU333" s="158"/>
      <c r="AV333" s="158">
        <f>SUM(AV320:AV332)</f>
        <v>38140000</v>
      </c>
      <c r="AW333" s="158">
        <f>SUM(AW320:AW332)</f>
        <v>226474000</v>
      </c>
      <c r="AX333" s="152" t="str">
        <f>IF(ROUND(SUM(F333:AT333),0)=ROUND(AW333,0),"ok","crossfoot error")</f>
        <v>crossfoot error</v>
      </c>
      <c r="AY333" s="158">
        <f>-SUM(AY320:AY332)/1000</f>
        <v>226474</v>
      </c>
      <c r="AZ333" s="147">
        <v>226473.4</v>
      </c>
      <c r="BA333" s="146">
        <f>AY333-AZ333</f>
        <v>0.60000000000582077</v>
      </c>
      <c r="BB333" s="152"/>
    </row>
    <row r="334" spans="1:54" ht="14.1" customHeight="1">
      <c r="A334" s="145">
        <v>334</v>
      </c>
      <c r="B334" s="143"/>
      <c r="C334" s="144"/>
      <c r="D334" s="144"/>
      <c r="E334" s="141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1"/>
      <c r="AV334" s="149"/>
      <c r="AW334" s="149"/>
      <c r="AX334" s="145"/>
      <c r="AY334" s="149"/>
      <c r="AZ334" s="146"/>
      <c r="BA334" s="146"/>
      <c r="BB334" s="145"/>
    </row>
    <row r="335" spans="1:54" ht="14.1" customHeight="1">
      <c r="A335" s="145">
        <v>335</v>
      </c>
      <c r="B335" s="143"/>
      <c r="C335" s="182" t="s">
        <v>106</v>
      </c>
      <c r="D335" s="144"/>
      <c r="E335" s="141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1"/>
      <c r="AV335" s="149"/>
      <c r="AW335" s="149"/>
      <c r="AX335" s="145"/>
      <c r="AY335" s="149"/>
      <c r="AZ335" s="146"/>
      <c r="BA335" s="146"/>
      <c r="BB335" s="145"/>
    </row>
    <row r="336" spans="1:54" ht="14.1" customHeight="1">
      <c r="A336" s="145">
        <v>336</v>
      </c>
      <c r="B336" s="143">
        <v>389</v>
      </c>
      <c r="C336" s="144" t="s">
        <v>252</v>
      </c>
      <c r="D336" s="144"/>
      <c r="E336" s="141"/>
      <c r="F336" s="150">
        <v>56000</v>
      </c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66">
        <f>ROUND(F336/$F$346*-4319000,-3)</f>
        <v>-7000</v>
      </c>
      <c r="Y336" s="142"/>
      <c r="Z336" s="142"/>
      <c r="AA336" s="142"/>
      <c r="AB336" s="166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66">
        <f>ROUND(F336/$F$346*2015000,-3)</f>
        <v>3000</v>
      </c>
      <c r="AN336" s="166">
        <f>ROUND(F336/$F$346*0,-3)</f>
        <v>0</v>
      </c>
      <c r="AO336" s="166">
        <f>ROUND(F336/$F$346*-3656000,-3)</f>
        <v>-6000</v>
      </c>
      <c r="AP336" s="166"/>
      <c r="AQ336" s="166"/>
      <c r="AR336" s="166"/>
      <c r="AS336" s="166">
        <f>ROUND(F336/$F$346*-3603000,-3)</f>
        <v>-6000</v>
      </c>
      <c r="AT336" s="166">
        <f>ROUND(F336/$F$346*0,-3)</f>
        <v>0</v>
      </c>
      <c r="AU336" s="141"/>
      <c r="AV336" s="149">
        <f t="shared" ref="AV336:AV345" si="287">-SUM(G336:AT336)</f>
        <v>16000</v>
      </c>
      <c r="AW336" s="149">
        <f t="shared" ref="AW336:AW345" si="288">F336+AV336</f>
        <v>72000</v>
      </c>
      <c r="AX336" s="145"/>
      <c r="AY336" s="149">
        <f t="shared" ref="AY336:AY345" si="289">-ROUND(AW336/1000,0)*1000</f>
        <v>-72000</v>
      </c>
      <c r="AZ336" s="146"/>
      <c r="BA336" s="146"/>
      <c r="BB336" s="145"/>
    </row>
    <row r="337" spans="1:54" ht="14.1" customHeight="1">
      <c r="A337" s="145">
        <v>337</v>
      </c>
      <c r="B337" s="143">
        <v>390</v>
      </c>
      <c r="C337" s="144" t="s">
        <v>253</v>
      </c>
      <c r="D337" s="144"/>
      <c r="E337" s="141"/>
      <c r="F337" s="150">
        <v>5956000</v>
      </c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66">
        <f t="shared" ref="X337:X345" si="290">ROUND(F337/$F$346*-4319000,-3)</f>
        <v>-718000</v>
      </c>
      <c r="Y337" s="150"/>
      <c r="Z337" s="150"/>
      <c r="AA337" s="150"/>
      <c r="AB337" s="166"/>
      <c r="AC337" s="142"/>
      <c r="AD337" s="142"/>
      <c r="AE337" s="142"/>
      <c r="AF337" s="142"/>
      <c r="AG337" s="142"/>
      <c r="AH337" s="142"/>
      <c r="AI337" s="150"/>
      <c r="AJ337" s="150"/>
      <c r="AK337" s="150"/>
      <c r="AM337" s="166">
        <f t="shared" ref="AM337:AM345" si="291">ROUND(F337/$F$346*2015000,-3)</f>
        <v>335000</v>
      </c>
      <c r="AN337" s="166">
        <f t="shared" ref="AN337:AN345" si="292">ROUND(F337/$F$346*0,-3)</f>
        <v>0</v>
      </c>
      <c r="AO337" s="166">
        <f t="shared" ref="AO337:AO345" si="293">ROUND(F337/$F$346*-3656000,-3)</f>
        <v>-608000</v>
      </c>
      <c r="AP337" s="166"/>
      <c r="AQ337" s="166"/>
      <c r="AR337" s="166"/>
      <c r="AS337" s="166">
        <f t="shared" ref="AS337:AS345" si="294">ROUND(F337/$F$346*-3603000,-3)</f>
        <v>-599000</v>
      </c>
      <c r="AT337" s="166">
        <f t="shared" ref="AT337:AT345" si="295">ROUND(F337/$F$346*0,-3)</f>
        <v>0</v>
      </c>
      <c r="AU337" s="141"/>
      <c r="AV337" s="149">
        <f t="shared" si="287"/>
        <v>1590000</v>
      </c>
      <c r="AW337" s="149">
        <f t="shared" si="288"/>
        <v>7546000</v>
      </c>
      <c r="AX337" s="145"/>
      <c r="AY337" s="149">
        <f t="shared" si="289"/>
        <v>-7546000</v>
      </c>
      <c r="AZ337" s="146"/>
      <c r="BA337" s="146"/>
      <c r="BB337" s="145"/>
    </row>
    <row r="338" spans="1:54" ht="14.1" customHeight="1">
      <c r="A338" s="145">
        <v>338</v>
      </c>
      <c r="B338" s="143">
        <v>391</v>
      </c>
      <c r="C338" s="144" t="s">
        <v>269</v>
      </c>
      <c r="D338" s="144"/>
      <c r="E338" s="141"/>
      <c r="F338" s="150">
        <v>8811000</v>
      </c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66">
        <f>ROUND(F338/$F$346*-4319000,-3)+1000</f>
        <v>-1061000</v>
      </c>
      <c r="Y338" s="142"/>
      <c r="Z338" s="142"/>
      <c r="AA338" s="142"/>
      <c r="AB338" s="166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66"/>
      <c r="AM338" s="166">
        <f t="shared" si="291"/>
        <v>495000</v>
      </c>
      <c r="AN338" s="166">
        <f t="shared" si="292"/>
        <v>0</v>
      </c>
      <c r="AO338" s="166">
        <f t="shared" si="293"/>
        <v>-899000</v>
      </c>
      <c r="AP338" s="166"/>
      <c r="AQ338" s="166"/>
      <c r="AR338" s="166"/>
      <c r="AS338" s="166">
        <f t="shared" si="294"/>
        <v>-886000</v>
      </c>
      <c r="AT338" s="166">
        <f t="shared" si="295"/>
        <v>0</v>
      </c>
      <c r="AU338" s="141"/>
      <c r="AV338" s="149">
        <f t="shared" si="287"/>
        <v>2351000</v>
      </c>
      <c r="AW338" s="149">
        <f t="shared" si="288"/>
        <v>11162000</v>
      </c>
      <c r="AX338" s="181"/>
      <c r="AY338" s="149">
        <f t="shared" si="289"/>
        <v>-11162000</v>
      </c>
      <c r="AZ338" s="146"/>
      <c r="BA338" s="146"/>
      <c r="BB338" s="181"/>
    </row>
    <row r="339" spans="1:54" ht="14.1" customHeight="1">
      <c r="A339" s="145">
        <v>339</v>
      </c>
      <c r="B339" s="143">
        <v>392</v>
      </c>
      <c r="C339" s="144" t="s">
        <v>270</v>
      </c>
      <c r="D339" s="144"/>
      <c r="E339" s="141"/>
      <c r="F339" s="150">
        <v>8982000</v>
      </c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66">
        <f t="shared" si="290"/>
        <v>-1083000</v>
      </c>
      <c r="Y339" s="142"/>
      <c r="Z339" s="142"/>
      <c r="AA339" s="142"/>
      <c r="AB339" s="166"/>
      <c r="AC339" s="142"/>
      <c r="AD339" s="142"/>
      <c r="AE339" s="142"/>
      <c r="AF339" s="142"/>
      <c r="AG339" s="142"/>
      <c r="AH339" s="142"/>
      <c r="AI339" s="166"/>
      <c r="AJ339" s="166"/>
      <c r="AK339" s="166"/>
      <c r="AL339" s="142"/>
      <c r="AM339" s="166">
        <f>ROUND(F339/$F$346*2015000,-3)+1000</f>
        <v>506000</v>
      </c>
      <c r="AN339" s="166">
        <f t="shared" si="292"/>
        <v>0</v>
      </c>
      <c r="AO339" s="166">
        <f>ROUND(F339/$F$346*-3656000,-3)+1000</f>
        <v>-915000</v>
      </c>
      <c r="AP339" s="166"/>
      <c r="AQ339" s="166"/>
      <c r="AR339" s="166"/>
      <c r="AS339" s="166">
        <f t="shared" si="294"/>
        <v>-903000</v>
      </c>
      <c r="AT339" s="166">
        <f t="shared" si="295"/>
        <v>0</v>
      </c>
      <c r="AU339" s="141"/>
      <c r="AV339" s="149">
        <f t="shared" si="287"/>
        <v>2395000</v>
      </c>
      <c r="AW339" s="149">
        <f t="shared" si="288"/>
        <v>11377000</v>
      </c>
      <c r="AX339" s="145"/>
      <c r="AY339" s="149">
        <f>-ROUND(AW339/1000,0)*1000</f>
        <v>-11377000</v>
      </c>
      <c r="AZ339" s="146"/>
      <c r="BA339" s="146"/>
      <c r="BB339" s="145"/>
    </row>
    <row r="340" spans="1:54" ht="14.1" customHeight="1">
      <c r="A340" s="145">
        <v>340</v>
      </c>
      <c r="B340" s="143">
        <v>393</v>
      </c>
      <c r="C340" s="144" t="s">
        <v>271</v>
      </c>
      <c r="D340" s="144"/>
      <c r="E340" s="141"/>
      <c r="F340" s="150">
        <v>339000</v>
      </c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66">
        <f t="shared" si="290"/>
        <v>-41000</v>
      </c>
      <c r="Y340" s="142"/>
      <c r="Z340" s="142"/>
      <c r="AA340" s="142"/>
      <c r="AB340" s="166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66">
        <f t="shared" si="291"/>
        <v>19000</v>
      </c>
      <c r="AN340" s="166">
        <f t="shared" si="292"/>
        <v>0</v>
      </c>
      <c r="AO340" s="166">
        <f t="shared" si="293"/>
        <v>-35000</v>
      </c>
      <c r="AP340" s="166"/>
      <c r="AQ340" s="166"/>
      <c r="AR340" s="166"/>
      <c r="AS340" s="166">
        <f t="shared" si="294"/>
        <v>-34000</v>
      </c>
      <c r="AT340" s="166">
        <f t="shared" si="295"/>
        <v>0</v>
      </c>
      <c r="AU340" s="141"/>
      <c r="AV340" s="149">
        <f t="shared" si="287"/>
        <v>91000</v>
      </c>
      <c r="AW340" s="149">
        <f t="shared" si="288"/>
        <v>430000</v>
      </c>
      <c r="AX340" s="145"/>
      <c r="AY340" s="149">
        <f t="shared" si="289"/>
        <v>-430000</v>
      </c>
      <c r="AZ340" s="146"/>
      <c r="BA340" s="146"/>
      <c r="BB340" s="145"/>
    </row>
    <row r="341" spans="1:54" ht="14.1" customHeight="1">
      <c r="A341" s="145">
        <v>341</v>
      </c>
      <c r="B341" s="143">
        <v>394</v>
      </c>
      <c r="C341" s="144" t="s">
        <v>272</v>
      </c>
      <c r="D341" s="144"/>
      <c r="E341" s="141"/>
      <c r="F341" s="150">
        <v>3262000</v>
      </c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66">
        <f t="shared" si="290"/>
        <v>-393000</v>
      </c>
      <c r="Y341" s="142"/>
      <c r="Z341" s="142"/>
      <c r="AA341" s="142"/>
      <c r="AB341" s="166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66">
        <f t="shared" si="291"/>
        <v>183000</v>
      </c>
      <c r="AN341" s="166">
        <f t="shared" si="292"/>
        <v>0</v>
      </c>
      <c r="AO341" s="166">
        <f t="shared" si="293"/>
        <v>-333000</v>
      </c>
      <c r="AP341" s="166"/>
      <c r="AQ341" s="166"/>
      <c r="AR341" s="166"/>
      <c r="AS341" s="166">
        <f t="shared" si="294"/>
        <v>-328000</v>
      </c>
      <c r="AT341" s="166">
        <f t="shared" si="295"/>
        <v>0</v>
      </c>
      <c r="AU341" s="141"/>
      <c r="AV341" s="149">
        <f t="shared" si="287"/>
        <v>871000</v>
      </c>
      <c r="AW341" s="149">
        <f t="shared" si="288"/>
        <v>4133000</v>
      </c>
      <c r="AX341" s="145"/>
      <c r="AY341" s="149">
        <f t="shared" si="289"/>
        <v>-4133000</v>
      </c>
      <c r="AZ341" s="146"/>
      <c r="BA341" s="146"/>
      <c r="BB341" s="145"/>
    </row>
    <row r="342" spans="1:54" ht="14.1" customHeight="1">
      <c r="A342" s="145">
        <v>342</v>
      </c>
      <c r="B342" s="143">
        <v>395</v>
      </c>
      <c r="C342" s="144" t="s">
        <v>273</v>
      </c>
      <c r="D342" s="144"/>
      <c r="E342" s="141"/>
      <c r="F342" s="150">
        <v>250000</v>
      </c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66">
        <f t="shared" si="290"/>
        <v>-30000</v>
      </c>
      <c r="Y342" s="142"/>
      <c r="Z342" s="142"/>
      <c r="AA342" s="142"/>
      <c r="AB342" s="166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66">
        <f t="shared" si="291"/>
        <v>14000</v>
      </c>
      <c r="AN342" s="166">
        <f t="shared" si="292"/>
        <v>0</v>
      </c>
      <c r="AO342" s="166">
        <f t="shared" si="293"/>
        <v>-26000</v>
      </c>
      <c r="AP342" s="166"/>
      <c r="AQ342" s="166"/>
      <c r="AR342" s="166"/>
      <c r="AS342" s="166">
        <f t="shared" si="294"/>
        <v>-25000</v>
      </c>
      <c r="AT342" s="166">
        <f t="shared" si="295"/>
        <v>0</v>
      </c>
      <c r="AU342" s="141"/>
      <c r="AV342" s="149">
        <f t="shared" si="287"/>
        <v>67000</v>
      </c>
      <c r="AW342" s="149">
        <f t="shared" si="288"/>
        <v>317000</v>
      </c>
      <c r="AX342" s="145"/>
      <c r="AY342" s="149">
        <f t="shared" si="289"/>
        <v>-317000</v>
      </c>
      <c r="AZ342" s="146"/>
      <c r="BA342" s="146"/>
      <c r="BB342" s="145"/>
    </row>
    <row r="343" spans="1:54" ht="14.1" customHeight="1">
      <c r="A343" s="145">
        <v>343</v>
      </c>
      <c r="B343" s="143">
        <v>396</v>
      </c>
      <c r="C343" s="144" t="s">
        <v>274</v>
      </c>
      <c r="D343" s="144"/>
      <c r="E343" s="141"/>
      <c r="F343" s="150">
        <v>2837000</v>
      </c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66">
        <f t="shared" si="290"/>
        <v>-342000</v>
      </c>
      <c r="Y343" s="142"/>
      <c r="Z343" s="142"/>
      <c r="AA343" s="142"/>
      <c r="AB343" s="166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66">
        <f t="shared" si="291"/>
        <v>160000</v>
      </c>
      <c r="AN343" s="166">
        <f t="shared" si="292"/>
        <v>0</v>
      </c>
      <c r="AO343" s="166">
        <f t="shared" si="293"/>
        <v>-289000</v>
      </c>
      <c r="AP343" s="166"/>
      <c r="AQ343" s="166"/>
      <c r="AR343" s="166"/>
      <c r="AS343" s="166">
        <f t="shared" si="294"/>
        <v>-285000</v>
      </c>
      <c r="AT343" s="166">
        <f t="shared" si="295"/>
        <v>0</v>
      </c>
      <c r="AU343" s="141"/>
      <c r="AV343" s="149">
        <f t="shared" si="287"/>
        <v>756000</v>
      </c>
      <c r="AW343" s="149">
        <f t="shared" si="288"/>
        <v>3593000</v>
      </c>
      <c r="AX343" s="145"/>
      <c r="AY343" s="149">
        <f t="shared" si="289"/>
        <v>-3593000</v>
      </c>
      <c r="AZ343" s="146"/>
      <c r="BA343" s="146"/>
      <c r="BB343" s="145"/>
    </row>
    <row r="344" spans="1:54" ht="14.1" customHeight="1">
      <c r="A344" s="145">
        <v>344</v>
      </c>
      <c r="B344" s="143">
        <v>397</v>
      </c>
      <c r="C344" s="144" t="s">
        <v>275</v>
      </c>
      <c r="D344" s="144"/>
      <c r="E344" s="141"/>
      <c r="F344" s="150">
        <v>5235000</v>
      </c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66">
        <f t="shared" si="290"/>
        <v>-631000</v>
      </c>
      <c r="Y344" s="142"/>
      <c r="Z344" s="142"/>
      <c r="AA344" s="142"/>
      <c r="AB344" s="166">
        <v>0</v>
      </c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66">
        <f t="shared" si="291"/>
        <v>294000</v>
      </c>
      <c r="AN344" s="166">
        <f t="shared" si="292"/>
        <v>0</v>
      </c>
      <c r="AO344" s="166">
        <f t="shared" si="293"/>
        <v>-534000</v>
      </c>
      <c r="AP344" s="166"/>
      <c r="AQ344" s="166"/>
      <c r="AR344" s="166"/>
      <c r="AS344" s="166">
        <f t="shared" si="294"/>
        <v>-526000</v>
      </c>
      <c r="AT344" s="166">
        <f t="shared" si="295"/>
        <v>0</v>
      </c>
      <c r="AU344" s="141"/>
      <c r="AV344" s="149">
        <f t="shared" si="287"/>
        <v>1397000</v>
      </c>
      <c r="AW344" s="149">
        <f t="shared" si="288"/>
        <v>6632000</v>
      </c>
      <c r="AX344" s="145"/>
      <c r="AY344" s="149">
        <f t="shared" si="289"/>
        <v>-6632000</v>
      </c>
      <c r="AZ344" s="146"/>
      <c r="BA344" s="146"/>
      <c r="BB344" s="145"/>
    </row>
    <row r="345" spans="1:54" ht="14.1" customHeight="1">
      <c r="A345" s="145">
        <v>345</v>
      </c>
      <c r="B345" s="143">
        <v>398</v>
      </c>
      <c r="C345" s="144" t="s">
        <v>276</v>
      </c>
      <c r="D345" s="144"/>
      <c r="E345" s="141"/>
      <c r="F345" s="150">
        <v>108000</v>
      </c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66">
        <f t="shared" si="290"/>
        <v>-13000</v>
      </c>
      <c r="Y345" s="142"/>
      <c r="Z345" s="142"/>
      <c r="AA345" s="142"/>
      <c r="AB345" s="166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66"/>
      <c r="AM345" s="166">
        <f t="shared" si="291"/>
        <v>6000</v>
      </c>
      <c r="AN345" s="166">
        <f t="shared" si="292"/>
        <v>0</v>
      </c>
      <c r="AO345" s="166">
        <f t="shared" si="293"/>
        <v>-11000</v>
      </c>
      <c r="AP345" s="166"/>
      <c r="AQ345" s="166"/>
      <c r="AR345" s="166"/>
      <c r="AS345" s="166">
        <f t="shared" si="294"/>
        <v>-11000</v>
      </c>
      <c r="AT345" s="166">
        <f t="shared" si="295"/>
        <v>0</v>
      </c>
      <c r="AU345" s="141"/>
      <c r="AV345" s="149">
        <f t="shared" si="287"/>
        <v>29000</v>
      </c>
      <c r="AW345" s="149">
        <f t="shared" si="288"/>
        <v>137000</v>
      </c>
      <c r="AX345" s="145"/>
      <c r="AY345" s="149">
        <f t="shared" si="289"/>
        <v>-137000</v>
      </c>
      <c r="AZ345" s="146"/>
      <c r="BA345" s="146"/>
      <c r="BB345" s="145"/>
    </row>
    <row r="346" spans="1:54" s="154" customFormat="1" ht="14.1" customHeight="1">
      <c r="A346" s="145">
        <v>346</v>
      </c>
      <c r="B346" s="165"/>
      <c r="C346" s="157" t="s">
        <v>629</v>
      </c>
      <c r="D346" s="157"/>
      <c r="E346" s="180"/>
      <c r="F346" s="179">
        <f t="shared" ref="F346:AE346" si="296">SUM(F336:F345)</f>
        <v>35836000</v>
      </c>
      <c r="G346" s="159">
        <f t="shared" si="296"/>
        <v>0</v>
      </c>
      <c r="H346" s="159">
        <f t="shared" si="296"/>
        <v>0</v>
      </c>
      <c r="I346" s="159">
        <f t="shared" si="296"/>
        <v>0</v>
      </c>
      <c r="J346" s="159">
        <f t="shared" si="296"/>
        <v>0</v>
      </c>
      <c r="K346" s="159">
        <f t="shared" si="296"/>
        <v>0</v>
      </c>
      <c r="L346" s="159">
        <f t="shared" si="296"/>
        <v>0</v>
      </c>
      <c r="M346" s="159">
        <f t="shared" si="296"/>
        <v>0</v>
      </c>
      <c r="N346" s="159">
        <f t="shared" si="296"/>
        <v>0</v>
      </c>
      <c r="O346" s="159">
        <f t="shared" si="296"/>
        <v>0</v>
      </c>
      <c r="P346" s="159">
        <f t="shared" si="296"/>
        <v>0</v>
      </c>
      <c r="Q346" s="159">
        <f t="shared" si="296"/>
        <v>0</v>
      </c>
      <c r="R346" s="159">
        <f t="shared" si="296"/>
        <v>0</v>
      </c>
      <c r="S346" s="159">
        <f t="shared" si="296"/>
        <v>0</v>
      </c>
      <c r="T346" s="159">
        <f t="shared" si="296"/>
        <v>0</v>
      </c>
      <c r="U346" s="159">
        <f t="shared" si="296"/>
        <v>0</v>
      </c>
      <c r="V346" s="159">
        <f t="shared" si="296"/>
        <v>0</v>
      </c>
      <c r="W346" s="159">
        <f t="shared" si="296"/>
        <v>0</v>
      </c>
      <c r="X346" s="159">
        <f t="shared" si="296"/>
        <v>-4319000</v>
      </c>
      <c r="Y346" s="159">
        <f t="shared" si="296"/>
        <v>0</v>
      </c>
      <c r="Z346" s="159">
        <f t="shared" si="296"/>
        <v>0</v>
      </c>
      <c r="AA346" s="159">
        <f t="shared" si="296"/>
        <v>0</v>
      </c>
      <c r="AB346" s="159">
        <f t="shared" ref="AB346" si="297">SUM(AB336:AB345)</f>
        <v>0</v>
      </c>
      <c r="AC346" s="159">
        <f t="shared" si="296"/>
        <v>0</v>
      </c>
      <c r="AD346" s="159">
        <f t="shared" si="296"/>
        <v>0</v>
      </c>
      <c r="AE346" s="159">
        <f t="shared" si="296"/>
        <v>0</v>
      </c>
      <c r="AF346" s="159">
        <f t="shared" ref="AF346:AH346" si="298">SUM(AF336:AF345)</f>
        <v>0</v>
      </c>
      <c r="AG346" s="159">
        <f t="shared" si="298"/>
        <v>0</v>
      </c>
      <c r="AH346" s="159">
        <f t="shared" si="298"/>
        <v>0</v>
      </c>
      <c r="AI346" s="159">
        <f>SUM(AI336:AI345)</f>
        <v>0</v>
      </c>
      <c r="AJ346" s="159">
        <f>SUM(AJ336:AJ345)</f>
        <v>0</v>
      </c>
      <c r="AK346" s="159">
        <f t="shared" ref="AK346:AT346" si="299">SUM(AK336:AK345)</f>
        <v>0</v>
      </c>
      <c r="AL346" s="159">
        <f t="shared" si="299"/>
        <v>0</v>
      </c>
      <c r="AM346" s="159">
        <f t="shared" si="299"/>
        <v>2015000</v>
      </c>
      <c r="AN346" s="159">
        <f t="shared" si="299"/>
        <v>0</v>
      </c>
      <c r="AO346" s="159">
        <f t="shared" si="299"/>
        <v>-3656000</v>
      </c>
      <c r="AP346" s="159">
        <f t="shared" si="299"/>
        <v>0</v>
      </c>
      <c r="AQ346" s="159">
        <f t="shared" si="299"/>
        <v>0</v>
      </c>
      <c r="AR346" s="159">
        <f t="shared" si="299"/>
        <v>0</v>
      </c>
      <c r="AS346" s="159">
        <f t="shared" si="299"/>
        <v>-3603000</v>
      </c>
      <c r="AT346" s="159">
        <f t="shared" si="299"/>
        <v>0</v>
      </c>
      <c r="AU346" s="158"/>
      <c r="AV346" s="158">
        <f>SUM(AV336:AV345)</f>
        <v>9563000</v>
      </c>
      <c r="AW346" s="158">
        <f>SUM(AW336:AW345)</f>
        <v>45399000</v>
      </c>
      <c r="AX346" s="152" t="str">
        <f>IF(ROUND(SUM(F346:AT346),0)=ROUND(AW346,0),"ok","crossfoot error")</f>
        <v>crossfoot error</v>
      </c>
      <c r="AY346" s="158">
        <f>-SUM(AY336:AY345)/1000</f>
        <v>45399</v>
      </c>
      <c r="AZ346" s="147">
        <v>71916.3</v>
      </c>
      <c r="BA346" s="146">
        <f>(AY346+AY354)-AZ346</f>
        <v>-0.30000000000291038</v>
      </c>
      <c r="BB346" s="146">
        <f>BA346+BA356</f>
        <v>-0.49999999995634425</v>
      </c>
    </row>
    <row r="347" spans="1:54" ht="14.1" customHeight="1">
      <c r="A347" s="145">
        <v>347</v>
      </c>
      <c r="B347" s="143"/>
      <c r="C347" s="144"/>
      <c r="D347" s="144"/>
      <c r="E347" s="141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1"/>
      <c r="AV347" s="149"/>
      <c r="AW347" s="149"/>
      <c r="AX347" s="145"/>
      <c r="AY347" s="149"/>
      <c r="AZ347" s="146"/>
      <c r="BA347" s="146"/>
      <c r="BB347" s="145"/>
    </row>
    <row r="348" spans="1:54" s="154" customFormat="1" ht="14.1" customHeight="1">
      <c r="A348" s="145">
        <v>348</v>
      </c>
      <c r="B348" s="157"/>
      <c r="C348" s="157" t="s">
        <v>173</v>
      </c>
      <c r="D348" s="157"/>
      <c r="E348" s="156"/>
      <c r="F348" s="155">
        <f t="shared" ref="F348:U348" si="300">F346+F333+F317</f>
        <v>237320000</v>
      </c>
      <c r="G348" s="155">
        <f t="shared" si="300"/>
        <v>0</v>
      </c>
      <c r="H348" s="155">
        <f t="shared" si="300"/>
        <v>0</v>
      </c>
      <c r="I348" s="155">
        <f t="shared" si="300"/>
        <v>0</v>
      </c>
      <c r="J348" s="155">
        <f t="shared" si="300"/>
        <v>0</v>
      </c>
      <c r="K348" s="155">
        <f t="shared" si="300"/>
        <v>0</v>
      </c>
      <c r="L348" s="155">
        <f t="shared" si="300"/>
        <v>0</v>
      </c>
      <c r="M348" s="155">
        <f t="shared" si="300"/>
        <v>0</v>
      </c>
      <c r="N348" s="155">
        <f t="shared" si="300"/>
        <v>0</v>
      </c>
      <c r="O348" s="155">
        <f t="shared" si="300"/>
        <v>0</v>
      </c>
      <c r="P348" s="155">
        <f t="shared" si="300"/>
        <v>0</v>
      </c>
      <c r="Q348" s="155">
        <f t="shared" si="300"/>
        <v>0</v>
      </c>
      <c r="R348" s="155">
        <f t="shared" si="300"/>
        <v>0</v>
      </c>
      <c r="S348" s="155">
        <f t="shared" si="300"/>
        <v>0</v>
      </c>
      <c r="T348" s="155">
        <f t="shared" si="300"/>
        <v>0</v>
      </c>
      <c r="U348" s="155">
        <f t="shared" si="300"/>
        <v>0</v>
      </c>
      <c r="V348" s="155">
        <f t="shared" ref="V348:AA348" si="301">V346+V333+V317</f>
        <v>0</v>
      </c>
      <c r="W348" s="155">
        <f t="shared" si="301"/>
        <v>0</v>
      </c>
      <c r="X348" s="155">
        <f>X346+X333+X317</f>
        <v>-12316000</v>
      </c>
      <c r="Y348" s="155">
        <f t="shared" si="301"/>
        <v>0</v>
      </c>
      <c r="Z348" s="155">
        <f t="shared" si="301"/>
        <v>0</v>
      </c>
      <c r="AA348" s="155">
        <f t="shared" si="301"/>
        <v>0</v>
      </c>
      <c r="AB348" s="155">
        <f t="shared" ref="AB348" si="302">AB346+AB333+AB317</f>
        <v>0</v>
      </c>
      <c r="AC348" s="155">
        <f t="shared" ref="AC348:AT348" si="303">AC346+AC333+AC317</f>
        <v>0</v>
      </c>
      <c r="AD348" s="155">
        <f t="shared" si="303"/>
        <v>0</v>
      </c>
      <c r="AE348" s="155">
        <f t="shared" si="303"/>
        <v>0</v>
      </c>
      <c r="AF348" s="155">
        <f t="shared" ref="AF348:AH348" si="304">AF346+AF333+AF317</f>
        <v>0</v>
      </c>
      <c r="AG348" s="155">
        <f t="shared" si="304"/>
        <v>0</v>
      </c>
      <c r="AH348" s="155">
        <f t="shared" si="304"/>
        <v>0</v>
      </c>
      <c r="AI348" s="155">
        <f>AI346+AI333+AI317</f>
        <v>0</v>
      </c>
      <c r="AJ348" s="155">
        <f>AJ346+AJ333+AJ317</f>
        <v>0</v>
      </c>
      <c r="AK348" s="155">
        <f t="shared" si="303"/>
        <v>0</v>
      </c>
      <c r="AL348" s="155">
        <f t="shared" si="303"/>
        <v>0</v>
      </c>
      <c r="AM348" s="155">
        <f t="shared" si="303"/>
        <v>-5410000</v>
      </c>
      <c r="AN348" s="155">
        <f t="shared" si="303"/>
        <v>0</v>
      </c>
      <c r="AO348" s="155">
        <f t="shared" si="303"/>
        <v>-19280000</v>
      </c>
      <c r="AP348" s="155">
        <f t="shared" si="303"/>
        <v>0</v>
      </c>
      <c r="AQ348" s="155">
        <f t="shared" si="303"/>
        <v>0</v>
      </c>
      <c r="AR348" s="155">
        <f t="shared" si="303"/>
        <v>0</v>
      </c>
      <c r="AS348" s="155">
        <f t="shared" si="303"/>
        <v>-12041000</v>
      </c>
      <c r="AT348" s="155">
        <f t="shared" si="303"/>
        <v>0</v>
      </c>
      <c r="AU348" s="148"/>
      <c r="AV348" s="148">
        <f>AV346+AV333+AV317</f>
        <v>49047000</v>
      </c>
      <c r="AW348" s="148">
        <f>AW346+AW333+AW317</f>
        <v>286367000</v>
      </c>
      <c r="AX348" s="152" t="str">
        <f>IF(ROUND(SUM(F348:AT348),0)=ROUND(AW348,0),"ok","crossfoot error")</f>
        <v>crossfoot error</v>
      </c>
      <c r="AY348" s="148">
        <f>AY346+AY333+AY317+AY354</f>
        <v>312884</v>
      </c>
      <c r="AZ348" s="147">
        <v>312882.2</v>
      </c>
      <c r="BA348" s="146">
        <f>AY348-AZ348</f>
        <v>1.7999999999883585</v>
      </c>
      <c r="BB348" s="146">
        <f>BA348+BA356</f>
        <v>1.6000000000349246</v>
      </c>
    </row>
    <row r="349" spans="1:54" ht="14.1" customHeight="1">
      <c r="A349" s="145">
        <v>349</v>
      </c>
      <c r="B349" s="144"/>
      <c r="C349" s="144"/>
      <c r="D349" s="144"/>
      <c r="E349" s="141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49"/>
      <c r="AV349" s="149"/>
      <c r="AW349" s="149"/>
      <c r="AX349" s="145"/>
      <c r="AY349" s="149"/>
      <c r="AZ349" s="146"/>
      <c r="BA349" s="146"/>
      <c r="BB349" s="145"/>
    </row>
    <row r="350" spans="1:54" ht="14.1" customHeight="1">
      <c r="A350" s="145">
        <v>350</v>
      </c>
      <c r="B350" s="157" t="s">
        <v>628</v>
      </c>
      <c r="C350" s="144"/>
      <c r="D350" s="144"/>
      <c r="E350" s="141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49"/>
      <c r="AV350" s="149"/>
      <c r="AW350" s="149"/>
      <c r="AX350" s="145"/>
      <c r="AY350" s="149"/>
      <c r="AZ350" s="146"/>
      <c r="BA350" s="146"/>
      <c r="BB350" s="145"/>
    </row>
    <row r="351" spans="1:54" ht="14.1" customHeight="1">
      <c r="A351" s="145">
        <v>351</v>
      </c>
      <c r="B351" s="149" t="s">
        <v>627</v>
      </c>
      <c r="C351" s="149" t="s">
        <v>626</v>
      </c>
      <c r="D351" s="144"/>
      <c r="E351" s="141"/>
      <c r="F351" s="398">
        <f>25429000-F352</f>
        <v>21875000</v>
      </c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465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465"/>
      <c r="AN351" s="465"/>
      <c r="AO351" s="465"/>
      <c r="AP351" s="465"/>
      <c r="AQ351" s="465"/>
      <c r="AR351" s="465"/>
      <c r="AS351" s="173"/>
      <c r="AT351" s="173"/>
      <c r="AU351" s="149"/>
      <c r="AV351" s="149">
        <f>SUM(G351:AT351)</f>
        <v>0</v>
      </c>
      <c r="AW351" s="149">
        <f>F351+AV351</f>
        <v>21875000</v>
      </c>
      <c r="AX351" s="145"/>
      <c r="AY351" s="149">
        <f>-ROUND(AW351/1000,0)*1000</f>
        <v>-21875000</v>
      </c>
      <c r="AZ351" s="146"/>
      <c r="BA351" s="146"/>
      <c r="BB351" s="145"/>
    </row>
    <row r="352" spans="1:54" ht="14.1" customHeight="1">
      <c r="A352" s="145">
        <v>352</v>
      </c>
      <c r="B352" s="789">
        <v>303.12099999999998</v>
      </c>
      <c r="C352" s="149" t="s">
        <v>1251</v>
      </c>
      <c r="D352" s="144"/>
      <c r="E352" s="141"/>
      <c r="F352" s="398">
        <v>3554000</v>
      </c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465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49"/>
      <c r="AV352" s="149">
        <f>SUM(G352:AT352)</f>
        <v>0</v>
      </c>
      <c r="AW352" s="149">
        <f>F352+AV352</f>
        <v>3554000</v>
      </c>
      <c r="AX352" s="145"/>
      <c r="AY352" s="149">
        <f>-ROUND(AW352/1000,0)*1000</f>
        <v>-3554000</v>
      </c>
      <c r="AZ352" s="146"/>
      <c r="BA352" s="146"/>
      <c r="BB352" s="145"/>
    </row>
    <row r="353" spans="1:54" ht="14.1" customHeight="1">
      <c r="A353" s="145">
        <v>353</v>
      </c>
      <c r="B353" s="399">
        <v>303</v>
      </c>
      <c r="C353" s="196" t="s">
        <v>278</v>
      </c>
      <c r="D353" s="196"/>
      <c r="E353" s="141"/>
      <c r="F353" s="398">
        <v>1088000</v>
      </c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49"/>
      <c r="AV353" s="149">
        <f>SUM(G353:AT353)</f>
        <v>0</v>
      </c>
      <c r="AW353" s="149">
        <f>F353+AV353</f>
        <v>1088000</v>
      </c>
      <c r="AX353" s="145"/>
      <c r="AY353" s="149">
        <f>-ROUND(AW353/1000,0)*1000</f>
        <v>-1088000</v>
      </c>
      <c r="AZ353" s="146"/>
      <c r="BA353" s="146"/>
      <c r="BB353" s="145"/>
    </row>
    <row r="354" spans="1:54" s="154" customFormat="1" ht="14.1" customHeight="1">
      <c r="A354" s="145">
        <v>354</v>
      </c>
      <c r="B354" s="178"/>
      <c r="C354" s="157" t="s">
        <v>625</v>
      </c>
      <c r="D354" s="157"/>
      <c r="E354" s="156"/>
      <c r="F354" s="159">
        <f t="shared" ref="F354:U354" si="305">SUM(F351:F353)</f>
        <v>26517000</v>
      </c>
      <c r="G354" s="159">
        <f>SUM(G351:G353)</f>
        <v>0</v>
      </c>
      <c r="H354" s="159">
        <f t="shared" si="305"/>
        <v>0</v>
      </c>
      <c r="I354" s="159">
        <f t="shared" si="305"/>
        <v>0</v>
      </c>
      <c r="J354" s="159">
        <f t="shared" si="305"/>
        <v>0</v>
      </c>
      <c r="K354" s="159">
        <f t="shared" si="305"/>
        <v>0</v>
      </c>
      <c r="L354" s="159">
        <f t="shared" si="305"/>
        <v>0</v>
      </c>
      <c r="M354" s="159">
        <f t="shared" si="305"/>
        <v>0</v>
      </c>
      <c r="N354" s="159">
        <f t="shared" si="305"/>
        <v>0</v>
      </c>
      <c r="O354" s="159">
        <f t="shared" si="305"/>
        <v>0</v>
      </c>
      <c r="P354" s="159">
        <f t="shared" si="305"/>
        <v>0</v>
      </c>
      <c r="Q354" s="159">
        <f t="shared" si="305"/>
        <v>0</v>
      </c>
      <c r="R354" s="159">
        <f t="shared" si="305"/>
        <v>0</v>
      </c>
      <c r="S354" s="159">
        <f t="shared" si="305"/>
        <v>0</v>
      </c>
      <c r="T354" s="159">
        <f t="shared" si="305"/>
        <v>0</v>
      </c>
      <c r="U354" s="159">
        <f t="shared" si="305"/>
        <v>0</v>
      </c>
      <c r="V354" s="159">
        <f t="shared" ref="V354:AA354" si="306">SUM(V351:V353)</f>
        <v>0</v>
      </c>
      <c r="W354" s="159">
        <f t="shared" si="306"/>
        <v>0</v>
      </c>
      <c r="X354" s="159">
        <f t="shared" si="306"/>
        <v>0</v>
      </c>
      <c r="Y354" s="159">
        <f t="shared" si="306"/>
        <v>0</v>
      </c>
      <c r="Z354" s="159">
        <f t="shared" si="306"/>
        <v>0</v>
      </c>
      <c r="AA354" s="159">
        <f t="shared" si="306"/>
        <v>0</v>
      </c>
      <c r="AB354" s="159">
        <f t="shared" ref="AB354" si="307">SUM(AB351:AB353)</f>
        <v>0</v>
      </c>
      <c r="AC354" s="159">
        <f t="shared" ref="AC354:AT354" si="308">SUM(AC351:AC353)</f>
        <v>0</v>
      </c>
      <c r="AD354" s="159">
        <f t="shared" si="308"/>
        <v>0</v>
      </c>
      <c r="AE354" s="159">
        <f t="shared" si="308"/>
        <v>0</v>
      </c>
      <c r="AF354" s="159">
        <f t="shared" ref="AF354:AH354" si="309">SUM(AF351:AF353)</f>
        <v>0</v>
      </c>
      <c r="AG354" s="159">
        <f t="shared" si="309"/>
        <v>0</v>
      </c>
      <c r="AH354" s="159">
        <f t="shared" si="309"/>
        <v>0</v>
      </c>
      <c r="AI354" s="159">
        <f>SUM(AI351:AI353)</f>
        <v>0</v>
      </c>
      <c r="AJ354" s="159">
        <f>SUM(AJ351:AJ353)</f>
        <v>0</v>
      </c>
      <c r="AK354" s="159">
        <f t="shared" si="308"/>
        <v>0</v>
      </c>
      <c r="AL354" s="159">
        <f t="shared" si="308"/>
        <v>0</v>
      </c>
      <c r="AM354" s="159">
        <f t="shared" si="308"/>
        <v>0</v>
      </c>
      <c r="AN354" s="159">
        <f t="shared" si="308"/>
        <v>0</v>
      </c>
      <c r="AO354" s="159">
        <f t="shared" si="308"/>
        <v>0</v>
      </c>
      <c r="AP354" s="159">
        <f t="shared" si="308"/>
        <v>0</v>
      </c>
      <c r="AQ354" s="159">
        <f t="shared" si="308"/>
        <v>0</v>
      </c>
      <c r="AR354" s="159">
        <f t="shared" si="308"/>
        <v>0</v>
      </c>
      <c r="AS354" s="159">
        <f t="shared" si="308"/>
        <v>0</v>
      </c>
      <c r="AT354" s="159">
        <f t="shared" si="308"/>
        <v>0</v>
      </c>
      <c r="AU354" s="158"/>
      <c r="AV354" s="158">
        <f>SUM(AV351:AV353)</f>
        <v>0</v>
      </c>
      <c r="AW354" s="158">
        <f>SUM(AW351:AW353)</f>
        <v>26517000</v>
      </c>
      <c r="AX354" s="152" t="str">
        <f>IF(ROUND(SUM(F354:AT354),0)=ROUND(AW354,0),"ok","crossfoot error")</f>
        <v>ok</v>
      </c>
      <c r="AY354" s="158">
        <f>-SUM(AY351:AY353)/1000</f>
        <v>26517</v>
      </c>
      <c r="AZ354" s="146"/>
      <c r="BA354" s="146"/>
      <c r="BB354" s="146"/>
    </row>
    <row r="355" spans="1:54" ht="14.1" customHeight="1">
      <c r="A355" s="145">
        <v>355</v>
      </c>
      <c r="B355" s="144"/>
      <c r="C355" s="144"/>
      <c r="D355" s="144"/>
      <c r="E355" s="141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1"/>
      <c r="AV355" s="149"/>
      <c r="AW355" s="149"/>
      <c r="AX355" s="145"/>
      <c r="AY355" s="149"/>
      <c r="AZ355" s="146"/>
      <c r="BA355" s="146"/>
      <c r="BB355" s="145"/>
    </row>
    <row r="356" spans="1:54" s="154" customFormat="1" ht="14.1" customHeight="1">
      <c r="A356" s="145">
        <v>356</v>
      </c>
      <c r="B356" s="157"/>
      <c r="C356" s="157" t="s">
        <v>137</v>
      </c>
      <c r="D356" s="157"/>
      <c r="E356" s="156"/>
      <c r="F356" s="155">
        <f>F295-F348-F354</f>
        <v>582659000</v>
      </c>
      <c r="G356" s="155">
        <f>G295-G348-G354</f>
        <v>0</v>
      </c>
      <c r="H356" s="155">
        <f>H295-H348-H354</f>
        <v>0</v>
      </c>
      <c r="I356" s="155">
        <f>I295-I348-I354</f>
        <v>0</v>
      </c>
      <c r="J356" s="155">
        <f t="shared" ref="J356:U356" si="310">J295-J348-J354</f>
        <v>0</v>
      </c>
      <c r="K356" s="155">
        <f t="shared" si="310"/>
        <v>0</v>
      </c>
      <c r="L356" s="155">
        <f t="shared" si="310"/>
        <v>0</v>
      </c>
      <c r="M356" s="155">
        <f t="shared" si="310"/>
        <v>0</v>
      </c>
      <c r="N356" s="155">
        <f t="shared" si="310"/>
        <v>0</v>
      </c>
      <c r="O356" s="155">
        <f t="shared" si="310"/>
        <v>0</v>
      </c>
      <c r="P356" s="155">
        <f t="shared" si="310"/>
        <v>0</v>
      </c>
      <c r="Q356" s="155">
        <f t="shared" si="310"/>
        <v>0</v>
      </c>
      <c r="R356" s="155">
        <f t="shared" si="310"/>
        <v>0</v>
      </c>
      <c r="S356" s="155">
        <f t="shared" si="310"/>
        <v>0</v>
      </c>
      <c r="T356" s="155">
        <f t="shared" si="310"/>
        <v>0</v>
      </c>
      <c r="U356" s="155">
        <f t="shared" si="310"/>
        <v>0</v>
      </c>
      <c r="V356" s="155">
        <f t="shared" ref="V356:AA356" si="311">V295-V348-V354</f>
        <v>0</v>
      </c>
      <c r="W356" s="155">
        <f t="shared" si="311"/>
        <v>0</v>
      </c>
      <c r="X356" s="155">
        <f>X295+X348+X354</f>
        <v>12291000</v>
      </c>
      <c r="Y356" s="155">
        <f t="shared" si="311"/>
        <v>0</v>
      </c>
      <c r="Z356" s="155">
        <f t="shared" si="311"/>
        <v>0</v>
      </c>
      <c r="AA356" s="155">
        <f t="shared" si="311"/>
        <v>0</v>
      </c>
      <c r="AB356" s="155">
        <f>AB295+AB348+AB354</f>
        <v>0</v>
      </c>
      <c r="AC356" s="155">
        <f t="shared" ref="AC356:AL356" si="312">AC295-AC348-AC354</f>
        <v>0</v>
      </c>
      <c r="AD356" s="155">
        <f t="shared" si="312"/>
        <v>0</v>
      </c>
      <c r="AE356" s="155">
        <f t="shared" si="312"/>
        <v>0</v>
      </c>
      <c r="AF356" s="155">
        <f t="shared" ref="AF356:AH356" si="313">AF295-AF348-AF354</f>
        <v>0</v>
      </c>
      <c r="AG356" s="155">
        <f t="shared" si="313"/>
        <v>0</v>
      </c>
      <c r="AH356" s="155">
        <f t="shared" si="313"/>
        <v>0</v>
      </c>
      <c r="AI356" s="155">
        <f>AI295-AI348-AI354</f>
        <v>0</v>
      </c>
      <c r="AJ356" s="155">
        <f>AJ295-AJ348-AJ354</f>
        <v>0</v>
      </c>
      <c r="AK356" s="155">
        <f t="shared" si="312"/>
        <v>0</v>
      </c>
      <c r="AL356" s="155">
        <f t="shared" si="312"/>
        <v>0</v>
      </c>
      <c r="AM356" s="155">
        <f t="shared" ref="AM356:AT356" si="314">AM295+AM348+AM354</f>
        <v>19258000</v>
      </c>
      <c r="AN356" s="155">
        <f t="shared" si="314"/>
        <v>0</v>
      </c>
      <c r="AO356" s="155">
        <f t="shared" si="314"/>
        <v>20483000</v>
      </c>
      <c r="AP356" s="155">
        <f t="shared" si="314"/>
        <v>0</v>
      </c>
      <c r="AQ356" s="155">
        <f t="shared" si="314"/>
        <v>0</v>
      </c>
      <c r="AR356" s="155">
        <f t="shared" si="314"/>
        <v>0</v>
      </c>
      <c r="AS356" s="155">
        <f t="shared" si="314"/>
        <v>4600000</v>
      </c>
      <c r="AT356" s="155">
        <f t="shared" si="314"/>
        <v>0</v>
      </c>
      <c r="AU356" s="148"/>
      <c r="AV356" s="148">
        <f>AV295-AV348-AV354</f>
        <v>56632000</v>
      </c>
      <c r="AW356" s="148">
        <f>AW295-AW348-AW354</f>
        <v>639291000</v>
      </c>
      <c r="AX356" s="152" t="str">
        <f>IF(ROUND(SUM(F356:AT356),0)=ROUND(AW356,0),"ok","crossfoot error")</f>
        <v>ok</v>
      </c>
      <c r="AY356" s="148">
        <f>AY295-AY348</f>
        <v>639292</v>
      </c>
      <c r="AZ356" s="147">
        <v>639292.19999999995</v>
      </c>
      <c r="BA356" s="146">
        <f>AY356-AZ356</f>
        <v>-0.19999999995343387</v>
      </c>
      <c r="BB356" s="146">
        <f>BA356+(BA348)</f>
        <v>1.6000000000349246</v>
      </c>
    </row>
    <row r="357" spans="1:54" ht="14.1" customHeight="1">
      <c r="A357" s="145">
        <v>357</v>
      </c>
      <c r="B357" s="144"/>
      <c r="C357" s="144"/>
      <c r="D357" s="144"/>
      <c r="E357" s="141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49"/>
      <c r="AV357" s="149"/>
      <c r="AW357" s="149"/>
      <c r="AX357" s="145"/>
      <c r="AY357" s="149"/>
      <c r="AZ357" s="146"/>
      <c r="BA357" s="146"/>
      <c r="BB357" s="145"/>
    </row>
    <row r="358" spans="1:54" ht="14.1" customHeight="1">
      <c r="A358" s="145">
        <v>358</v>
      </c>
      <c r="B358" s="144" t="str">
        <f>$B$1</f>
        <v>Proforma</v>
      </c>
      <c r="C358" s="144"/>
      <c r="D358" s="144"/>
      <c r="E358" s="149"/>
      <c r="F358" s="173"/>
      <c r="G358" s="173"/>
      <c r="H358" s="173"/>
      <c r="I358" s="173"/>
      <c r="J358" s="173"/>
      <c r="K358" s="173"/>
      <c r="L358" s="173"/>
      <c r="M358" s="458"/>
      <c r="O358" s="173"/>
      <c r="P358" s="173"/>
      <c r="Q358" s="173"/>
      <c r="R358" s="173"/>
      <c r="S358" s="466"/>
      <c r="T358" s="466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G358" s="173"/>
      <c r="AH358" s="173"/>
      <c r="AI358" s="458"/>
      <c r="AJ358" s="458"/>
      <c r="AK358" s="458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49"/>
      <c r="AV358" s="149"/>
      <c r="AW358" s="177"/>
      <c r="AX358" s="145"/>
      <c r="AY358" s="177"/>
      <c r="AZ358" s="146"/>
      <c r="BA358" s="146"/>
      <c r="BB358" s="145"/>
    </row>
    <row r="359" spans="1:54" ht="14.1" customHeight="1">
      <c r="A359" s="145">
        <v>359</v>
      </c>
      <c r="B359" s="144" t="str">
        <f>$B$2</f>
        <v>Pro Forma Results of Operations</v>
      </c>
      <c r="C359" s="144"/>
      <c r="D359" s="144"/>
      <c r="E359" s="149" t="s">
        <v>623</v>
      </c>
      <c r="F359" s="173"/>
      <c r="G359" s="173"/>
      <c r="H359" s="173"/>
      <c r="I359" s="173"/>
      <c r="J359" s="173"/>
      <c r="K359" s="173"/>
      <c r="L359" s="173"/>
      <c r="M359" s="176"/>
      <c r="O359" s="173" t="str">
        <f>E359</f>
        <v>Miscellaneous Rate Base Items and Revenues</v>
      </c>
      <c r="P359" s="173"/>
      <c r="Q359" s="173"/>
      <c r="R359" s="173"/>
      <c r="S359" s="176"/>
      <c r="T359" s="176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 t="str">
        <f>E359</f>
        <v>Miscellaneous Rate Base Items and Revenues</v>
      </c>
      <c r="AF359" s="173"/>
      <c r="AG359" s="173"/>
      <c r="AH359" s="173"/>
      <c r="AI359" s="176"/>
      <c r="AJ359" s="176"/>
      <c r="AK359" s="176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49"/>
      <c r="AV359" s="149"/>
      <c r="AW359" s="175"/>
      <c r="AX359" s="145"/>
      <c r="AY359" s="175"/>
      <c r="AZ359" s="146"/>
      <c r="BA359" s="146"/>
      <c r="BB359" s="145"/>
    </row>
    <row r="360" spans="1:54" ht="14.1" customHeight="1">
      <c r="A360" s="145">
        <v>360</v>
      </c>
      <c r="B360" s="144" t="str">
        <f>$B$3</f>
        <v>Company Base Case</v>
      </c>
      <c r="C360" s="144"/>
      <c r="D360" s="144"/>
      <c r="E360" s="149"/>
      <c r="F360" s="173"/>
      <c r="G360" s="173"/>
      <c r="H360" s="173"/>
      <c r="I360" s="173"/>
      <c r="J360" s="173"/>
      <c r="K360" s="173"/>
      <c r="L360" s="173"/>
      <c r="M360" s="459"/>
      <c r="O360" s="173"/>
      <c r="P360" s="173"/>
      <c r="Q360" s="173"/>
      <c r="R360" s="173"/>
      <c r="S360" s="459"/>
      <c r="T360" s="459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49"/>
      <c r="AV360" s="149"/>
      <c r="AW360" s="174"/>
      <c r="AX360" s="145"/>
      <c r="AY360" s="174"/>
      <c r="AZ360" s="146"/>
      <c r="BA360" s="146"/>
      <c r="BB360" s="145"/>
    </row>
    <row r="361" spans="1:54" ht="14.1" customHeight="1">
      <c r="A361" s="145">
        <v>361</v>
      </c>
      <c r="B361" s="144"/>
      <c r="C361" s="144"/>
      <c r="D361" s="144"/>
      <c r="E361" s="149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49"/>
      <c r="AV361" s="149"/>
      <c r="AW361" s="149"/>
      <c r="AX361" s="145"/>
      <c r="AY361" s="149"/>
      <c r="AZ361" s="146"/>
      <c r="BA361" s="146"/>
      <c r="BB361" s="145"/>
    </row>
    <row r="362" spans="1:54" ht="14.1" customHeight="1">
      <c r="A362" s="145">
        <v>362</v>
      </c>
      <c r="B362" s="171"/>
      <c r="C362" s="171"/>
      <c r="D362" s="171"/>
      <c r="E362" s="171"/>
      <c r="F362" s="172">
        <f t="shared" ref="F362:AM362" si="315">F5</f>
        <v>1</v>
      </c>
      <c r="G362" s="453">
        <f t="shared" si="315"/>
        <v>1.01</v>
      </c>
      <c r="H362" s="453">
        <f t="shared" si="315"/>
        <v>1.02</v>
      </c>
      <c r="I362" s="453">
        <f t="shared" si="315"/>
        <v>1.03</v>
      </c>
      <c r="J362" s="453">
        <f t="shared" ref="J362:K365" si="316">J5</f>
        <v>2.0099999999999998</v>
      </c>
      <c r="K362" s="453">
        <f t="shared" si="316"/>
        <v>2.02</v>
      </c>
      <c r="L362" s="453">
        <f t="shared" si="315"/>
        <v>2.0299999999999998</v>
      </c>
      <c r="M362" s="453">
        <f t="shared" si="315"/>
        <v>2.04</v>
      </c>
      <c r="N362" s="453">
        <f t="shared" si="315"/>
        <v>2.0499999999999998</v>
      </c>
      <c r="O362" s="453">
        <f t="shared" si="315"/>
        <v>2.06</v>
      </c>
      <c r="P362" s="453">
        <f t="shared" ref="P362:T365" si="317">P5</f>
        <v>2.0699999999999998</v>
      </c>
      <c r="Q362" s="453">
        <f t="shared" si="317"/>
        <v>2.08</v>
      </c>
      <c r="R362" s="453">
        <f t="shared" si="317"/>
        <v>2.09</v>
      </c>
      <c r="S362" s="453">
        <f t="shared" si="317"/>
        <v>2.1</v>
      </c>
      <c r="T362" s="453">
        <f t="shared" si="317"/>
        <v>2.11</v>
      </c>
      <c r="U362" s="453">
        <f t="shared" si="315"/>
        <v>2.12</v>
      </c>
      <c r="V362" s="453">
        <f t="shared" ref="V362:AA365" si="318">V5</f>
        <v>2.13</v>
      </c>
      <c r="W362" s="453">
        <f t="shared" si="318"/>
        <v>2.14</v>
      </c>
      <c r="X362" s="453">
        <f t="shared" si="318"/>
        <v>2.15</v>
      </c>
      <c r="Y362" s="453">
        <f t="shared" si="318"/>
        <v>3.01</v>
      </c>
      <c r="Z362" s="453">
        <f t="shared" si="318"/>
        <v>3.02</v>
      </c>
      <c r="AA362" s="453">
        <f t="shared" si="318"/>
        <v>3.03</v>
      </c>
      <c r="AB362" s="453">
        <f t="shared" ref="AB362" si="319">AB5</f>
        <v>3.04</v>
      </c>
      <c r="AC362" s="453">
        <f t="shared" si="315"/>
        <v>3.05</v>
      </c>
      <c r="AD362" s="453">
        <f t="shared" si="315"/>
        <v>3.06</v>
      </c>
      <c r="AE362" s="453">
        <f t="shared" si="315"/>
        <v>3.07</v>
      </c>
      <c r="AF362" s="453">
        <f t="shared" ref="AF362:AH362" si="320">AF5</f>
        <v>3.08</v>
      </c>
      <c r="AG362" s="453">
        <f t="shared" si="320"/>
        <v>3.09</v>
      </c>
      <c r="AH362" s="453">
        <f t="shared" si="320"/>
        <v>3.1</v>
      </c>
      <c r="AI362" s="453">
        <f t="shared" ref="AI362:AJ365" si="321">AI5</f>
        <v>3.11</v>
      </c>
      <c r="AJ362" s="453">
        <f t="shared" si="321"/>
        <v>3.12</v>
      </c>
      <c r="AK362" s="453">
        <f t="shared" ref="AK362:AK365" si="322">AK5</f>
        <v>3.13</v>
      </c>
      <c r="AL362" s="453">
        <f t="shared" si="315"/>
        <v>3.14</v>
      </c>
      <c r="AM362" s="453">
        <f t="shared" si="315"/>
        <v>3.15</v>
      </c>
      <c r="AN362" s="453">
        <f t="shared" ref="AN362:AR362" si="323">AN5</f>
        <v>3.16</v>
      </c>
      <c r="AO362" s="453">
        <f t="shared" si="323"/>
        <v>3.17</v>
      </c>
      <c r="AP362" s="453">
        <f t="shared" si="323"/>
        <v>3.18</v>
      </c>
      <c r="AQ362" s="453">
        <f t="shared" si="323"/>
        <v>3.19</v>
      </c>
      <c r="AR362" s="453">
        <f t="shared" si="323"/>
        <v>3.2</v>
      </c>
      <c r="AS362" s="453">
        <f t="shared" ref="AS362:AT365" si="324">AS5</f>
        <v>4.01</v>
      </c>
      <c r="AT362" s="453">
        <f t="shared" si="324"/>
        <v>4.0199999999999996</v>
      </c>
      <c r="AU362" s="171"/>
      <c r="AV362" s="171" t="str">
        <f>AV$5</f>
        <v>(av)</v>
      </c>
      <c r="AW362" s="171" t="str">
        <f>AW$5</f>
        <v>(aw)</v>
      </c>
      <c r="AX362" s="171" t="str">
        <f>AX$5</f>
        <v>(ax)</v>
      </c>
      <c r="AY362" s="171" t="str">
        <f>AY$5</f>
        <v>(ay)</v>
      </c>
      <c r="AZ362" s="146"/>
      <c r="BA362" s="146"/>
      <c r="BB362" s="145"/>
    </row>
    <row r="363" spans="1:54" ht="14.1" customHeight="1">
      <c r="A363" s="145">
        <v>363</v>
      </c>
      <c r="B363" s="168" t="str">
        <f>IF(ISBLANK(B$6),"",B$6)</f>
        <v/>
      </c>
      <c r="C363" s="168" t="str">
        <f>IF(ISBLANK(C$6),"",C$6)</f>
        <v/>
      </c>
      <c r="D363" s="168" t="str">
        <f>IF(ISBLANK(D$6),"",D$6)</f>
        <v/>
      </c>
      <c r="E363" s="168" t="str">
        <f>IF(ISBLANK(E$6),"",E$6)</f>
        <v>Notes</v>
      </c>
      <c r="F363" s="168" t="s">
        <v>622</v>
      </c>
      <c r="G363" s="454" t="str">
        <f t="shared" ref="G363:I365" si="325">G6</f>
        <v>Deferred FIT</v>
      </c>
      <c r="H363" s="454" t="str">
        <f t="shared" si="325"/>
        <v>Deferred Debits</v>
      </c>
      <c r="I363" s="454" t="str">
        <f t="shared" si="325"/>
        <v xml:space="preserve">Working </v>
      </c>
      <c r="J363" s="454" t="str">
        <f t="shared" si="316"/>
        <v>Eliminate</v>
      </c>
      <c r="K363" s="454" t="str">
        <f t="shared" si="316"/>
        <v>Restate</v>
      </c>
      <c r="L363" s="454" t="str">
        <f t="shared" ref="L363:O365" si="326">L6</f>
        <v>Uncollectible</v>
      </c>
      <c r="M363" s="454" t="str">
        <f t="shared" si="326"/>
        <v>Regulatory</v>
      </c>
      <c r="N363" s="454" t="str">
        <f t="shared" si="326"/>
        <v>Injuries &amp;</v>
      </c>
      <c r="O363" s="454" t="str">
        <f t="shared" si="326"/>
        <v>FIT/DFIT</v>
      </c>
      <c r="P363" s="454" t="str">
        <f t="shared" si="317"/>
        <v>Office Space</v>
      </c>
      <c r="Q363" s="454" t="str">
        <f t="shared" si="317"/>
        <v>Restate</v>
      </c>
      <c r="R363" s="454" t="str">
        <f t="shared" si="317"/>
        <v>Net Gains/</v>
      </c>
      <c r="S363" s="454" t="str">
        <f t="shared" si="317"/>
        <v>Weather Normalization</v>
      </c>
      <c r="T363" s="454" t="str">
        <f t="shared" si="317"/>
        <v>Eliminate</v>
      </c>
      <c r="U363" s="454" t="str">
        <f>U6</f>
        <v>Misc. Restating</v>
      </c>
      <c r="V363" s="454" t="str">
        <f t="shared" si="318"/>
        <v xml:space="preserve">Restating </v>
      </c>
      <c r="W363" s="454" t="str">
        <f t="shared" si="318"/>
        <v xml:space="preserve">Restate </v>
      </c>
      <c r="X363" s="454" t="str">
        <f t="shared" si="318"/>
        <v xml:space="preserve">Restate </v>
      </c>
      <c r="Y363" s="454" t="str">
        <f t="shared" si="318"/>
        <v>Pro Forma Revenue</v>
      </c>
      <c r="Z363" s="454" t="str">
        <f t="shared" si="318"/>
        <v xml:space="preserve">Pro Forma Def. </v>
      </c>
      <c r="AA363" s="454" t="str">
        <f t="shared" si="318"/>
        <v>Pro Forma</v>
      </c>
      <c r="AB363" s="454" t="str">
        <f t="shared" ref="AB363" si="327">AB6</f>
        <v>Pro Forma</v>
      </c>
      <c r="AC363" s="454" t="str">
        <f t="shared" ref="AC363:AE365" si="328">AC6</f>
        <v>Pro Forma</v>
      </c>
      <c r="AD363" s="454" t="str">
        <f t="shared" si="328"/>
        <v>Pro Forma</v>
      </c>
      <c r="AE363" s="454" t="str">
        <f t="shared" si="328"/>
        <v>Pro Forma</v>
      </c>
      <c r="AF363" s="454" t="str">
        <f t="shared" ref="AF363:AH363" si="329">AF6</f>
        <v>Pro Forma</v>
      </c>
      <c r="AG363" s="454" t="str">
        <f t="shared" si="329"/>
        <v>Remove</v>
      </c>
      <c r="AH363" s="454" t="str">
        <f t="shared" si="329"/>
        <v>Pro Forma</v>
      </c>
      <c r="AI363" s="454" t="str">
        <f t="shared" si="321"/>
        <v>Pro Forma</v>
      </c>
      <c r="AJ363" s="454" t="str">
        <f t="shared" si="321"/>
        <v>Pro Forma</v>
      </c>
      <c r="AK363" s="454" t="str">
        <f t="shared" si="322"/>
        <v>Pro Forma</v>
      </c>
      <c r="AL363" s="454" t="str">
        <f t="shared" ref="AL363:AM365" si="330">AL6</f>
        <v xml:space="preserve">Pro Forma </v>
      </c>
      <c r="AM363" s="454" t="str">
        <f t="shared" si="330"/>
        <v>Pro Forma</v>
      </c>
      <c r="AN363" s="454" t="str">
        <f t="shared" ref="AN363:AR363" si="331">AN6</f>
        <v>Pro Forma</v>
      </c>
      <c r="AO363" s="454" t="str">
        <f t="shared" si="331"/>
        <v>Pro Forma</v>
      </c>
      <c r="AP363" s="454" t="str">
        <f t="shared" si="331"/>
        <v>Pro Forma</v>
      </c>
      <c r="AQ363" s="454" t="str">
        <f t="shared" si="331"/>
        <v>Pro Forma</v>
      </c>
      <c r="AR363" s="454" t="str">
        <f t="shared" si="331"/>
        <v>Pro Forma</v>
      </c>
      <c r="AS363" s="454" t="str">
        <f t="shared" si="324"/>
        <v>Provisional Capital Add.</v>
      </c>
      <c r="AT363" s="454" t="str">
        <f t="shared" si="324"/>
        <v>2024-2025</v>
      </c>
      <c r="AU363" s="168"/>
      <c r="AV363" s="168" t="str">
        <f>IF(ISBLANK(AV$6),"",AV$6)</f>
        <v>Net Total</v>
      </c>
      <c r="AW363" s="168" t="str">
        <f>IF(ISBLANK(AW$6),"",AW$6)</f>
        <v>Total</v>
      </c>
      <c r="AX363" s="168" t="str">
        <f>IF(ISBLANK(AX$6),"",AX$6)</f>
        <v>check</v>
      </c>
      <c r="AY363" s="168" t="str">
        <f>IF(ISBLANK(AY$6),"",AY$6)</f>
        <v>Total</v>
      </c>
      <c r="AZ363" s="146"/>
      <c r="BA363" s="146"/>
      <c r="BB363" s="145"/>
    </row>
    <row r="364" spans="1:54" ht="14.1" customHeight="1">
      <c r="A364" s="145">
        <v>364</v>
      </c>
      <c r="B364" s="170" t="str">
        <f>IF(ISBLANK(B$7),"",B$7)</f>
        <v>Account</v>
      </c>
      <c r="C364" s="169" t="str">
        <f>IF(ISBLANK(C$7),"",C$7)</f>
        <v>Description</v>
      </c>
      <c r="D364" s="168"/>
      <c r="E364" s="168" t="str">
        <f>IF(ISBLANK(E$7),"",E$7)</f>
        <v/>
      </c>
      <c r="F364" s="168" t="s">
        <v>621</v>
      </c>
      <c r="G364" s="454" t="str">
        <f t="shared" si="325"/>
        <v>Rate Base</v>
      </c>
      <c r="H364" s="454" t="str">
        <f t="shared" si="325"/>
        <v>and Credits</v>
      </c>
      <c r="I364" s="454" t="str">
        <f t="shared" si="325"/>
        <v>Capital</v>
      </c>
      <c r="J364" s="454" t="str">
        <f t="shared" si="316"/>
        <v>B &amp; O Taxes</v>
      </c>
      <c r="K364" s="454" t="str">
        <f t="shared" si="316"/>
        <v>Property Taxes</v>
      </c>
      <c r="L364" s="454" t="str">
        <f t="shared" si="326"/>
        <v>Expense</v>
      </c>
      <c r="M364" s="454" t="str">
        <f t="shared" si="326"/>
        <v>Expense</v>
      </c>
      <c r="N364" s="454" t="str">
        <f t="shared" si="326"/>
        <v>Damages</v>
      </c>
      <c r="O364" s="454" t="str">
        <f t="shared" si="326"/>
        <v>Expense</v>
      </c>
      <c r="P364" s="454" t="str">
        <f t="shared" si="317"/>
        <v>Charges to Subs</v>
      </c>
      <c r="Q364" s="454" t="str">
        <f t="shared" si="317"/>
        <v>Excise Tax</v>
      </c>
      <c r="R364" s="454" t="str">
        <f t="shared" si="317"/>
        <v>Losses</v>
      </c>
      <c r="S364" s="454" t="str">
        <f t="shared" si="317"/>
        <v>Gas Cost Adjust</v>
      </c>
      <c r="T364" s="454" t="str">
        <f t="shared" si="317"/>
        <v>Adder Schedules</v>
      </c>
      <c r="U364" s="454" t="str">
        <f>U7</f>
        <v>Adjustments</v>
      </c>
      <c r="V364" s="454" t="str">
        <f t="shared" si="318"/>
        <v>Incentives</v>
      </c>
      <c r="W364" s="454" t="str">
        <f t="shared" si="318"/>
        <v>Debt Int</v>
      </c>
      <c r="X364" s="454" t="str">
        <f t="shared" si="318"/>
        <v>09.2021 Rate Base</v>
      </c>
      <c r="Y364" s="454" t="str">
        <f t="shared" si="318"/>
        <v>Normalization</v>
      </c>
      <c r="Z364" s="454" t="str">
        <f t="shared" si="318"/>
        <v>Debits &amp; Credits</v>
      </c>
      <c r="AA364" s="454" t="str">
        <f t="shared" si="318"/>
        <v>EDIT (RSGM)</v>
      </c>
      <c r="AB364" s="454" t="str">
        <f t="shared" ref="AB364" si="332">AB7</f>
        <v>AMI Amortization</v>
      </c>
      <c r="AC364" s="454" t="str">
        <f t="shared" si="328"/>
        <v>Non-Exec Labor</v>
      </c>
      <c r="AD364" s="454" t="str">
        <f t="shared" si="328"/>
        <v>Exec Labor</v>
      </c>
      <c r="AE364" s="454" t="str">
        <f t="shared" si="328"/>
        <v>Empl. Benefits</v>
      </c>
      <c r="AF364" s="454" t="str">
        <f t="shared" ref="AF364:AH364" si="333">AF7</f>
        <v>Incentives</v>
      </c>
      <c r="AG364" s="454" t="str">
        <f t="shared" si="333"/>
        <v>LIRAP Labor</v>
      </c>
      <c r="AH364" s="454" t="str">
        <f t="shared" si="333"/>
        <v>CCA Labor</v>
      </c>
      <c r="AI364" s="454" t="str">
        <f t="shared" si="321"/>
        <v>Property Tax</v>
      </c>
      <c r="AJ364" s="454" t="str">
        <f t="shared" si="321"/>
        <v>Insurance Expense</v>
      </c>
      <c r="AK364" s="454" t="str">
        <f t="shared" si="322"/>
        <v>IS/IT</v>
      </c>
      <c r="AL364" s="454" t="str">
        <f t="shared" si="330"/>
        <v>Misc O&amp;M Expense</v>
      </c>
      <c r="AM364" s="454" t="str">
        <f t="shared" si="330"/>
        <v>Capital Add. To 12/31/23 EOP</v>
      </c>
      <c r="AN364" s="454" t="str">
        <f t="shared" ref="AN364:AR364" si="334">AN7</f>
        <v>Dep. Expense</v>
      </c>
      <c r="AO364" s="454" t="str">
        <f t="shared" si="334"/>
        <v>Capital Add. To 12/31/24 EOP</v>
      </c>
      <c r="AP364" s="454" t="str">
        <f t="shared" si="334"/>
        <v>New Reg. Amort.</v>
      </c>
      <c r="AQ364" s="454" t="str">
        <f t="shared" si="334"/>
        <v>Nucleus/ETRM Exp.</v>
      </c>
      <c r="AR364" s="454" t="str">
        <f t="shared" si="334"/>
        <v>BOD Fees Exp.</v>
      </c>
      <c r="AS364" s="454" t="str">
        <f t="shared" si="324"/>
        <v>to 12.31.25 AMA</v>
      </c>
      <c r="AT364" s="454" t="str">
        <f t="shared" si="324"/>
        <v xml:space="preserve">Cap. Adds O&amp;M and Rev. </v>
      </c>
      <c r="AU364" s="168"/>
      <c r="AV364" s="168" t="str">
        <f>IF(ISBLANK(AV$7),"",AV$7)</f>
        <v>of All</v>
      </c>
      <c r="AW364" s="168" t="str">
        <f>IF(ISBLANK(AW$7),"",AW$7)</f>
        <v/>
      </c>
      <c r="AX364" s="168" t="str">
        <f>IF(ISBLANK(AX$7),"",AX$7)</f>
        <v/>
      </c>
      <c r="AY364" s="168" t="str">
        <f>IF(ISBLANK(AY$7),"",AY$7)</f>
        <v>$000's</v>
      </c>
      <c r="AZ364" s="146"/>
      <c r="BA364" s="146"/>
      <c r="BB364" s="168"/>
    </row>
    <row r="365" spans="1:54" ht="14.1" customHeight="1">
      <c r="A365" s="145">
        <v>365</v>
      </c>
      <c r="B365" s="168" t="str">
        <f>IF(ISBLANK(B$8),"",B$8)</f>
        <v/>
      </c>
      <c r="C365" s="168" t="str">
        <f>IF(ISBLANK(C$8),"",C$8)</f>
        <v/>
      </c>
      <c r="D365" s="168" t="str">
        <f>IF(ISBLANK(D$8),"",D$8)</f>
        <v/>
      </c>
      <c r="E365" s="168" t="str">
        <f>IF(ISBLANK(E$8),"",E$8)</f>
        <v/>
      </c>
      <c r="F365" s="168"/>
      <c r="G365" s="454" t="str">
        <f t="shared" si="325"/>
        <v>G-DFIT</v>
      </c>
      <c r="H365" s="454" t="str">
        <f t="shared" si="325"/>
        <v>G-DDC</v>
      </c>
      <c r="I365" s="454" t="str">
        <f t="shared" si="325"/>
        <v>G-WC</v>
      </c>
      <c r="J365" s="454" t="str">
        <f t="shared" si="316"/>
        <v>G-EBO</v>
      </c>
      <c r="K365" s="454" t="str">
        <f t="shared" si="316"/>
        <v>G-RPT</v>
      </c>
      <c r="L365" s="454" t="str">
        <f t="shared" si="326"/>
        <v>G-UE</v>
      </c>
      <c r="M365" s="454" t="str">
        <f t="shared" si="326"/>
        <v>G-RE</v>
      </c>
      <c r="N365" s="454" t="str">
        <f t="shared" si="326"/>
        <v>G-ID</v>
      </c>
      <c r="O365" s="454" t="str">
        <f t="shared" si="326"/>
        <v>G-FIT</v>
      </c>
      <c r="P365" s="454" t="str">
        <f t="shared" si="317"/>
        <v>G-OSC</v>
      </c>
      <c r="Q365" s="454" t="str">
        <f t="shared" si="317"/>
        <v>G-RET</v>
      </c>
      <c r="R365" s="454" t="str">
        <f t="shared" si="317"/>
        <v>G-NGL</v>
      </c>
      <c r="S365" s="454" t="str">
        <f t="shared" si="317"/>
        <v>G-WNGC</v>
      </c>
      <c r="T365" s="454" t="str">
        <f t="shared" si="317"/>
        <v>G-EAS</v>
      </c>
      <c r="U365" s="454" t="str">
        <f>U8</f>
        <v>G-MR</v>
      </c>
      <c r="V365" s="454" t="str">
        <f t="shared" si="318"/>
        <v>G-RI</v>
      </c>
      <c r="W365" s="454" t="str">
        <f t="shared" si="318"/>
        <v>G-DI</v>
      </c>
      <c r="X365" s="454" t="str">
        <f t="shared" si="318"/>
        <v>G-EOP09.2021</v>
      </c>
      <c r="Y365" s="454" t="str">
        <f t="shared" si="318"/>
        <v>G-PREV</v>
      </c>
      <c r="Z365" s="454" t="str">
        <f t="shared" si="318"/>
        <v>G-PRA</v>
      </c>
      <c r="AA365" s="454" t="str">
        <f t="shared" si="318"/>
        <v>G-EDIT</v>
      </c>
      <c r="AB365" s="454" t="str">
        <f t="shared" ref="AB365" si="335">AB8</f>
        <v>G-PAMI</v>
      </c>
      <c r="AC365" s="454" t="str">
        <f t="shared" si="328"/>
        <v>G-PLN</v>
      </c>
      <c r="AD365" s="454" t="str">
        <f t="shared" si="328"/>
        <v>G-PLE</v>
      </c>
      <c r="AE365" s="454" t="str">
        <f t="shared" si="328"/>
        <v>G-PEB</v>
      </c>
      <c r="AF365" s="454" t="str">
        <f t="shared" ref="AF365:AH365" si="336">AF8</f>
        <v>G-Pinc</v>
      </c>
      <c r="AG365" s="454" t="str">
        <f t="shared" si="336"/>
        <v>G-LIRAP</v>
      </c>
      <c r="AH365" s="454" t="str">
        <f t="shared" si="336"/>
        <v>G-CCA</v>
      </c>
      <c r="AI365" s="454" t="str">
        <f t="shared" si="321"/>
        <v>G-PPT</v>
      </c>
      <c r="AJ365" s="454" t="str">
        <f t="shared" si="321"/>
        <v>G-PINS</v>
      </c>
      <c r="AK365" s="454" t="str">
        <f t="shared" si="322"/>
        <v>G-PIT</v>
      </c>
      <c r="AL365" s="454" t="str">
        <f t="shared" si="330"/>
        <v>G-PMisc</v>
      </c>
      <c r="AM365" s="454" t="str">
        <f t="shared" si="330"/>
        <v>G-CAP23E</v>
      </c>
      <c r="AN365" s="454" t="str">
        <f t="shared" ref="AN365:AR365" si="337">AN8</f>
        <v>G-DEP</v>
      </c>
      <c r="AO365" s="454" t="str">
        <f t="shared" si="337"/>
        <v>G-CAP24E</v>
      </c>
      <c r="AP365" s="454" t="str">
        <f t="shared" si="337"/>
        <v>G-NRA</v>
      </c>
      <c r="AQ365" s="454" t="str">
        <f t="shared" si="337"/>
        <v>G-ETRM</v>
      </c>
      <c r="AR365" s="454" t="str">
        <f t="shared" si="337"/>
        <v>G-PBOD</v>
      </c>
      <c r="AS365" s="454" t="str">
        <f t="shared" si="324"/>
        <v>G-CAP25A</v>
      </c>
      <c r="AT365" s="454" t="str">
        <f t="shared" si="324"/>
        <v>G-Offsets25</v>
      </c>
      <c r="AU365" s="168"/>
      <c r="AV365" s="168" t="str">
        <f>IF(ISBLANK(AV$8),"",AV$8)</f>
        <v>Adjustments</v>
      </c>
      <c r="AW365" s="168" t="str">
        <f>IF(ISBLANK(AW$8),"",AW$8)</f>
        <v/>
      </c>
      <c r="AX365" s="168" t="str">
        <f>IF(ISBLANK(AX$8),"",AX$8)</f>
        <v/>
      </c>
      <c r="AY365" s="168" t="str">
        <f>IF(ISBLANK(AY$8),"",AY$8)</f>
        <v>in bold</v>
      </c>
      <c r="AZ365" s="146"/>
      <c r="BA365" s="146"/>
      <c r="BB365" s="168"/>
    </row>
    <row r="366" spans="1:54" ht="14.1" customHeight="1">
      <c r="A366" s="145">
        <v>366</v>
      </c>
      <c r="B366" s="144"/>
      <c r="C366" s="144"/>
      <c r="D366" s="144"/>
      <c r="AV366" s="144"/>
      <c r="AW366" s="144"/>
      <c r="AX366" s="168">
        <f>AX$9</f>
        <v>0</v>
      </c>
      <c r="AY366" s="144"/>
      <c r="AZ366" s="146"/>
      <c r="BA366" s="146"/>
      <c r="BB366" s="168"/>
    </row>
    <row r="367" spans="1:54" ht="14.1" customHeight="1">
      <c r="A367" s="145">
        <v>367</v>
      </c>
      <c r="B367" s="144" t="s">
        <v>395</v>
      </c>
      <c r="C367" s="144"/>
      <c r="D367" s="144"/>
      <c r="E367" s="141"/>
      <c r="F367" s="166">
        <v>84772000</v>
      </c>
      <c r="G367" s="150">
        <v>-224000</v>
      </c>
      <c r="H367" s="150">
        <v>0</v>
      </c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66">
        <v>117000</v>
      </c>
      <c r="Y367" s="150"/>
      <c r="Z367" s="150"/>
      <c r="AA367" s="150"/>
      <c r="AB367" s="166"/>
      <c r="AC367" s="142"/>
      <c r="AD367" s="142"/>
      <c r="AE367" s="142"/>
      <c r="AF367" s="142"/>
      <c r="AG367" s="142"/>
      <c r="AH367" s="142"/>
      <c r="AI367" s="150"/>
      <c r="AJ367" s="150"/>
      <c r="AK367" s="150"/>
      <c r="AL367" s="150"/>
      <c r="AM367" s="150">
        <v>229000</v>
      </c>
      <c r="AN367" s="150"/>
      <c r="AO367" s="150">
        <v>85000</v>
      </c>
      <c r="AP367" s="150"/>
      <c r="AQ367" s="150"/>
      <c r="AR367" s="150"/>
      <c r="AS367" s="150">
        <v>-1396000</v>
      </c>
      <c r="AT367" s="150"/>
      <c r="AU367" s="141"/>
      <c r="AV367" s="149">
        <f>-SUM(G367:AT367)</f>
        <v>1189000</v>
      </c>
      <c r="AW367" s="149">
        <f>-(F367+AV367)</f>
        <v>-85961000</v>
      </c>
      <c r="AX367" s="152" t="str">
        <f>IF(ROUND(SUM(F367:AT367),0)=ROUND(AW367,0),"ok","crossfoot error")</f>
        <v>crossfoot error</v>
      </c>
      <c r="AY367" s="148">
        <f>ROUND(AW367/1000,0)</f>
        <v>-85961</v>
      </c>
      <c r="AZ367" s="147">
        <v>-85961</v>
      </c>
      <c r="BA367" s="146">
        <f>AY367-AZ367</f>
        <v>0</v>
      </c>
      <c r="BB367" s="145"/>
    </row>
    <row r="368" spans="1:54" ht="14.1" customHeight="1">
      <c r="A368" s="145">
        <v>368</v>
      </c>
      <c r="B368" s="143"/>
      <c r="C368" s="144"/>
      <c r="D368" s="144"/>
      <c r="E368" s="141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1"/>
      <c r="AV368" s="149"/>
      <c r="AW368" s="149"/>
      <c r="AX368" s="145"/>
      <c r="AY368" s="149"/>
      <c r="AZ368" s="146"/>
      <c r="BA368" s="146"/>
      <c r="BB368" s="145"/>
    </row>
    <row r="369" spans="1:54" ht="14.1" customHeight="1">
      <c r="A369" s="145">
        <v>369</v>
      </c>
      <c r="B369" s="165" t="s">
        <v>279</v>
      </c>
      <c r="C369" s="144"/>
      <c r="D369" s="144"/>
      <c r="E369" s="141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1"/>
      <c r="AV369" s="149"/>
      <c r="AW369" s="149"/>
      <c r="AX369" s="145"/>
      <c r="AY369" s="149"/>
      <c r="AZ369" s="146"/>
      <c r="BA369" s="146"/>
      <c r="BB369" s="145"/>
    </row>
    <row r="370" spans="1:54" ht="14.1" customHeight="1">
      <c r="A370" s="145">
        <v>370</v>
      </c>
      <c r="B370" s="143"/>
      <c r="C370" s="144" t="s">
        <v>620</v>
      </c>
      <c r="D370" s="144"/>
      <c r="E370" s="141"/>
      <c r="F370" s="166">
        <v>0</v>
      </c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66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1"/>
      <c r="AV370" s="149">
        <f t="shared" ref="AV370:AV377" si="338">SUM(G370:AT370)</f>
        <v>0</v>
      </c>
      <c r="AW370" s="149">
        <f t="shared" ref="AW370:AW377" si="339">F370+AV370</f>
        <v>0</v>
      </c>
      <c r="AX370" s="145"/>
      <c r="AY370" s="148">
        <f t="shared" ref="AY370:AY376" si="340">ROUND(AW370/1000,0)</f>
        <v>0</v>
      </c>
      <c r="AZ370" s="146"/>
      <c r="BA370" s="146"/>
      <c r="BB370" s="145"/>
    </row>
    <row r="371" spans="1:54" ht="14.1" customHeight="1">
      <c r="A371" s="145">
        <v>371</v>
      </c>
      <c r="B371" s="143"/>
      <c r="C371" s="144" t="s">
        <v>619</v>
      </c>
      <c r="D371" s="144"/>
      <c r="E371" s="141"/>
      <c r="F371" s="166">
        <v>-1000</v>
      </c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66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1"/>
      <c r="AV371" s="149">
        <f t="shared" si="338"/>
        <v>0</v>
      </c>
      <c r="AW371" s="149">
        <f t="shared" si="339"/>
        <v>-1000</v>
      </c>
      <c r="AX371" s="145"/>
      <c r="AY371" s="148">
        <f t="shared" si="340"/>
        <v>-1</v>
      </c>
      <c r="BA371" s="146"/>
      <c r="BB371" s="167"/>
    </row>
    <row r="372" spans="1:54" ht="14.1" customHeight="1">
      <c r="A372" s="145">
        <v>372</v>
      </c>
      <c r="B372" s="143"/>
      <c r="C372" s="144" t="s">
        <v>280</v>
      </c>
      <c r="D372" s="144"/>
      <c r="E372" s="141"/>
      <c r="F372" s="166">
        <v>19552000</v>
      </c>
      <c r="G372" s="142"/>
      <c r="H372" s="142"/>
      <c r="I372" s="150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50"/>
      <c r="Z372" s="150"/>
      <c r="AA372" s="150"/>
      <c r="AB372" s="166"/>
      <c r="AC372" s="142"/>
      <c r="AD372" s="142"/>
      <c r="AE372" s="142"/>
      <c r="AF372" s="142"/>
      <c r="AG372" s="142"/>
      <c r="AH372" s="142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41"/>
      <c r="AV372" s="149">
        <f t="shared" si="338"/>
        <v>0</v>
      </c>
      <c r="AW372" s="149">
        <f t="shared" si="339"/>
        <v>19552000</v>
      </c>
      <c r="AX372" s="145"/>
      <c r="AY372" s="148">
        <f t="shared" si="340"/>
        <v>19552</v>
      </c>
      <c r="AZ372" s="147">
        <v>19552</v>
      </c>
      <c r="BA372" s="146">
        <f>AY372-AZ372</f>
        <v>0</v>
      </c>
      <c r="BB372" s="145"/>
    </row>
    <row r="373" spans="1:54" ht="14.1" customHeight="1">
      <c r="A373" s="145">
        <v>373</v>
      </c>
      <c r="B373" s="143"/>
      <c r="C373" s="144" t="s">
        <v>618</v>
      </c>
      <c r="D373" s="144"/>
      <c r="E373" s="141"/>
      <c r="F373" s="166">
        <v>15047000</v>
      </c>
      <c r="G373" s="142"/>
      <c r="H373" s="142"/>
      <c r="I373" s="150">
        <v>-648000</v>
      </c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50"/>
      <c r="Z373" s="150"/>
      <c r="AA373" s="150"/>
      <c r="AB373" s="166"/>
      <c r="AC373" s="142"/>
      <c r="AD373" s="142"/>
      <c r="AE373" s="142"/>
      <c r="AF373" s="142"/>
      <c r="AG373" s="142"/>
      <c r="AH373" s="142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41"/>
      <c r="AV373" s="149">
        <f t="shared" si="338"/>
        <v>-648000</v>
      </c>
      <c r="AW373" s="149">
        <f t="shared" si="339"/>
        <v>14399000</v>
      </c>
      <c r="AX373" s="145"/>
      <c r="AY373" s="148">
        <f>ROUND(AW373/1000,0)</f>
        <v>14399</v>
      </c>
      <c r="AZ373" s="147">
        <v>14399</v>
      </c>
      <c r="BA373" s="146">
        <f>AY373-AZ373</f>
        <v>0</v>
      </c>
      <c r="BB373" s="145"/>
    </row>
    <row r="374" spans="1:54" ht="14.1" customHeight="1">
      <c r="A374" s="145">
        <v>374</v>
      </c>
      <c r="B374" s="143"/>
      <c r="C374" s="144" t="s">
        <v>1042</v>
      </c>
      <c r="D374" s="144"/>
      <c r="E374" s="141"/>
      <c r="F374" s="166">
        <v>3425000</v>
      </c>
      <c r="G374" s="142"/>
      <c r="H374" s="150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66"/>
      <c r="AB374" s="166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1"/>
      <c r="AV374" s="149">
        <f t="shared" si="338"/>
        <v>0</v>
      </c>
      <c r="AW374" s="149">
        <f t="shared" si="339"/>
        <v>3425000</v>
      </c>
      <c r="AX374" s="145"/>
      <c r="AY374" s="148">
        <f t="shared" si="340"/>
        <v>3425</v>
      </c>
      <c r="AZ374" s="147"/>
      <c r="BA374" s="146"/>
      <c r="BB374" s="145"/>
    </row>
    <row r="375" spans="1:54" ht="14.1" customHeight="1">
      <c r="A375" s="145">
        <v>375</v>
      </c>
      <c r="B375" s="143"/>
      <c r="C375" s="144" t="s">
        <v>1271</v>
      </c>
      <c r="D375" s="144"/>
      <c r="E375" s="141"/>
      <c r="F375" s="166">
        <v>1594000</v>
      </c>
      <c r="G375" s="142"/>
      <c r="H375" s="150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66"/>
      <c r="AB375" s="166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1"/>
      <c r="AV375" s="149">
        <f t="shared" si="338"/>
        <v>0</v>
      </c>
      <c r="AW375" s="149">
        <f t="shared" si="339"/>
        <v>1594000</v>
      </c>
      <c r="AX375" s="145"/>
      <c r="AY375" s="148">
        <f t="shared" si="340"/>
        <v>1594</v>
      </c>
      <c r="AZ375" s="147"/>
      <c r="BA375" s="146"/>
      <c r="BB375" s="145"/>
    </row>
    <row r="376" spans="1:54" ht="14.1" customHeight="1">
      <c r="A376" s="145">
        <v>376</v>
      </c>
      <c r="B376" s="143"/>
      <c r="C376" s="144" t="s">
        <v>1272</v>
      </c>
      <c r="D376" s="144"/>
      <c r="E376" s="141"/>
      <c r="F376" s="166">
        <v>-13534000</v>
      </c>
      <c r="G376" s="142"/>
      <c r="H376" s="150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66"/>
      <c r="AB376" s="166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1"/>
      <c r="AV376" s="149">
        <f t="shared" si="338"/>
        <v>0</v>
      </c>
      <c r="AW376" s="149">
        <f t="shared" si="339"/>
        <v>-13534000</v>
      </c>
      <c r="AX376" s="145"/>
      <c r="AY376" s="148">
        <f t="shared" si="340"/>
        <v>-13534</v>
      </c>
      <c r="AZ376" s="147"/>
      <c r="BA376" s="146"/>
      <c r="BB376" s="145"/>
    </row>
    <row r="377" spans="1:54" ht="14.1" customHeight="1">
      <c r="A377" s="145">
        <v>377</v>
      </c>
      <c r="B377" s="143"/>
      <c r="C377" s="657" t="s">
        <v>1252</v>
      </c>
      <c r="D377" s="144"/>
      <c r="E377" s="141"/>
      <c r="F377" s="166">
        <v>9459000</v>
      </c>
      <c r="G377" s="142"/>
      <c r="H377" s="150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66">
        <v>-2141000</v>
      </c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1"/>
      <c r="AV377" s="149">
        <f t="shared" si="338"/>
        <v>-2141000</v>
      </c>
      <c r="AW377" s="149">
        <f t="shared" si="339"/>
        <v>7318000</v>
      </c>
      <c r="AX377" s="145"/>
      <c r="AY377" s="148">
        <f>ROUND(AW377/1000,0)</f>
        <v>7318</v>
      </c>
      <c r="AZ377" s="147">
        <v>-1198</v>
      </c>
      <c r="BA377" s="146">
        <f>(AY370+AY371+AY374+AY377+AY375+AY376)-AZ377</f>
        <v>0</v>
      </c>
      <c r="BB377" s="167"/>
    </row>
    <row r="378" spans="1:54" s="154" customFormat="1" ht="14.1" customHeight="1">
      <c r="A378" s="145">
        <v>378</v>
      </c>
      <c r="B378" s="165"/>
      <c r="C378" s="157" t="s">
        <v>617</v>
      </c>
      <c r="D378" s="157"/>
      <c r="E378" s="156"/>
      <c r="F378" s="159">
        <f t="shared" ref="F378:U378" si="341">SUM(F370:F377)</f>
        <v>35542000</v>
      </c>
      <c r="G378" s="159">
        <f t="shared" si="341"/>
        <v>0</v>
      </c>
      <c r="H378" s="159">
        <f t="shared" si="341"/>
        <v>0</v>
      </c>
      <c r="I378" s="159">
        <f t="shared" si="341"/>
        <v>-648000</v>
      </c>
      <c r="J378" s="159">
        <f t="shared" si="341"/>
        <v>0</v>
      </c>
      <c r="K378" s="159">
        <f t="shared" si="341"/>
        <v>0</v>
      </c>
      <c r="L378" s="159">
        <f t="shared" si="341"/>
        <v>0</v>
      </c>
      <c r="M378" s="159">
        <f t="shared" si="341"/>
        <v>0</v>
      </c>
      <c r="N378" s="159">
        <f t="shared" si="341"/>
        <v>0</v>
      </c>
      <c r="O378" s="159">
        <f t="shared" si="341"/>
        <v>0</v>
      </c>
      <c r="P378" s="159">
        <f t="shared" si="341"/>
        <v>0</v>
      </c>
      <c r="Q378" s="159">
        <f t="shared" si="341"/>
        <v>0</v>
      </c>
      <c r="R378" s="159">
        <f t="shared" si="341"/>
        <v>0</v>
      </c>
      <c r="S378" s="159">
        <f t="shared" si="341"/>
        <v>0</v>
      </c>
      <c r="T378" s="159">
        <f t="shared" si="341"/>
        <v>0</v>
      </c>
      <c r="U378" s="159">
        <f t="shared" si="341"/>
        <v>0</v>
      </c>
      <c r="V378" s="159">
        <f t="shared" ref="V378:AA378" si="342">SUM(V370:V377)</f>
        <v>0</v>
      </c>
      <c r="W378" s="159">
        <f t="shared" si="342"/>
        <v>0</v>
      </c>
      <c r="X378" s="159">
        <f t="shared" si="342"/>
        <v>0</v>
      </c>
      <c r="Y378" s="159">
        <f t="shared" si="342"/>
        <v>0</v>
      </c>
      <c r="Z378" s="159">
        <f t="shared" si="342"/>
        <v>0</v>
      </c>
      <c r="AA378" s="159">
        <f t="shared" si="342"/>
        <v>0</v>
      </c>
      <c r="AB378" s="159">
        <f t="shared" ref="AB378" si="343">SUM(AB370:AB377)</f>
        <v>-2141000</v>
      </c>
      <c r="AC378" s="159">
        <f t="shared" ref="AC378:AT378" si="344">SUM(AC370:AC377)</f>
        <v>0</v>
      </c>
      <c r="AD378" s="159">
        <f t="shared" si="344"/>
        <v>0</v>
      </c>
      <c r="AE378" s="159">
        <f t="shared" si="344"/>
        <v>0</v>
      </c>
      <c r="AF378" s="159">
        <f t="shared" si="344"/>
        <v>0</v>
      </c>
      <c r="AG378" s="159">
        <f t="shared" si="344"/>
        <v>0</v>
      </c>
      <c r="AH378" s="159">
        <f t="shared" si="344"/>
        <v>0</v>
      </c>
      <c r="AI378" s="159">
        <f>SUM(AI370:AI377)</f>
        <v>0</v>
      </c>
      <c r="AJ378" s="159">
        <f>SUM(AJ370:AJ377)</f>
        <v>0</v>
      </c>
      <c r="AK378" s="159">
        <f t="shared" si="344"/>
        <v>0</v>
      </c>
      <c r="AL378" s="159">
        <f t="shared" si="344"/>
        <v>0</v>
      </c>
      <c r="AM378" s="159">
        <f t="shared" si="344"/>
        <v>0</v>
      </c>
      <c r="AN378" s="159">
        <f t="shared" si="344"/>
        <v>0</v>
      </c>
      <c r="AO378" s="159">
        <f t="shared" si="344"/>
        <v>0</v>
      </c>
      <c r="AP378" s="159">
        <f t="shared" si="344"/>
        <v>0</v>
      </c>
      <c r="AQ378" s="159">
        <f t="shared" si="344"/>
        <v>0</v>
      </c>
      <c r="AR378" s="159">
        <f t="shared" si="344"/>
        <v>0</v>
      </c>
      <c r="AS378" s="159">
        <f t="shared" si="344"/>
        <v>0</v>
      </c>
      <c r="AT378" s="159">
        <f t="shared" si="344"/>
        <v>0</v>
      </c>
      <c r="AU378" s="158"/>
      <c r="AV378" s="158">
        <f>SUM(AV370:AV377)</f>
        <v>-2789000</v>
      </c>
      <c r="AW378" s="158">
        <f>SUM(AW370:AW377)</f>
        <v>32753000</v>
      </c>
      <c r="AX378" s="152" t="str">
        <f>IF(ROUND(SUM(F378:AT378),0)=ROUND(AW378,0),"ok","crossfoot error")</f>
        <v>ok</v>
      </c>
      <c r="AY378" s="158">
        <f>SUM(AY370:AY377)</f>
        <v>32753</v>
      </c>
      <c r="AZ378" s="146"/>
      <c r="BA378" s="146"/>
      <c r="BB378" s="152"/>
    </row>
    <row r="379" spans="1:54" ht="14.1" customHeight="1">
      <c r="A379" s="145">
        <v>379</v>
      </c>
      <c r="B379" s="143"/>
      <c r="C379" s="144"/>
      <c r="D379" s="144"/>
      <c r="E379" s="141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1"/>
      <c r="AV379" s="149"/>
      <c r="AW379" s="149"/>
      <c r="AX379" s="145"/>
      <c r="AY379" s="149"/>
      <c r="AZ379" s="146"/>
      <c r="BA379" s="146"/>
      <c r="BB379" s="145"/>
    </row>
    <row r="380" spans="1:54" s="154" customFormat="1" ht="14.1" customHeight="1">
      <c r="A380" s="145">
        <v>380</v>
      </c>
      <c r="B380" s="157"/>
      <c r="C380" s="157" t="s">
        <v>110</v>
      </c>
      <c r="D380" s="157"/>
      <c r="E380" s="156"/>
      <c r="F380" s="155">
        <f>F356-F367+F378</f>
        <v>533429000</v>
      </c>
      <c r="G380" s="155">
        <f t="shared" ref="G380:U380" si="345">G356+G367+G378</f>
        <v>-224000</v>
      </c>
      <c r="H380" s="155">
        <f t="shared" si="345"/>
        <v>0</v>
      </c>
      <c r="I380" s="155">
        <f t="shared" si="345"/>
        <v>-648000</v>
      </c>
      <c r="J380" s="155">
        <f t="shared" si="345"/>
        <v>0</v>
      </c>
      <c r="K380" s="155">
        <f t="shared" si="345"/>
        <v>0</v>
      </c>
      <c r="L380" s="155">
        <f t="shared" si="345"/>
        <v>0</v>
      </c>
      <c r="M380" s="155">
        <f t="shared" si="345"/>
        <v>0</v>
      </c>
      <c r="N380" s="155">
        <f t="shared" si="345"/>
        <v>0</v>
      </c>
      <c r="O380" s="155">
        <f t="shared" si="345"/>
        <v>0</v>
      </c>
      <c r="P380" s="155">
        <f t="shared" si="345"/>
        <v>0</v>
      </c>
      <c r="Q380" s="155">
        <f t="shared" si="345"/>
        <v>0</v>
      </c>
      <c r="R380" s="155">
        <f t="shared" si="345"/>
        <v>0</v>
      </c>
      <c r="S380" s="155">
        <f t="shared" si="345"/>
        <v>0</v>
      </c>
      <c r="T380" s="155">
        <f t="shared" si="345"/>
        <v>0</v>
      </c>
      <c r="U380" s="155">
        <f t="shared" si="345"/>
        <v>0</v>
      </c>
      <c r="V380" s="155">
        <f t="shared" ref="V380:AA380" si="346">V356+V367+V378</f>
        <v>0</v>
      </c>
      <c r="W380" s="155">
        <f t="shared" si="346"/>
        <v>0</v>
      </c>
      <c r="X380" s="155">
        <f>X356+X367+X378</f>
        <v>12408000</v>
      </c>
      <c r="Y380" s="155">
        <f t="shared" si="346"/>
        <v>0</v>
      </c>
      <c r="Z380" s="155">
        <f t="shared" si="346"/>
        <v>0</v>
      </c>
      <c r="AA380" s="155">
        <f t="shared" si="346"/>
        <v>0</v>
      </c>
      <c r="AB380" s="155">
        <f>AB356+AB367+AB378</f>
        <v>-2141000</v>
      </c>
      <c r="AC380" s="155">
        <f t="shared" ref="AC380:AS380" si="347">AC356+AC367+AC378</f>
        <v>0</v>
      </c>
      <c r="AD380" s="155">
        <f t="shared" si="347"/>
        <v>0</v>
      </c>
      <c r="AE380" s="155">
        <f t="shared" si="347"/>
        <v>0</v>
      </c>
      <c r="AF380" s="155">
        <f t="shared" ref="AF380:AH380" si="348">AF356+AF367+AF378</f>
        <v>0</v>
      </c>
      <c r="AG380" s="155">
        <f t="shared" si="348"/>
        <v>0</v>
      </c>
      <c r="AH380" s="155">
        <f t="shared" si="348"/>
        <v>0</v>
      </c>
      <c r="AI380" s="155">
        <f>AI356+AI367+AI378</f>
        <v>0</v>
      </c>
      <c r="AJ380" s="155">
        <f>AJ356+AJ367+AJ378</f>
        <v>0</v>
      </c>
      <c r="AK380" s="155">
        <f t="shared" si="347"/>
        <v>0</v>
      </c>
      <c r="AL380" s="155">
        <f t="shared" si="347"/>
        <v>0</v>
      </c>
      <c r="AM380" s="155">
        <f t="shared" si="347"/>
        <v>19487000</v>
      </c>
      <c r="AN380" s="155">
        <f t="shared" ref="AN380:AR380" si="349">AN356+AN367+AN378</f>
        <v>0</v>
      </c>
      <c r="AO380" s="155">
        <f t="shared" si="349"/>
        <v>20568000</v>
      </c>
      <c r="AP380" s="155">
        <f t="shared" si="349"/>
        <v>0</v>
      </c>
      <c r="AQ380" s="155">
        <f t="shared" si="349"/>
        <v>0</v>
      </c>
      <c r="AR380" s="155">
        <f t="shared" si="349"/>
        <v>0</v>
      </c>
      <c r="AS380" s="155">
        <f t="shared" si="347"/>
        <v>3204000</v>
      </c>
      <c r="AT380" s="155">
        <f>AT356+AT367+AT378</f>
        <v>0</v>
      </c>
      <c r="AU380" s="148"/>
      <c r="AV380" s="148">
        <f>AV356+AV367+AV378</f>
        <v>55032000</v>
      </c>
      <c r="AW380" s="148">
        <f>AW356+AW367+AW378</f>
        <v>586083000</v>
      </c>
      <c r="AX380" s="152" t="str">
        <f>IF(ROUND(SUM(F380:AT380),0)=ROUND(AW380,0),"ok","crossfoot error")</f>
        <v>ok</v>
      </c>
      <c r="AY380" s="148">
        <f>AY356+AY367+AY378</f>
        <v>586084</v>
      </c>
      <c r="AZ380" s="147">
        <v>586084.19999999995</v>
      </c>
      <c r="BA380" s="146">
        <f>AY380-AZ380</f>
        <v>-0.19999999995343387</v>
      </c>
      <c r="BB380" s="152"/>
    </row>
    <row r="381" spans="1:54" s="154" customFormat="1" ht="14.1" customHeight="1">
      <c r="A381" s="145">
        <v>381</v>
      </c>
      <c r="B381" s="157"/>
      <c r="C381" s="144" t="s">
        <v>613</v>
      </c>
      <c r="D381" s="157"/>
      <c r="E381" s="156"/>
      <c r="F381" s="153">
        <v>533429.39999999991</v>
      </c>
      <c r="G381" s="153">
        <v>-224</v>
      </c>
      <c r="H381" s="153">
        <v>0</v>
      </c>
      <c r="I381" s="153">
        <v>-648</v>
      </c>
      <c r="J381" s="153">
        <v>0</v>
      </c>
      <c r="K381" s="153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>
        <v>0</v>
      </c>
      <c r="U381" s="153">
        <v>0</v>
      </c>
      <c r="V381" s="153">
        <v>0</v>
      </c>
      <c r="W381" s="153">
        <v>0</v>
      </c>
      <c r="X381" s="153">
        <v>12408</v>
      </c>
      <c r="Y381" s="153">
        <v>0</v>
      </c>
      <c r="Z381" s="153">
        <v>0</v>
      </c>
      <c r="AA381" s="153">
        <v>0</v>
      </c>
      <c r="AB381" s="153">
        <v>-2141</v>
      </c>
      <c r="AC381" s="153">
        <v>0</v>
      </c>
      <c r="AD381" s="153">
        <v>0</v>
      </c>
      <c r="AE381" s="153">
        <v>0</v>
      </c>
      <c r="AF381" s="153">
        <v>0</v>
      </c>
      <c r="AG381" s="153">
        <v>0</v>
      </c>
      <c r="AH381" s="153">
        <v>0</v>
      </c>
      <c r="AI381" s="153">
        <v>0</v>
      </c>
      <c r="AJ381" s="153">
        <v>0</v>
      </c>
      <c r="AK381" s="153">
        <v>0</v>
      </c>
      <c r="AL381" s="153">
        <v>0</v>
      </c>
      <c r="AM381" s="153">
        <v>19487.900000000001</v>
      </c>
      <c r="AN381" s="153">
        <v>0</v>
      </c>
      <c r="AO381" s="153">
        <v>20568</v>
      </c>
      <c r="AP381" s="153">
        <v>0</v>
      </c>
      <c r="AQ381" s="153">
        <v>0</v>
      </c>
      <c r="AR381" s="153">
        <v>0</v>
      </c>
      <c r="AS381" s="153">
        <v>3203.9000000000015</v>
      </c>
      <c r="AT381" s="153">
        <v>0</v>
      </c>
      <c r="AU381" s="153"/>
      <c r="AV381" s="153">
        <v>586084.19999999995</v>
      </c>
      <c r="AW381" s="149" t="str">
        <f>IF(ROUND(SUM(F381:AS381)-AV381,0)&lt;&gt;0,"error","")</f>
        <v/>
      </c>
      <c r="AX381" s="152"/>
      <c r="AY381" s="149">
        <f>ROUND(AV381,0)</f>
        <v>586084</v>
      </c>
      <c r="AZ381" s="146"/>
      <c r="BA381" s="146"/>
      <c r="BB381" s="152"/>
    </row>
    <row r="382" spans="1:54" ht="14.1" customHeight="1">
      <c r="A382" s="145">
        <v>382</v>
      </c>
      <c r="B382" s="144"/>
      <c r="C382" s="144" t="s">
        <v>612</v>
      </c>
      <c r="D382" s="144"/>
      <c r="E382" s="141"/>
      <c r="F382" s="142">
        <f>ROUND(F380/1000,0)-F381</f>
        <v>-0.39999999990686774</v>
      </c>
      <c r="G382" s="142">
        <f t="shared" ref="G382:AM382" si="350">ROUND(G380/1000,0)-G381</f>
        <v>0</v>
      </c>
      <c r="H382" s="142">
        <f t="shared" si="350"/>
        <v>0</v>
      </c>
      <c r="I382" s="142">
        <f t="shared" si="350"/>
        <v>0</v>
      </c>
      <c r="J382" s="142">
        <f>ROUND(J380/1000,0)-J381</f>
        <v>0</v>
      </c>
      <c r="K382" s="142">
        <f>ROUND(K380/1000,0)-K381</f>
        <v>0</v>
      </c>
      <c r="L382" s="142">
        <f t="shared" si="350"/>
        <v>0</v>
      </c>
      <c r="M382" s="142">
        <f t="shared" si="350"/>
        <v>0</v>
      </c>
      <c r="N382" s="142">
        <f t="shared" si="350"/>
        <v>0</v>
      </c>
      <c r="O382" s="142">
        <f t="shared" si="350"/>
        <v>0</v>
      </c>
      <c r="P382" s="142">
        <f>ROUND(P380/1000,0)-P381</f>
        <v>0</v>
      </c>
      <c r="Q382" s="142">
        <f>ROUND(Q380/1000,0)-Q381</f>
        <v>0</v>
      </c>
      <c r="R382" s="142">
        <f>ROUND(R380/1000,0)-R381</f>
        <v>0</v>
      </c>
      <c r="S382" s="142">
        <f>ROUND(S380/1000,0)-S381</f>
        <v>0</v>
      </c>
      <c r="T382" s="142">
        <f>ROUND(T380/1000,0)-T381</f>
        <v>0</v>
      </c>
      <c r="U382" s="142">
        <f t="shared" si="350"/>
        <v>0</v>
      </c>
      <c r="V382" s="142">
        <f t="shared" ref="V382:AA382" si="351">ROUND(V380/1000,0)-V381</f>
        <v>0</v>
      </c>
      <c r="W382" s="142">
        <f t="shared" si="351"/>
        <v>0</v>
      </c>
      <c r="X382" s="142">
        <f t="shared" si="351"/>
        <v>0</v>
      </c>
      <c r="Y382" s="142">
        <f t="shared" si="351"/>
        <v>0</v>
      </c>
      <c r="Z382" s="142">
        <f t="shared" si="351"/>
        <v>0</v>
      </c>
      <c r="AA382" s="142">
        <f t="shared" si="351"/>
        <v>0</v>
      </c>
      <c r="AB382" s="142">
        <f>ROUND(AB380/1000,0)-AB381</f>
        <v>0</v>
      </c>
      <c r="AC382" s="142">
        <f t="shared" si="350"/>
        <v>0</v>
      </c>
      <c r="AD382" s="142">
        <f t="shared" si="350"/>
        <v>0</v>
      </c>
      <c r="AE382" s="142">
        <f t="shared" si="350"/>
        <v>0</v>
      </c>
      <c r="AF382" s="142">
        <f t="shared" ref="AF382:AH382" si="352">ROUND(AF380/1000,0)-AF381</f>
        <v>0</v>
      </c>
      <c r="AG382" s="142">
        <f t="shared" si="352"/>
        <v>0</v>
      </c>
      <c r="AH382" s="142">
        <f t="shared" si="352"/>
        <v>0</v>
      </c>
      <c r="AI382" s="142">
        <f>ROUND(AI380/1000,0)-AI381</f>
        <v>0</v>
      </c>
      <c r="AJ382" s="142">
        <f>ROUND(AJ380/1000,0)-AJ381</f>
        <v>0</v>
      </c>
      <c r="AK382" s="142">
        <f t="shared" si="350"/>
        <v>0</v>
      </c>
      <c r="AL382" s="142">
        <f t="shared" si="350"/>
        <v>0</v>
      </c>
      <c r="AM382" s="142">
        <f t="shared" si="350"/>
        <v>-0.90000000000145519</v>
      </c>
      <c r="AN382" s="142">
        <f t="shared" ref="AN382:AR382" si="353">ROUND(AN380/1000,0)-AN381</f>
        <v>0</v>
      </c>
      <c r="AO382" s="142">
        <f t="shared" si="353"/>
        <v>0</v>
      </c>
      <c r="AP382" s="142">
        <f t="shared" si="353"/>
        <v>0</v>
      </c>
      <c r="AQ382" s="142">
        <f t="shared" si="353"/>
        <v>0</v>
      </c>
      <c r="AR382" s="142">
        <f t="shared" si="353"/>
        <v>0</v>
      </c>
      <c r="AS382" s="142">
        <f t="shared" ref="AS382:AT382" si="354">ROUND(AS380/1000,0)-AS381</f>
        <v>9.9999999998544808E-2</v>
      </c>
      <c r="AT382" s="142">
        <f t="shared" si="354"/>
        <v>0</v>
      </c>
      <c r="AU382" s="142"/>
      <c r="AV382" s="149">
        <f>SUM(F382:AT382)</f>
        <v>-1.1999999999097781</v>
      </c>
      <c r="AW382" s="149"/>
      <c r="AX382" s="145"/>
      <c r="AY382" s="149"/>
      <c r="AZ382" s="146"/>
      <c r="BA382" s="146"/>
      <c r="BB382" s="145"/>
    </row>
    <row r="383" spans="1:54" ht="14.1" customHeight="1">
      <c r="A383" s="145">
        <v>383</v>
      </c>
      <c r="B383" s="157" t="s">
        <v>78</v>
      </c>
      <c r="C383" s="144"/>
      <c r="D383" s="144"/>
      <c r="E383" s="141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1"/>
      <c r="AV383" s="149"/>
      <c r="AW383" s="149"/>
      <c r="AX383" s="145"/>
      <c r="AY383" s="149"/>
      <c r="AZ383" s="146"/>
      <c r="BA383" s="146"/>
      <c r="BB383" s="145"/>
    </row>
    <row r="384" spans="1:54" ht="14.1" customHeight="1">
      <c r="A384" s="145">
        <v>384</v>
      </c>
      <c r="B384" s="143">
        <v>480</v>
      </c>
      <c r="C384" s="144" t="s">
        <v>1138</v>
      </c>
      <c r="D384" s="144"/>
      <c r="E384" s="141"/>
      <c r="F384" s="150">
        <v>160653000</v>
      </c>
      <c r="G384" s="142"/>
      <c r="H384" s="142"/>
      <c r="I384" s="142"/>
      <c r="J384" s="150">
        <v>-8526000</v>
      </c>
      <c r="K384" s="150">
        <v>0</v>
      </c>
      <c r="L384" s="142"/>
      <c r="M384" s="142"/>
      <c r="N384" s="142"/>
      <c r="O384" s="142"/>
      <c r="P384" s="142"/>
      <c r="Q384" s="142"/>
      <c r="R384" s="142"/>
      <c r="S384" s="150">
        <v>28000</v>
      </c>
      <c r="T384" s="150">
        <v>-26674000</v>
      </c>
      <c r="U384" s="142"/>
      <c r="V384" s="142"/>
      <c r="W384" s="142"/>
      <c r="X384" s="142"/>
      <c r="Y384" s="166">
        <f>-89786000+3521000</f>
        <v>-86265000</v>
      </c>
      <c r="Z384" s="166"/>
      <c r="AA384" s="166"/>
      <c r="AB384" s="166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1"/>
      <c r="AV384" s="149">
        <f t="shared" ref="AV384:AV390" si="355">SUM(G384:AT384)</f>
        <v>-121437000</v>
      </c>
      <c r="AW384" s="149">
        <f t="shared" ref="AW384:AW390" si="356">F384+AV384</f>
        <v>39216000</v>
      </c>
      <c r="AX384" s="145"/>
      <c r="AY384" s="148">
        <f>ROUND(AW384/1000,0)</f>
        <v>39216</v>
      </c>
      <c r="AZ384" s="147"/>
      <c r="BA384" s="146"/>
      <c r="BB384" s="145"/>
    </row>
    <row r="385" spans="1:54" ht="14.1" customHeight="1">
      <c r="A385" s="145">
        <v>385</v>
      </c>
      <c r="B385" s="143">
        <v>481</v>
      </c>
      <c r="C385" s="144" t="s">
        <v>1139</v>
      </c>
      <c r="D385" s="144"/>
      <c r="E385" s="141"/>
      <c r="F385" s="150">
        <v>85544000</v>
      </c>
      <c r="G385" s="142"/>
      <c r="H385" s="142"/>
      <c r="I385" s="142"/>
      <c r="J385" s="150"/>
      <c r="K385" s="150"/>
      <c r="L385" s="142"/>
      <c r="M385" s="142"/>
      <c r="N385" s="142"/>
      <c r="O385" s="142"/>
      <c r="P385" s="142"/>
      <c r="Q385" s="142"/>
      <c r="R385" s="142"/>
      <c r="S385" s="150"/>
      <c r="T385" s="150"/>
      <c r="U385" s="142"/>
      <c r="V385" s="142"/>
      <c r="W385" s="142"/>
      <c r="X385" s="142"/>
      <c r="Y385" s="166"/>
      <c r="Z385" s="166"/>
      <c r="AA385" s="166"/>
      <c r="AB385" s="166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1"/>
      <c r="AV385" s="149">
        <f t="shared" si="355"/>
        <v>0</v>
      </c>
      <c r="AW385" s="149">
        <f t="shared" si="356"/>
        <v>85544000</v>
      </c>
      <c r="AX385" s="145"/>
      <c r="AY385" s="148">
        <f>ROUND(AW385/1000,0)</f>
        <v>85544</v>
      </c>
      <c r="AZ385" s="147"/>
      <c r="BA385" s="146"/>
      <c r="BB385" s="145"/>
    </row>
    <row r="386" spans="1:54" ht="14.1" customHeight="1">
      <c r="A386" s="145">
        <v>386</v>
      </c>
      <c r="B386" s="143">
        <v>484</v>
      </c>
      <c r="C386" s="144" t="s">
        <v>1140</v>
      </c>
      <c r="D386" s="144"/>
      <c r="E386" s="141"/>
      <c r="F386" s="150">
        <v>444000</v>
      </c>
      <c r="G386" s="142"/>
      <c r="H386" s="142"/>
      <c r="I386" s="142"/>
      <c r="J386" s="150"/>
      <c r="K386" s="150"/>
      <c r="L386" s="142"/>
      <c r="M386" s="142"/>
      <c r="N386" s="142"/>
      <c r="O386" s="142"/>
      <c r="P386" s="142"/>
      <c r="Q386" s="142"/>
      <c r="R386" s="142"/>
      <c r="S386" s="150"/>
      <c r="T386" s="150"/>
      <c r="U386" s="142"/>
      <c r="V386" s="142"/>
      <c r="W386" s="142"/>
      <c r="X386" s="142"/>
      <c r="Y386" s="166"/>
      <c r="Z386" s="166"/>
      <c r="AA386" s="166"/>
      <c r="AB386" s="166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1"/>
      <c r="AV386" s="149">
        <f t="shared" si="355"/>
        <v>0</v>
      </c>
      <c r="AW386" s="149">
        <f t="shared" si="356"/>
        <v>444000</v>
      </c>
      <c r="AX386" s="145"/>
      <c r="AY386" s="148">
        <f>ROUND(AW386/1000,0)</f>
        <v>444</v>
      </c>
      <c r="AZ386" s="147"/>
      <c r="BA386" s="146"/>
      <c r="BB386" s="167"/>
    </row>
    <row r="387" spans="1:54" ht="14.1" customHeight="1">
      <c r="A387" s="145">
        <v>387</v>
      </c>
      <c r="B387" s="143">
        <v>499</v>
      </c>
      <c r="C387" s="144" t="s">
        <v>1141</v>
      </c>
      <c r="D387" s="144"/>
      <c r="E387" s="141"/>
      <c r="F387" s="150">
        <v>-100000</v>
      </c>
      <c r="G387" s="142"/>
      <c r="H387" s="142"/>
      <c r="I387" s="142"/>
      <c r="J387" s="150"/>
      <c r="K387" s="150"/>
      <c r="L387" s="142"/>
      <c r="M387" s="142"/>
      <c r="N387" s="142"/>
      <c r="O387" s="142"/>
      <c r="P387" s="142"/>
      <c r="Q387" s="142"/>
      <c r="R387" s="142"/>
      <c r="S387" s="150"/>
      <c r="T387" s="150"/>
      <c r="U387" s="142"/>
      <c r="V387" s="142"/>
      <c r="W387" s="142"/>
      <c r="X387" s="142"/>
      <c r="Y387" s="166"/>
      <c r="Z387" s="166"/>
      <c r="AA387" s="166"/>
      <c r="AB387" s="166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1"/>
      <c r="AV387" s="149">
        <f t="shared" si="355"/>
        <v>0</v>
      </c>
      <c r="AW387" s="149">
        <f t="shared" si="356"/>
        <v>-100000</v>
      </c>
      <c r="AX387" s="145"/>
      <c r="AY387" s="148">
        <f>ROUND(AW387/1000,0)</f>
        <v>-100</v>
      </c>
      <c r="AZ387" s="147"/>
      <c r="BA387" s="146"/>
      <c r="BB387" s="145"/>
    </row>
    <row r="388" spans="1:54" ht="14.1" customHeight="1">
      <c r="A388" s="145">
        <v>388</v>
      </c>
      <c r="B388" s="143" t="s">
        <v>616</v>
      </c>
      <c r="C388" s="144" t="s">
        <v>615</v>
      </c>
      <c r="D388" s="144"/>
      <c r="E388" s="141"/>
      <c r="F388" s="150">
        <v>0</v>
      </c>
      <c r="G388" s="142"/>
      <c r="H388" s="142"/>
      <c r="I388" s="142"/>
      <c r="J388" s="150">
        <v>-120000</v>
      </c>
      <c r="K388" s="150">
        <v>0</v>
      </c>
      <c r="L388" s="142"/>
      <c r="M388" s="142"/>
      <c r="N388" s="142"/>
      <c r="O388" s="142"/>
      <c r="P388" s="142"/>
      <c r="Q388" s="142"/>
      <c r="R388" s="142"/>
      <c r="S388" s="150">
        <v>0</v>
      </c>
      <c r="T388" s="150">
        <v>0</v>
      </c>
      <c r="U388" s="142"/>
      <c r="V388" s="142"/>
      <c r="W388" s="142"/>
      <c r="X388" s="142"/>
      <c r="Y388" s="166">
        <v>333000</v>
      </c>
      <c r="Z388" s="166"/>
      <c r="AA388" s="166"/>
      <c r="AB388" s="166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1"/>
      <c r="AV388" s="149">
        <f t="shared" si="355"/>
        <v>213000</v>
      </c>
      <c r="AW388" s="149">
        <f t="shared" si="356"/>
        <v>213000</v>
      </c>
      <c r="AX388" s="145"/>
      <c r="AY388" s="148">
        <f>ROUND(AW388/1000,0)</f>
        <v>213</v>
      </c>
      <c r="AZ388" s="147"/>
      <c r="BA388" s="146"/>
      <c r="BB388" s="145"/>
    </row>
    <row r="389" spans="1:54" ht="14.1" customHeight="1">
      <c r="A389" s="145">
        <v>389</v>
      </c>
      <c r="B389" s="143"/>
      <c r="C389" s="144" t="s">
        <v>281</v>
      </c>
      <c r="D389" s="144"/>
      <c r="E389" s="141"/>
      <c r="F389" s="150">
        <v>0</v>
      </c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1"/>
      <c r="AV389" s="149">
        <f t="shared" si="355"/>
        <v>0</v>
      </c>
      <c r="AW389" s="149">
        <f t="shared" si="356"/>
        <v>0</v>
      </c>
      <c r="AX389" s="145"/>
      <c r="AY389" s="149"/>
      <c r="AZ389" s="146"/>
      <c r="BA389" s="146"/>
      <c r="BB389" s="145"/>
    </row>
    <row r="390" spans="1:54" ht="14.1" customHeight="1">
      <c r="A390" s="145">
        <v>390</v>
      </c>
      <c r="B390" s="143"/>
      <c r="C390" s="144" t="s">
        <v>281</v>
      </c>
      <c r="D390" s="144"/>
      <c r="E390" s="141"/>
      <c r="F390" s="150">
        <v>0</v>
      </c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1"/>
      <c r="AV390" s="149">
        <f t="shared" si="355"/>
        <v>0</v>
      </c>
      <c r="AW390" s="149">
        <f t="shared" si="356"/>
        <v>0</v>
      </c>
      <c r="AX390" s="145"/>
      <c r="AY390" s="149"/>
      <c r="AZ390" s="146"/>
      <c r="BA390" s="146"/>
      <c r="BB390" s="145"/>
    </row>
    <row r="391" spans="1:54" ht="14.1" customHeight="1">
      <c r="A391" s="145">
        <v>391</v>
      </c>
      <c r="B391" s="144"/>
      <c r="C391" s="144"/>
      <c r="D391" s="144"/>
      <c r="E391" s="141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505"/>
      <c r="AA391" s="164"/>
      <c r="AB391" s="505"/>
      <c r="AC391" s="164"/>
      <c r="AD391" s="164"/>
      <c r="AE391" s="164"/>
      <c r="AF391" s="505"/>
      <c r="AG391" s="164"/>
      <c r="AH391" s="505"/>
      <c r="AI391" s="164"/>
      <c r="AJ391" s="505"/>
      <c r="AK391" s="164"/>
      <c r="AL391" s="164"/>
      <c r="AM391" s="164"/>
      <c r="AN391" s="505"/>
      <c r="AO391" s="505"/>
      <c r="AP391" s="505"/>
      <c r="AQ391" s="505"/>
      <c r="AR391" s="505"/>
      <c r="AS391" s="164"/>
      <c r="AT391" s="164"/>
      <c r="AU391" s="163"/>
      <c r="AV391" s="162"/>
      <c r="AW391" s="162"/>
      <c r="AX391" s="145"/>
      <c r="AY391" s="162"/>
      <c r="AZ391" s="146"/>
      <c r="BA391" s="146"/>
      <c r="BB391" s="145"/>
    </row>
    <row r="392" spans="1:54" s="154" customFormat="1" ht="14.1" customHeight="1">
      <c r="A392" s="145">
        <v>392</v>
      </c>
      <c r="B392" s="157"/>
      <c r="C392" s="157" t="s">
        <v>388</v>
      </c>
      <c r="D392" s="157"/>
      <c r="E392" s="156"/>
      <c r="F392" s="155">
        <f>SUM(F384:F390)</f>
        <v>246541000</v>
      </c>
      <c r="G392" s="155">
        <f>SUM(G384:G390)</f>
        <v>0</v>
      </c>
      <c r="H392" s="155">
        <f t="shared" ref="H392:AR392" si="357">SUM(H384:H390)</f>
        <v>0</v>
      </c>
      <c r="I392" s="155">
        <f t="shared" si="357"/>
        <v>0</v>
      </c>
      <c r="J392" s="155">
        <f>SUM(J384:J390)</f>
        <v>-8646000</v>
      </c>
      <c r="K392" s="155">
        <f>SUM(K384:K390)</f>
        <v>0</v>
      </c>
      <c r="L392" s="155">
        <f t="shared" si="357"/>
        <v>0</v>
      </c>
      <c r="M392" s="155">
        <f t="shared" si="357"/>
        <v>0</v>
      </c>
      <c r="N392" s="155">
        <f t="shared" si="357"/>
        <v>0</v>
      </c>
      <c r="O392" s="155">
        <f t="shared" si="357"/>
        <v>0</v>
      </c>
      <c r="P392" s="155">
        <f>SUM(P384:P390)</f>
        <v>0</v>
      </c>
      <c r="Q392" s="155">
        <f>SUM(Q384:Q390)</f>
        <v>0</v>
      </c>
      <c r="R392" s="155">
        <f>SUM(R384:R390)</f>
        <v>0</v>
      </c>
      <c r="S392" s="155">
        <f>SUM(S384:S390)</f>
        <v>28000</v>
      </c>
      <c r="T392" s="155">
        <f>SUM(T384:T390)</f>
        <v>-26674000</v>
      </c>
      <c r="U392" s="155">
        <f t="shared" si="357"/>
        <v>0</v>
      </c>
      <c r="V392" s="155">
        <f t="shared" ref="V392:AB392" si="358">SUM(V384:V390)</f>
        <v>0</v>
      </c>
      <c r="W392" s="155">
        <f t="shared" si="358"/>
        <v>0</v>
      </c>
      <c r="X392" s="155">
        <f t="shared" si="358"/>
        <v>0</v>
      </c>
      <c r="Y392" s="155">
        <f t="shared" si="358"/>
        <v>-85932000</v>
      </c>
      <c r="Z392" s="155">
        <f t="shared" si="358"/>
        <v>0</v>
      </c>
      <c r="AA392" s="155">
        <f t="shared" si="358"/>
        <v>0</v>
      </c>
      <c r="AB392" s="155">
        <f t="shared" si="358"/>
        <v>0</v>
      </c>
      <c r="AC392" s="155">
        <f t="shared" si="357"/>
        <v>0</v>
      </c>
      <c r="AD392" s="155">
        <f t="shared" si="357"/>
        <v>0</v>
      </c>
      <c r="AE392" s="155">
        <f t="shared" si="357"/>
        <v>0</v>
      </c>
      <c r="AF392" s="155">
        <f t="shared" si="357"/>
        <v>0</v>
      </c>
      <c r="AG392" s="155">
        <f t="shared" si="357"/>
        <v>0</v>
      </c>
      <c r="AH392" s="155">
        <f t="shared" si="357"/>
        <v>0</v>
      </c>
      <c r="AI392" s="155">
        <f>SUM(AI384:AI390)</f>
        <v>0</v>
      </c>
      <c r="AJ392" s="155">
        <f>SUM(AJ384:AJ390)</f>
        <v>0</v>
      </c>
      <c r="AK392" s="155">
        <f t="shared" si="357"/>
        <v>0</v>
      </c>
      <c r="AL392" s="155">
        <f t="shared" si="357"/>
        <v>0</v>
      </c>
      <c r="AM392" s="155">
        <f t="shared" si="357"/>
        <v>0</v>
      </c>
      <c r="AN392" s="155">
        <f t="shared" si="357"/>
        <v>0</v>
      </c>
      <c r="AO392" s="155">
        <f t="shared" si="357"/>
        <v>0</v>
      </c>
      <c r="AP392" s="155">
        <f t="shared" si="357"/>
        <v>0</v>
      </c>
      <c r="AQ392" s="155">
        <f t="shared" si="357"/>
        <v>0</v>
      </c>
      <c r="AR392" s="155">
        <f t="shared" si="357"/>
        <v>0</v>
      </c>
      <c r="AS392" s="155">
        <f t="shared" ref="AS392:AT392" si="359">SUM(AS384:AS390)</f>
        <v>0</v>
      </c>
      <c r="AT392" s="155">
        <f t="shared" si="359"/>
        <v>0</v>
      </c>
      <c r="AU392" s="148"/>
      <c r="AV392" s="148">
        <f>SUM(AV384:AV390)</f>
        <v>-121224000</v>
      </c>
      <c r="AW392" s="148">
        <f>SUM(AW384:AW390)</f>
        <v>125317000</v>
      </c>
      <c r="AX392" s="152" t="str">
        <f>IF(ROUND(SUM(F392:AT392),0)=ROUND(AW392,0),"ok","crossfoot error")</f>
        <v>ok</v>
      </c>
      <c r="AY392" s="148">
        <f>SUM(AY384:AY390)</f>
        <v>125317</v>
      </c>
      <c r="AZ392" s="476">
        <v>121583</v>
      </c>
      <c r="BA392" s="146">
        <f t="shared" ref="BA392" si="360">AY392-AZ392</f>
        <v>3734</v>
      </c>
      <c r="BB392" s="167">
        <f>BA392+BA401</f>
        <v>1</v>
      </c>
    </row>
    <row r="393" spans="1:54" ht="14.1" customHeight="1">
      <c r="A393" s="145">
        <v>393</v>
      </c>
      <c r="B393" s="144"/>
      <c r="C393" s="144"/>
      <c r="D393" s="144"/>
      <c r="E393" s="141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1"/>
      <c r="AV393" s="149"/>
      <c r="AW393" s="149"/>
      <c r="AX393" s="145"/>
      <c r="AY393" s="149"/>
      <c r="AZ393" s="146"/>
      <c r="BA393" s="146"/>
      <c r="BB393" s="145"/>
    </row>
    <row r="394" spans="1:54" ht="14.1" customHeight="1">
      <c r="A394" s="145">
        <v>394</v>
      </c>
      <c r="B394" s="144"/>
      <c r="C394" s="144" t="s">
        <v>79</v>
      </c>
      <c r="D394" s="144"/>
      <c r="E394" s="141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66"/>
      <c r="Z394" s="166"/>
      <c r="AA394" s="166"/>
      <c r="AB394" s="166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1"/>
      <c r="AV394" s="149"/>
      <c r="AW394" s="149"/>
      <c r="AX394" s="145"/>
      <c r="AY394" s="149"/>
      <c r="AZ394" s="146"/>
      <c r="BA394" s="146"/>
      <c r="BB394" s="145"/>
    </row>
    <row r="395" spans="1:54" ht="14.1" customHeight="1">
      <c r="A395" s="145">
        <v>395</v>
      </c>
      <c r="B395" s="161" t="s">
        <v>393</v>
      </c>
      <c r="C395" s="144" t="s">
        <v>389</v>
      </c>
      <c r="D395" s="144"/>
      <c r="F395" s="150">
        <v>36675000</v>
      </c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66">
        <f>-33904000-2771000</f>
        <v>-36675000</v>
      </c>
      <c r="U395" s="142"/>
      <c r="V395" s="142"/>
      <c r="W395" s="142"/>
      <c r="X395" s="142"/>
      <c r="Y395" s="166"/>
      <c r="Z395" s="166"/>
      <c r="AA395" s="166"/>
      <c r="AB395" s="166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1"/>
      <c r="AV395" s="149">
        <f t="shared" ref="AV395:AV400" si="361">SUM(G395:AT395)</f>
        <v>-36675000</v>
      </c>
      <c r="AW395" s="149">
        <f t="shared" ref="AW395:AW400" si="362">F395+AV395</f>
        <v>0</v>
      </c>
      <c r="AX395" s="145"/>
      <c r="AY395" s="149">
        <f t="shared" ref="AY395:AY400" si="363">-ROUND(AW395/1000,0)*1000</f>
        <v>0</v>
      </c>
      <c r="AZ395" s="146"/>
      <c r="BA395" s="146"/>
      <c r="BB395" s="145"/>
    </row>
    <row r="396" spans="1:54" ht="14.1" customHeight="1">
      <c r="A396" s="145">
        <v>396</v>
      </c>
      <c r="B396" s="143">
        <v>488</v>
      </c>
      <c r="C396" s="144" t="s">
        <v>80</v>
      </c>
      <c r="D396" s="144"/>
      <c r="E396" s="141"/>
      <c r="F396" s="150">
        <v>3000</v>
      </c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66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1"/>
      <c r="AV396" s="149">
        <f t="shared" si="361"/>
        <v>0</v>
      </c>
      <c r="AW396" s="149">
        <f t="shared" si="362"/>
        <v>3000</v>
      </c>
      <c r="AX396" s="145"/>
      <c r="AY396" s="149">
        <f t="shared" si="363"/>
        <v>-3000</v>
      </c>
      <c r="AZ396" s="146"/>
      <c r="BA396" s="146"/>
      <c r="BB396" s="145"/>
    </row>
    <row r="397" spans="1:54" ht="14.1" customHeight="1">
      <c r="A397" s="145">
        <v>397</v>
      </c>
      <c r="B397" s="143">
        <v>489.3</v>
      </c>
      <c r="C397" s="144" t="s">
        <v>1142</v>
      </c>
      <c r="D397" s="144"/>
      <c r="E397" s="141"/>
      <c r="F397" s="150">
        <v>5180000</v>
      </c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66"/>
      <c r="V397" s="142"/>
      <c r="W397" s="142"/>
      <c r="X397" s="142"/>
      <c r="Y397" s="166">
        <v>-3521000</v>
      </c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1"/>
      <c r="AV397" s="149">
        <f t="shared" si="361"/>
        <v>-3521000</v>
      </c>
      <c r="AW397" s="149">
        <f t="shared" si="362"/>
        <v>1659000</v>
      </c>
      <c r="AX397" s="145"/>
      <c r="AY397" s="149">
        <f t="shared" si="363"/>
        <v>-1659000</v>
      </c>
      <c r="AZ397" s="146"/>
      <c r="BA397" s="146"/>
      <c r="BB397" s="145"/>
    </row>
    <row r="398" spans="1:54" ht="14.1" customHeight="1">
      <c r="A398" s="145">
        <v>398</v>
      </c>
      <c r="B398" s="143">
        <v>493</v>
      </c>
      <c r="C398" s="144" t="s">
        <v>390</v>
      </c>
      <c r="D398" s="144"/>
      <c r="E398" s="141"/>
      <c r="F398" s="150">
        <v>0</v>
      </c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1"/>
      <c r="AV398" s="149">
        <f t="shared" si="361"/>
        <v>0</v>
      </c>
      <c r="AW398" s="149">
        <f t="shared" si="362"/>
        <v>0</v>
      </c>
      <c r="AX398" s="145"/>
      <c r="AY398" s="149">
        <f t="shared" si="363"/>
        <v>0</v>
      </c>
      <c r="AZ398" s="146"/>
      <c r="BA398" s="146"/>
      <c r="BB398" s="186"/>
    </row>
    <row r="399" spans="1:54" ht="14.1" customHeight="1">
      <c r="A399" s="145">
        <v>399</v>
      </c>
      <c r="B399" s="185">
        <v>495</v>
      </c>
      <c r="C399" s="144" t="s">
        <v>1143</v>
      </c>
      <c r="D399" s="144"/>
      <c r="E399" s="141"/>
      <c r="F399" s="150">
        <v>441000</v>
      </c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66">
        <v>-127000</v>
      </c>
      <c r="T399" s="166">
        <v>2771000</v>
      </c>
      <c r="U399" s="142"/>
      <c r="V399" s="142"/>
      <c r="W399" s="142"/>
      <c r="X399" s="142"/>
      <c r="Y399" s="166">
        <v>-2714000</v>
      </c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50"/>
      <c r="AJ399" s="150"/>
      <c r="AK399" s="150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1"/>
      <c r="AV399" s="149">
        <f t="shared" si="361"/>
        <v>-70000</v>
      </c>
      <c r="AW399" s="149">
        <f t="shared" si="362"/>
        <v>371000</v>
      </c>
      <c r="AX399" s="145"/>
      <c r="AY399" s="149">
        <f t="shared" si="363"/>
        <v>-371000</v>
      </c>
      <c r="AZ399" s="146"/>
      <c r="BA399" s="146"/>
      <c r="BB399" s="145"/>
    </row>
    <row r="400" spans="1:54" ht="14.1" customHeight="1">
      <c r="A400" s="145">
        <v>400</v>
      </c>
      <c r="B400" s="143" t="s">
        <v>1050</v>
      </c>
      <c r="C400" s="144" t="s">
        <v>1051</v>
      </c>
      <c r="D400" s="144"/>
      <c r="E400" s="141"/>
      <c r="F400" s="150">
        <v>0</v>
      </c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50"/>
      <c r="T400" s="150"/>
      <c r="U400" s="166">
        <v>0</v>
      </c>
      <c r="V400" s="142"/>
      <c r="W400" s="142"/>
      <c r="X400" s="142"/>
      <c r="Y400" s="150"/>
      <c r="Z400" s="150"/>
      <c r="AA400" s="150"/>
      <c r="AB400" s="150"/>
      <c r="AC400" s="142"/>
      <c r="AD400" s="142"/>
      <c r="AE400" s="142"/>
      <c r="AF400" s="142"/>
      <c r="AG400" s="142"/>
      <c r="AH400" s="142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>
        <v>344000</v>
      </c>
      <c r="AU400" s="141"/>
      <c r="AV400" s="149">
        <f t="shared" si="361"/>
        <v>344000</v>
      </c>
      <c r="AW400" s="149">
        <f t="shared" si="362"/>
        <v>344000</v>
      </c>
      <c r="AX400" s="145"/>
      <c r="AY400" s="149">
        <f t="shared" si="363"/>
        <v>-344000</v>
      </c>
      <c r="AZ400" s="146"/>
      <c r="BA400" s="146"/>
      <c r="BB400" s="145"/>
    </row>
    <row r="401" spans="1:54" s="154" customFormat="1" ht="14.1" customHeight="1">
      <c r="A401" s="145">
        <v>401</v>
      </c>
      <c r="B401" s="157"/>
      <c r="C401" s="157" t="s">
        <v>81</v>
      </c>
      <c r="D401" s="157"/>
      <c r="E401" s="156"/>
      <c r="F401" s="159">
        <f t="shared" ref="F401:Z401" si="364">SUM(F395:F400)</f>
        <v>42299000</v>
      </c>
      <c r="G401" s="159">
        <f t="shared" si="364"/>
        <v>0</v>
      </c>
      <c r="H401" s="159">
        <f t="shared" si="364"/>
        <v>0</v>
      </c>
      <c r="I401" s="159">
        <f t="shared" si="364"/>
        <v>0</v>
      </c>
      <c r="J401" s="159">
        <f t="shared" si="364"/>
        <v>0</v>
      </c>
      <c r="K401" s="159">
        <f t="shared" si="364"/>
        <v>0</v>
      </c>
      <c r="L401" s="159">
        <f t="shared" si="364"/>
        <v>0</v>
      </c>
      <c r="M401" s="159">
        <f t="shared" si="364"/>
        <v>0</v>
      </c>
      <c r="N401" s="159">
        <f t="shared" si="364"/>
        <v>0</v>
      </c>
      <c r="O401" s="159">
        <f t="shared" si="364"/>
        <v>0</v>
      </c>
      <c r="P401" s="159">
        <f t="shared" si="364"/>
        <v>0</v>
      </c>
      <c r="Q401" s="159">
        <f t="shared" si="364"/>
        <v>0</v>
      </c>
      <c r="R401" s="159">
        <f t="shared" si="364"/>
        <v>0</v>
      </c>
      <c r="S401" s="159">
        <f t="shared" si="364"/>
        <v>-127000</v>
      </c>
      <c r="T401" s="159">
        <f>SUM(T395:T400)</f>
        <v>-33904000</v>
      </c>
      <c r="U401" s="159">
        <f t="shared" si="364"/>
        <v>0</v>
      </c>
      <c r="V401" s="159">
        <f t="shared" si="364"/>
        <v>0</v>
      </c>
      <c r="W401" s="159">
        <f t="shared" si="364"/>
        <v>0</v>
      </c>
      <c r="X401" s="159">
        <f t="shared" si="364"/>
        <v>0</v>
      </c>
      <c r="Y401" s="159">
        <f t="shared" si="364"/>
        <v>-6235000</v>
      </c>
      <c r="Z401" s="159">
        <f t="shared" si="364"/>
        <v>0</v>
      </c>
      <c r="AA401" s="159">
        <f t="shared" ref="AA401:AT401" si="365">SUM(AA395:AA400)</f>
        <v>0</v>
      </c>
      <c r="AB401" s="159">
        <f t="shared" ref="AB401" si="366">SUM(AB395:AB400)</f>
        <v>0</v>
      </c>
      <c r="AC401" s="159">
        <f t="shared" si="365"/>
        <v>0</v>
      </c>
      <c r="AD401" s="159">
        <f t="shared" si="365"/>
        <v>0</v>
      </c>
      <c r="AE401" s="159">
        <f t="shared" si="365"/>
        <v>0</v>
      </c>
      <c r="AF401" s="159">
        <f t="shared" si="365"/>
        <v>0</v>
      </c>
      <c r="AG401" s="159">
        <f t="shared" si="365"/>
        <v>0</v>
      </c>
      <c r="AH401" s="159">
        <f t="shared" si="365"/>
        <v>0</v>
      </c>
      <c r="AI401" s="159">
        <f>SUM(AI395:AI400)</f>
        <v>0</v>
      </c>
      <c r="AJ401" s="159">
        <f>SUM(AJ395:AJ400)</f>
        <v>0</v>
      </c>
      <c r="AK401" s="159">
        <f t="shared" si="365"/>
        <v>0</v>
      </c>
      <c r="AL401" s="159">
        <f t="shared" si="365"/>
        <v>0</v>
      </c>
      <c r="AM401" s="159">
        <f t="shared" si="365"/>
        <v>0</v>
      </c>
      <c r="AN401" s="159">
        <f t="shared" si="365"/>
        <v>0</v>
      </c>
      <c r="AO401" s="159">
        <f t="shared" si="365"/>
        <v>0</v>
      </c>
      <c r="AP401" s="159">
        <f t="shared" si="365"/>
        <v>0</v>
      </c>
      <c r="AQ401" s="159">
        <f t="shared" si="365"/>
        <v>0</v>
      </c>
      <c r="AR401" s="159">
        <f t="shared" si="365"/>
        <v>0</v>
      </c>
      <c r="AS401" s="159">
        <f t="shared" si="365"/>
        <v>0</v>
      </c>
      <c r="AT401" s="159">
        <f t="shared" si="365"/>
        <v>344000</v>
      </c>
      <c r="AU401" s="158"/>
      <c r="AV401" s="158">
        <f>SUM(AV395:AV400)</f>
        <v>-39922000</v>
      </c>
      <c r="AW401" s="158">
        <f>SUM(AW395:AW400)</f>
        <v>2377000</v>
      </c>
      <c r="AX401" s="152" t="str">
        <f>IF(ROUND(SUM(F401:AT401),0)=ROUND(AW401,0),"ok","crossfoot error")</f>
        <v>ok</v>
      </c>
      <c r="AY401" s="158">
        <f>-SUM(AY395:AY400)/1000</f>
        <v>2377</v>
      </c>
      <c r="AZ401" s="147">
        <v>6110</v>
      </c>
      <c r="BA401" s="146">
        <f>AY401-AZ401</f>
        <v>-3733</v>
      </c>
      <c r="BB401" s="152"/>
    </row>
    <row r="402" spans="1:54" ht="14.1" customHeight="1">
      <c r="A402" s="145">
        <v>402</v>
      </c>
      <c r="B402" s="144"/>
      <c r="C402" s="144"/>
      <c r="D402" s="144"/>
      <c r="E402" s="141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1"/>
      <c r="AV402" s="149"/>
      <c r="AW402" s="149"/>
      <c r="AX402" s="145"/>
      <c r="AY402" s="149"/>
      <c r="AZ402" s="146"/>
      <c r="BA402" s="146"/>
      <c r="BB402" s="145"/>
    </row>
    <row r="403" spans="1:54" s="154" customFormat="1" ht="14.1" customHeight="1">
      <c r="A403" s="145">
        <v>403</v>
      </c>
      <c r="B403" s="157"/>
      <c r="C403" s="157" t="s">
        <v>174</v>
      </c>
      <c r="D403" s="157"/>
      <c r="E403" s="156"/>
      <c r="F403" s="155">
        <f>F401+F392</f>
        <v>288840000</v>
      </c>
      <c r="G403" s="155">
        <f>G401+G392</f>
        <v>0</v>
      </c>
      <c r="H403" s="155">
        <f t="shared" ref="H403:Z403" si="367">H401+H392</f>
        <v>0</v>
      </c>
      <c r="I403" s="155">
        <f t="shared" si="367"/>
        <v>0</v>
      </c>
      <c r="J403" s="155">
        <f t="shared" si="367"/>
        <v>-8646000</v>
      </c>
      <c r="K403" s="155">
        <f t="shared" si="367"/>
        <v>0</v>
      </c>
      <c r="L403" s="155">
        <f t="shared" si="367"/>
        <v>0</v>
      </c>
      <c r="M403" s="155">
        <f t="shared" si="367"/>
        <v>0</v>
      </c>
      <c r="N403" s="155">
        <f t="shared" si="367"/>
        <v>0</v>
      </c>
      <c r="O403" s="155">
        <f t="shared" si="367"/>
        <v>0</v>
      </c>
      <c r="P403" s="155">
        <f t="shared" si="367"/>
        <v>0</v>
      </c>
      <c r="Q403" s="155">
        <f t="shared" si="367"/>
        <v>0</v>
      </c>
      <c r="R403" s="155">
        <f t="shared" si="367"/>
        <v>0</v>
      </c>
      <c r="S403" s="155">
        <f t="shared" si="367"/>
        <v>-99000</v>
      </c>
      <c r="T403" s="155">
        <f>T401+T392</f>
        <v>-60578000</v>
      </c>
      <c r="U403" s="155">
        <f t="shared" si="367"/>
        <v>0</v>
      </c>
      <c r="V403" s="155">
        <f t="shared" si="367"/>
        <v>0</v>
      </c>
      <c r="W403" s="155">
        <f t="shared" si="367"/>
        <v>0</v>
      </c>
      <c r="X403" s="155">
        <f t="shared" si="367"/>
        <v>0</v>
      </c>
      <c r="Y403" s="155">
        <f>Y401+Y392</f>
        <v>-92167000</v>
      </c>
      <c r="Z403" s="155">
        <f t="shared" si="367"/>
        <v>0</v>
      </c>
      <c r="AA403" s="155">
        <f t="shared" ref="AA403:AT403" si="368">AA401+AA392</f>
        <v>0</v>
      </c>
      <c r="AB403" s="155">
        <f t="shared" ref="AB403" si="369">AB401+AB392</f>
        <v>0</v>
      </c>
      <c r="AC403" s="155">
        <f t="shared" si="368"/>
        <v>0</v>
      </c>
      <c r="AD403" s="155">
        <f t="shared" si="368"/>
        <v>0</v>
      </c>
      <c r="AE403" s="155">
        <f t="shared" si="368"/>
        <v>0</v>
      </c>
      <c r="AF403" s="155">
        <f t="shared" ref="AF403:AH403" si="370">AF401+AF392</f>
        <v>0</v>
      </c>
      <c r="AG403" s="155">
        <f t="shared" si="370"/>
        <v>0</v>
      </c>
      <c r="AH403" s="155">
        <f t="shared" si="370"/>
        <v>0</v>
      </c>
      <c r="AI403" s="155">
        <f>AI401+AI392</f>
        <v>0</v>
      </c>
      <c r="AJ403" s="155">
        <f>AJ401+AJ392</f>
        <v>0</v>
      </c>
      <c r="AK403" s="155">
        <f t="shared" si="368"/>
        <v>0</v>
      </c>
      <c r="AL403" s="155">
        <f t="shared" si="368"/>
        <v>0</v>
      </c>
      <c r="AM403" s="155">
        <f t="shared" si="368"/>
        <v>0</v>
      </c>
      <c r="AN403" s="155">
        <f t="shared" si="368"/>
        <v>0</v>
      </c>
      <c r="AO403" s="155">
        <f t="shared" si="368"/>
        <v>0</v>
      </c>
      <c r="AP403" s="155">
        <f t="shared" si="368"/>
        <v>0</v>
      </c>
      <c r="AQ403" s="155">
        <f t="shared" si="368"/>
        <v>0</v>
      </c>
      <c r="AR403" s="155">
        <f t="shared" si="368"/>
        <v>0</v>
      </c>
      <c r="AS403" s="155">
        <f t="shared" si="368"/>
        <v>0</v>
      </c>
      <c r="AT403" s="155">
        <f t="shared" si="368"/>
        <v>344000</v>
      </c>
      <c r="AU403" s="148"/>
      <c r="AV403" s="148">
        <f>AV401+AV392</f>
        <v>-161146000</v>
      </c>
      <c r="AW403" s="148">
        <f>AW401+AW392</f>
        <v>127694000</v>
      </c>
      <c r="AX403" s="152" t="str">
        <f>IF(ROUND(SUM(F403:AT403),0)=ROUND(AW403,0),"ok","crossfoot error")</f>
        <v>ok</v>
      </c>
      <c r="AY403" s="148">
        <f>AY401+AY392</f>
        <v>127694</v>
      </c>
      <c r="AZ403" s="147">
        <v>127693</v>
      </c>
      <c r="BA403" s="146">
        <f>AY403-AZ403</f>
        <v>1</v>
      </c>
      <c r="BB403" s="152"/>
    </row>
    <row r="404" spans="1:54" ht="14.1" customHeight="1">
      <c r="A404" s="145">
        <v>404</v>
      </c>
      <c r="B404" s="144"/>
      <c r="C404" s="144"/>
      <c r="D404" s="144"/>
      <c r="E404" s="141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1"/>
      <c r="AV404" s="149"/>
      <c r="AW404" s="149"/>
      <c r="AX404" s="145"/>
      <c r="AY404" s="149"/>
      <c r="AZ404" s="146"/>
      <c r="BA404" s="146"/>
      <c r="BB404" s="145"/>
    </row>
    <row r="405" spans="1:54" s="154" customFormat="1" ht="14.1" customHeight="1">
      <c r="A405" s="145">
        <v>405</v>
      </c>
      <c r="B405" s="157"/>
      <c r="C405" s="157" t="s">
        <v>614</v>
      </c>
      <c r="D405" s="157"/>
      <c r="E405" s="156"/>
      <c r="F405" s="155">
        <f>F403-F236</f>
        <v>36392000</v>
      </c>
      <c r="G405" s="155">
        <f t="shared" ref="G405:Z405" si="371">G403-G236</f>
        <v>-1000</v>
      </c>
      <c r="H405" s="155">
        <f>H403-H236</f>
        <v>0</v>
      </c>
      <c r="I405" s="155">
        <f t="shared" si="371"/>
        <v>-3000</v>
      </c>
      <c r="J405" s="155">
        <f t="shared" si="371"/>
        <v>33000</v>
      </c>
      <c r="K405" s="155">
        <f t="shared" si="371"/>
        <v>-228000</v>
      </c>
      <c r="L405" s="155">
        <f>L403-L236</f>
        <v>-732000</v>
      </c>
      <c r="M405" s="155">
        <f t="shared" si="371"/>
        <v>-314000</v>
      </c>
      <c r="N405" s="155">
        <f t="shared" si="371"/>
        <v>14000</v>
      </c>
      <c r="O405" s="155">
        <f t="shared" si="371"/>
        <v>101000</v>
      </c>
      <c r="P405" s="155">
        <f t="shared" si="371"/>
        <v>8000</v>
      </c>
      <c r="Q405" s="155">
        <f t="shared" si="371"/>
        <v>3000</v>
      </c>
      <c r="R405" s="155">
        <f t="shared" si="371"/>
        <v>9000</v>
      </c>
      <c r="S405" s="155">
        <f t="shared" si="371"/>
        <v>-34000</v>
      </c>
      <c r="T405" s="155">
        <f t="shared" si="371"/>
        <v>8000</v>
      </c>
      <c r="U405" s="155">
        <f>U403-U236</f>
        <v>328000</v>
      </c>
      <c r="V405" s="155">
        <f t="shared" si="371"/>
        <v>-197000</v>
      </c>
      <c r="W405" s="155">
        <f t="shared" si="371"/>
        <v>-57000</v>
      </c>
      <c r="X405" s="155">
        <f t="shared" si="371"/>
        <v>67000</v>
      </c>
      <c r="Y405" s="155">
        <f>Y403-Y236</f>
        <v>1922000</v>
      </c>
      <c r="Z405" s="155">
        <f t="shared" si="371"/>
        <v>193000</v>
      </c>
      <c r="AA405" s="155">
        <f t="shared" ref="AA405:AT405" si="372">AA403-AA236</f>
        <v>-136000</v>
      </c>
      <c r="AB405" s="155">
        <f t="shared" ref="AB405" si="373">AB403-AB236</f>
        <v>622000</v>
      </c>
      <c r="AC405" s="155">
        <f>AC403-AC236</f>
        <v>-1443000</v>
      </c>
      <c r="AD405" s="155">
        <f t="shared" si="372"/>
        <v>-15000</v>
      </c>
      <c r="AE405" s="155">
        <f t="shared" si="372"/>
        <v>1335000</v>
      </c>
      <c r="AF405" s="155">
        <f t="shared" ref="AF405:AH405" si="374">AF403-AF236</f>
        <v>-291000</v>
      </c>
      <c r="AG405" s="155">
        <f t="shared" si="374"/>
        <v>-62000</v>
      </c>
      <c r="AH405" s="155">
        <f t="shared" si="374"/>
        <v>-89000</v>
      </c>
      <c r="AI405" s="155">
        <f>AI403-AI236</f>
        <v>-747000</v>
      </c>
      <c r="AJ405" s="155">
        <f>AJ403-AJ236</f>
        <v>-472000</v>
      </c>
      <c r="AK405" s="155">
        <f t="shared" si="372"/>
        <v>-17000</v>
      </c>
      <c r="AL405" s="155">
        <f t="shared" si="372"/>
        <v>-1291000</v>
      </c>
      <c r="AM405" s="155">
        <f t="shared" si="372"/>
        <v>-898000</v>
      </c>
      <c r="AN405" s="155">
        <f t="shared" si="372"/>
        <v>715000</v>
      </c>
      <c r="AO405" s="155">
        <f t="shared" si="372"/>
        <v>-1435000</v>
      </c>
      <c r="AP405" s="155">
        <f t="shared" si="372"/>
        <v>-237000</v>
      </c>
      <c r="AQ405" s="155">
        <f t="shared" si="372"/>
        <v>-141000</v>
      </c>
      <c r="AR405" s="155">
        <f t="shared" si="372"/>
        <v>-118000</v>
      </c>
      <c r="AS405" s="155">
        <f>AS403-AS236</f>
        <v>-1697000</v>
      </c>
      <c r="AT405" s="155">
        <f t="shared" si="372"/>
        <v>491000</v>
      </c>
      <c r="AU405" s="148"/>
      <c r="AV405" s="148">
        <f>AV403-AV236</f>
        <v>-4806501</v>
      </c>
      <c r="AW405" s="148">
        <f>AW403-AW236</f>
        <v>31585499</v>
      </c>
      <c r="AX405" s="152" t="str">
        <f>IF(ROUND(SUM(F405:AT405),0)=ROUND(AW405,0),"ok","crossfoot error")</f>
        <v>crossfoot error</v>
      </c>
      <c r="AY405" s="148">
        <f>AY403-AY236</f>
        <v>31586</v>
      </c>
      <c r="AZ405" s="147">
        <v>31585.79887560002</v>
      </c>
      <c r="BA405" s="146">
        <f>AY405-AZ405</f>
        <v>0.20112439998047194</v>
      </c>
      <c r="BB405" s="152"/>
    </row>
    <row r="406" spans="1:54" ht="14.1" customHeight="1">
      <c r="A406" s="145">
        <v>406</v>
      </c>
      <c r="B406" s="144"/>
      <c r="C406" s="144"/>
      <c r="D406" s="144"/>
      <c r="E406" s="141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1"/>
      <c r="AV406" s="149"/>
      <c r="AW406" s="149"/>
      <c r="AX406" s="152"/>
      <c r="AY406" s="149"/>
      <c r="AZ406" s="146"/>
      <c r="BA406" s="146"/>
    </row>
    <row r="407" spans="1:54" ht="14.1" customHeight="1">
      <c r="A407" s="145">
        <v>407</v>
      </c>
      <c r="B407" s="144"/>
      <c r="C407" s="144" t="s">
        <v>613</v>
      </c>
      <c r="D407" s="144"/>
      <c r="E407" s="141"/>
      <c r="F407" s="153">
        <v>36392</v>
      </c>
      <c r="G407" s="153">
        <v>-1.208928</v>
      </c>
      <c r="H407" s="153">
        <v>0</v>
      </c>
      <c r="I407" s="153">
        <v>-3.4972560000000001</v>
      </c>
      <c r="J407" s="153">
        <v>33.18</v>
      </c>
      <c r="K407" s="153">
        <v>-227.52</v>
      </c>
      <c r="L407" s="153">
        <v>-732.33</v>
      </c>
      <c r="M407" s="153">
        <v>-314.42</v>
      </c>
      <c r="N407" s="153">
        <v>14.22</v>
      </c>
      <c r="O407" s="153">
        <v>101</v>
      </c>
      <c r="P407" s="153">
        <v>7.9</v>
      </c>
      <c r="Q407" s="153">
        <v>3.16</v>
      </c>
      <c r="R407" s="153">
        <v>8.69</v>
      </c>
      <c r="S407" s="153">
        <v>-33.97</v>
      </c>
      <c r="T407" s="153">
        <v>8.0499999999992724</v>
      </c>
      <c r="U407" s="153">
        <v>328.00799999999998</v>
      </c>
      <c r="V407" s="153">
        <v>-197.72357</v>
      </c>
      <c r="W407" s="153">
        <v>-57</v>
      </c>
      <c r="X407" s="153">
        <v>66.965975999999998</v>
      </c>
      <c r="Y407" s="153">
        <v>1922.07</v>
      </c>
      <c r="Z407" s="153">
        <v>192.76</v>
      </c>
      <c r="AA407" s="153">
        <v>-136</v>
      </c>
      <c r="AB407" s="153">
        <v>622.815023</v>
      </c>
      <c r="AC407" s="153">
        <v>-1441.9870000000001</v>
      </c>
      <c r="AD407" s="153">
        <v>-15.013949999999999</v>
      </c>
      <c r="AE407" s="153">
        <v>1334.4680000000001</v>
      </c>
      <c r="AF407" s="153">
        <v>-291.35199999999998</v>
      </c>
      <c r="AG407" s="153">
        <v>-61.620000000000005</v>
      </c>
      <c r="AH407" s="153">
        <v>-89.198110000000014</v>
      </c>
      <c r="AI407" s="153">
        <v>-747.34</v>
      </c>
      <c r="AJ407" s="153">
        <v>-472.42</v>
      </c>
      <c r="AK407" s="153">
        <v>-16.274000000000001</v>
      </c>
      <c r="AL407" s="153">
        <v>-1290.5929799999999</v>
      </c>
      <c r="AM407" s="153">
        <v>-898.12380370000005</v>
      </c>
      <c r="AN407" s="153">
        <v>714.31799999999998</v>
      </c>
      <c r="AO407" s="153">
        <v>-1435.024504</v>
      </c>
      <c r="AP407" s="153">
        <v>-237</v>
      </c>
      <c r="AQ407" s="153">
        <v>-140.62</v>
      </c>
      <c r="AR407" s="153">
        <v>-118.5</v>
      </c>
      <c r="AS407" s="153">
        <v>-1697.0085517</v>
      </c>
      <c r="AT407" s="153">
        <v>491.93853000000001</v>
      </c>
      <c r="AU407" s="153"/>
      <c r="AV407" s="153">
        <v>32104.038875600021</v>
      </c>
      <c r="AW407" s="149" t="str">
        <f>IF(ROUND(SUM(F407:AT407)-AV407,0)&lt;&gt;0,"error","")</f>
        <v>error</v>
      </c>
      <c r="AX407" s="152"/>
      <c r="AY407" s="149">
        <f>ROUND(AV407,0)</f>
        <v>32104</v>
      </c>
      <c r="AZ407" s="146"/>
      <c r="BA407" s="146"/>
    </row>
    <row r="408" spans="1:54" ht="14.1" customHeight="1">
      <c r="A408" s="145">
        <v>408</v>
      </c>
      <c r="B408" s="144"/>
      <c r="C408" s="144" t="s">
        <v>612</v>
      </c>
      <c r="D408" s="144"/>
      <c r="E408" s="141"/>
      <c r="F408" s="391">
        <f>ROUND(F405/1000,0)-F407</f>
        <v>0</v>
      </c>
      <c r="G408" s="455">
        <f t="shared" ref="G408:AT408" si="375">ROUND(G405/1000,0)-G407</f>
        <v>0.208928</v>
      </c>
      <c r="H408" s="455">
        <f t="shared" si="375"/>
        <v>0</v>
      </c>
      <c r="I408" s="455">
        <f t="shared" si="375"/>
        <v>0.49725600000000014</v>
      </c>
      <c r="J408" s="455">
        <f t="shared" si="375"/>
        <v>-0.17999999999999972</v>
      </c>
      <c r="K408" s="455">
        <f t="shared" si="375"/>
        <v>-0.47999999999998977</v>
      </c>
      <c r="L408" s="455">
        <f>ROUND(L405/1000,0)-L407</f>
        <v>0.33000000000004093</v>
      </c>
      <c r="M408" s="455">
        <f t="shared" si="375"/>
        <v>0.42000000000001592</v>
      </c>
      <c r="N408" s="455">
        <f t="shared" si="375"/>
        <v>-0.22000000000000064</v>
      </c>
      <c r="O408" s="455">
        <f t="shared" si="375"/>
        <v>0</v>
      </c>
      <c r="P408" s="455">
        <f t="shared" si="375"/>
        <v>9.9999999999999645E-2</v>
      </c>
      <c r="Q408" s="455">
        <f t="shared" si="375"/>
        <v>-0.16000000000000014</v>
      </c>
      <c r="R408" s="455">
        <f t="shared" si="375"/>
        <v>0.3100000000000005</v>
      </c>
      <c r="S408" s="455">
        <f t="shared" si="375"/>
        <v>-3.0000000000001137E-2</v>
      </c>
      <c r="T408" s="455">
        <f>ROUND(T405/1000,0)-T407</f>
        <v>-4.9999999999272404E-2</v>
      </c>
      <c r="U408" s="455">
        <f>ROUND(U405/1000,0)-U407</f>
        <v>-7.9999999999813554E-3</v>
      </c>
      <c r="V408" s="455">
        <f t="shared" si="375"/>
        <v>0.72356999999999516</v>
      </c>
      <c r="W408" s="455">
        <f t="shared" si="375"/>
        <v>0</v>
      </c>
      <c r="X408" s="455">
        <f>ROUND(X405/1000,0)-X407</f>
        <v>3.4024000000002275E-2</v>
      </c>
      <c r="Y408" s="455">
        <f>ROUND(Y405/1000,0)-Y407</f>
        <v>-6.9999999999936335E-2</v>
      </c>
      <c r="Z408" s="455">
        <f>ROUND(Z405/1000,0)-Z407</f>
        <v>0.24000000000000909</v>
      </c>
      <c r="AA408" s="455">
        <f>ROUND(AA405/1000,0)-AA407</f>
        <v>0</v>
      </c>
      <c r="AB408" s="455">
        <f t="shared" ref="AB408" si="376">ROUND(AB405/1000,0)-AB407</f>
        <v>-0.8150229999999965</v>
      </c>
      <c r="AC408" s="455">
        <f t="shared" si="375"/>
        <v>-1.01299999999992</v>
      </c>
      <c r="AD408" s="455">
        <f t="shared" si="375"/>
        <v>1.3949999999999463E-2</v>
      </c>
      <c r="AE408" s="455">
        <f t="shared" si="375"/>
        <v>0.53199999999992542</v>
      </c>
      <c r="AF408" s="455">
        <f t="shared" ref="AF408:AH408" si="377">ROUND(AF405/1000,0)-AF407</f>
        <v>0.35199999999997544</v>
      </c>
      <c r="AG408" s="455">
        <f t="shared" si="377"/>
        <v>-0.37999999999999545</v>
      </c>
      <c r="AH408" s="455">
        <f t="shared" si="377"/>
        <v>0.198110000000014</v>
      </c>
      <c r="AI408" s="455">
        <f>ROUND(AI405/1000,0)-AI407</f>
        <v>0.34000000000003183</v>
      </c>
      <c r="AJ408" s="455">
        <f>ROUND(AJ405/1000,0)-AJ407</f>
        <v>0.42000000000001592</v>
      </c>
      <c r="AK408" s="455">
        <f t="shared" si="375"/>
        <v>-0.72599999999999909</v>
      </c>
      <c r="AL408" s="455">
        <f t="shared" si="375"/>
        <v>-0.4070200000001023</v>
      </c>
      <c r="AM408" s="455">
        <f t="shared" si="375"/>
        <v>0.12380370000005314</v>
      </c>
      <c r="AN408" s="455">
        <f t="shared" ref="AN408:AR408" si="378">ROUND(AN405/1000,0)-AN407</f>
        <v>0.68200000000001637</v>
      </c>
      <c r="AO408" s="455">
        <f t="shared" si="378"/>
        <v>2.4503999999978987E-2</v>
      </c>
      <c r="AP408" s="455">
        <f t="shared" si="378"/>
        <v>0</v>
      </c>
      <c r="AQ408" s="455">
        <f t="shared" si="378"/>
        <v>-0.37999999999999545</v>
      </c>
      <c r="AR408" s="455">
        <f t="shared" si="378"/>
        <v>0.5</v>
      </c>
      <c r="AS408" s="455">
        <f>ROUND(AS405/1000,0)-AS407</f>
        <v>8.5516999999981635E-3</v>
      </c>
      <c r="AT408" s="455">
        <f t="shared" si="375"/>
        <v>-0.9385300000000143</v>
      </c>
      <c r="AU408" s="142"/>
      <c r="AV408" s="149">
        <f>SUM(J408:AT408)</f>
        <v>-0.5050595999991323</v>
      </c>
      <c r="AW408" s="149"/>
      <c r="AY408" s="149"/>
      <c r="AZ408" s="146"/>
      <c r="BA408" s="138"/>
    </row>
    <row r="409" spans="1:54" ht="14.1" customHeight="1">
      <c r="A409" s="145">
        <v>409</v>
      </c>
      <c r="B409" s="144"/>
      <c r="C409" s="144"/>
      <c r="D409" s="144"/>
      <c r="E409" s="141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1"/>
      <c r="AV409" s="149"/>
      <c r="AW409" s="149"/>
      <c r="AY409" s="149"/>
      <c r="AZ409" s="146"/>
      <c r="BA409" s="146"/>
    </row>
    <row r="410" spans="1:54" ht="14.1" customHeight="1">
      <c r="A410" s="145">
        <v>410</v>
      </c>
      <c r="B410" s="144"/>
      <c r="C410" s="144"/>
      <c r="D410" s="144"/>
      <c r="E410" s="141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1"/>
      <c r="AV410" s="149"/>
      <c r="AW410" s="149"/>
      <c r="AY410" s="149"/>
      <c r="AZ410" s="146"/>
      <c r="BA410" s="146"/>
    </row>
    <row r="411" spans="1:54" ht="14.1" customHeight="1">
      <c r="A411" s="145">
        <v>411</v>
      </c>
      <c r="B411" s="144"/>
      <c r="C411" s="144" t="s">
        <v>611</v>
      </c>
      <c r="D411" s="144"/>
      <c r="E411" s="141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1"/>
      <c r="AV411" s="149"/>
      <c r="AW411" s="149"/>
      <c r="AY411" s="149"/>
      <c r="AZ411" s="146"/>
      <c r="BA411" s="146"/>
    </row>
    <row r="412" spans="1:54" ht="14.1" customHeight="1">
      <c r="A412" s="145">
        <v>412</v>
      </c>
      <c r="B412" s="144"/>
      <c r="C412" s="144" t="s">
        <v>610</v>
      </c>
      <c r="D412" s="144"/>
      <c r="E412" s="151"/>
      <c r="F412" s="788">
        <v>11648000</v>
      </c>
      <c r="G412" s="142"/>
      <c r="H412" s="142"/>
      <c r="I412" s="142"/>
      <c r="J412" s="142"/>
      <c r="K412" s="142"/>
      <c r="L412" s="142"/>
      <c r="M412" s="142"/>
      <c r="N412" s="142"/>
      <c r="O412" s="150"/>
      <c r="P412" s="150"/>
      <c r="Q412" s="150"/>
      <c r="R412" s="150"/>
      <c r="S412" s="142"/>
      <c r="T412" s="142"/>
      <c r="U412" s="150"/>
      <c r="V412" s="150"/>
      <c r="W412" s="150"/>
      <c r="X412" s="150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1"/>
      <c r="AV412" s="149">
        <f>SUM(K412:AT412)</f>
        <v>0</v>
      </c>
      <c r="AW412" s="149">
        <f>F412+AV412</f>
        <v>11648000</v>
      </c>
      <c r="AX412" s="145" t="str">
        <f>IF(ROUND(SUM(F412:AT412),0)=ROUND(AW412,0),"ok","crossfoot error")</f>
        <v>ok</v>
      </c>
      <c r="AY412" s="148">
        <f>ROUND(AW412/1000,0)</f>
        <v>11648</v>
      </c>
      <c r="AZ412" s="147"/>
      <c r="BA412" s="146"/>
      <c r="BB412" s="145"/>
    </row>
    <row r="413" spans="1:54" ht="14.1" customHeight="1">
      <c r="A413" s="145">
        <v>413</v>
      </c>
      <c r="B413" s="144"/>
      <c r="C413" s="144"/>
      <c r="D413" s="144"/>
      <c r="E413" s="141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1"/>
      <c r="AV413" s="141"/>
      <c r="AW413" s="141"/>
      <c r="AZ413" s="146"/>
      <c r="BA413" s="146"/>
    </row>
    <row r="414" spans="1:54" ht="14.1" customHeight="1">
      <c r="A414" s="145">
        <v>414</v>
      </c>
      <c r="B414" s="144"/>
      <c r="C414" s="144"/>
      <c r="D414" s="144"/>
      <c r="E414" s="141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1"/>
      <c r="AV414" s="141"/>
      <c r="AW414" s="141"/>
      <c r="AZ414" s="146"/>
      <c r="BA414" s="146"/>
    </row>
    <row r="415" spans="1:54" ht="14.1" customHeight="1">
      <c r="A415" s="145">
        <v>415</v>
      </c>
      <c r="B415" s="144"/>
      <c r="C415" s="144"/>
      <c r="D415" s="144"/>
      <c r="E415" s="141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1"/>
      <c r="AV415" s="141"/>
      <c r="AW415" s="141"/>
      <c r="AZ415" s="146"/>
      <c r="BA415" s="146"/>
    </row>
    <row r="416" spans="1:54" ht="14.1" customHeight="1">
      <c r="A416" s="145">
        <v>416</v>
      </c>
      <c r="B416" s="144"/>
      <c r="C416" s="144"/>
      <c r="D416" s="144"/>
      <c r="E416" s="141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1"/>
      <c r="AV416" s="141"/>
      <c r="AW416" s="141"/>
      <c r="AZ416" s="146"/>
      <c r="BA416" s="146"/>
    </row>
    <row r="417" spans="1:53" ht="14.1" customHeight="1">
      <c r="A417" s="145">
        <v>417</v>
      </c>
      <c r="B417" s="144"/>
      <c r="C417" s="144"/>
      <c r="D417" s="144"/>
      <c r="E417" s="141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1"/>
      <c r="AV417" s="141"/>
      <c r="AW417" s="141"/>
      <c r="AZ417" s="146"/>
      <c r="BA417" s="146"/>
    </row>
    <row r="418" spans="1:53" ht="14.1" customHeight="1">
      <c r="A418" s="145">
        <v>418</v>
      </c>
      <c r="B418" s="144"/>
      <c r="C418" s="144"/>
      <c r="D418" s="144"/>
      <c r="E418" s="143" t="s">
        <v>609</v>
      </c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1"/>
      <c r="AV418" s="141"/>
      <c r="AW418" s="141"/>
      <c r="AZ418" s="146"/>
      <c r="BA418" s="146"/>
    </row>
    <row r="419" spans="1:53" ht="14.1" customHeight="1">
      <c r="A419" s="145">
        <v>419</v>
      </c>
      <c r="B419" s="144"/>
      <c r="C419" s="144"/>
      <c r="D419" s="144"/>
      <c r="E419" s="143" t="b">
        <f>OR(EXACT("crossfoot error",check))</f>
        <v>0</v>
      </c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1"/>
      <c r="AV419" s="141"/>
      <c r="AW419" s="141"/>
      <c r="AZ419" s="146"/>
      <c r="BA419" s="146"/>
    </row>
    <row r="420" spans="1:53" ht="14.1" customHeight="1">
      <c r="A420" s="145">
        <v>420</v>
      </c>
      <c r="B420" s="144"/>
      <c r="C420" s="144"/>
      <c r="D420" s="144"/>
      <c r="E420" s="143" t="str">
        <f>IF(E419=TRUE,"Error found at line #" &amp;TEXT(MATCH("crossfoot error",check,0),"0"),"no errors found")</f>
        <v>no errors found</v>
      </c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1"/>
      <c r="AV420" s="141"/>
      <c r="AW420" s="141"/>
      <c r="AZ420" s="140"/>
    </row>
  </sheetData>
  <phoneticPr fontId="8" type="noConversion"/>
  <pageMargins left="0.25" right="0.25" top="0.54" bottom="0.5" header="0.17" footer="0.25"/>
  <pageSetup scale="63" fitToWidth="3" fitToHeight="7" pageOrder="overThenDown" orientation="landscape" cellComments="asDisplayed" useFirstPageNumber="1" r:id="rId1"/>
  <headerFooter alignWithMargins="0">
    <oddHeader>&amp;CAVISTA UTILITIES - Washington Jurisdiction
Operations and Maintenance Expenses
for 12-Months Ended December 31, 2018</oddHeader>
    <oddFooter>&amp;LWA 2019 Gas Case\&amp;F&amp;RPage &amp;P of &amp;N</oddFooter>
  </headerFooter>
  <rowBreaks count="6" manualBreakCount="6">
    <brk id="60" max="43" man="1"/>
    <brk id="119" max="43" man="1"/>
    <brk id="178" max="43" man="1"/>
    <brk id="238" max="43" man="1"/>
    <brk id="298" max="43" man="1"/>
    <brk id="358" max="4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D68BC8535C0754CA971EFD63AEB6665" ma:contentTypeVersion="16" ma:contentTypeDescription="" ma:contentTypeScope="" ma:versionID="8100f7f65307b259ded9b12aaf0d47a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2024-01-03T08:00:00+00:00</OpenedDate>
    <SignificantOrder xmlns="dc463f71-b30c-4ab2-9473-d307f9d35888">false</SignificantOrder>
    <Date1 xmlns="dc463f71-b30c-4ab2-9473-d307f9d35888">2024-01-15T08:00:00+00:00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240007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CA6B18C-FA8C-4217-B779-6D2D122E1DE6}"/>
</file>

<file path=customXml/itemProps2.xml><?xml version="1.0" encoding="utf-8"?>
<ds:datastoreItem xmlns:ds="http://schemas.openxmlformats.org/officeDocument/2006/customXml" ds:itemID="{988E3659-DE5F-44C0-9BFD-D0D10394B073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dfaeb077-6201-49d7-984f-06cbdf2cbea4"/>
  </ds:schemaRefs>
</ds:datastoreItem>
</file>

<file path=customXml/itemProps3.xml><?xml version="1.0" encoding="utf-8"?>
<ds:datastoreItem xmlns:ds="http://schemas.openxmlformats.org/officeDocument/2006/customXml" ds:itemID="{19FF7D18-0924-4DBE-860E-BFC0206E6EA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BD83FC1-1391-4A2D-8A1B-51E8095D48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41</vt:i4>
      </vt:variant>
    </vt:vector>
  </HeadingPairs>
  <TitlesOfParts>
    <vt:vector size="69" baseType="lpstr">
      <vt:lpstr>A-RR Cross Reference</vt:lpstr>
      <vt:lpstr>B-COS Results</vt:lpstr>
      <vt:lpstr>C-COS Allocation Factors</vt:lpstr>
      <vt:lpstr>D-Summary of Adjustments</vt:lpstr>
      <vt:lpstr>E-Summary of Results</vt:lpstr>
      <vt:lpstr>Detail</vt:lpstr>
      <vt:lpstr>Summary</vt:lpstr>
      <vt:lpstr>Factors</vt:lpstr>
      <vt:lpstr>PROFORMA</vt:lpstr>
      <vt:lpstr>Avg Cust Unit Costs</vt:lpstr>
      <vt:lpstr>Demand Sch 146 adj</vt:lpstr>
      <vt:lpstr>Demand - Firm Peak</vt:lpstr>
      <vt:lpstr>Demand - Firm Peak by Sch</vt:lpstr>
      <vt:lpstr>Demand - Pk-Avg</vt:lpstr>
      <vt:lpstr>AMI Data</vt:lpstr>
      <vt:lpstr>5 Day Peak</vt:lpstr>
      <vt:lpstr>Winter Therm - Summary</vt:lpstr>
      <vt:lpstr>Winter Therm - Usage</vt:lpstr>
      <vt:lpstr>Meters 121_131_146</vt:lpstr>
      <vt:lpstr>Typical Service Cost</vt:lpstr>
      <vt:lpstr>Average Meter Type</vt:lpstr>
      <vt:lpstr>Meter Install Costs</vt:lpstr>
      <vt:lpstr>Industrial Meter Installations</vt:lpstr>
      <vt:lpstr>Acct 928</vt:lpstr>
      <vt:lpstr>Acct 813</vt:lpstr>
      <vt:lpstr>Acct 813 Analysis</vt:lpstr>
      <vt:lpstr>GTI</vt:lpstr>
      <vt:lpstr>Intangible Plant</vt:lpstr>
      <vt:lpstr>_WA132</vt:lpstr>
      <vt:lpstr>_WA146</vt:lpstr>
      <vt:lpstr>_WA148</vt:lpstr>
      <vt:lpstr>AllocFactors</vt:lpstr>
      <vt:lpstr>AllocFactors_C</vt:lpstr>
      <vt:lpstr>AllocFactors_D</vt:lpstr>
      <vt:lpstr>AllocFactors_E</vt:lpstr>
      <vt:lpstr>check</vt:lpstr>
      <vt:lpstr>'Industrial Meter Installations'!Cost</vt:lpstr>
      <vt:lpstr>Cost</vt:lpstr>
      <vt:lpstr>Expense_Page1</vt:lpstr>
      <vt:lpstr>Expense_Page2</vt:lpstr>
      <vt:lpstr>Expense_Page3</vt:lpstr>
      <vt:lpstr>Expense_Page4</vt:lpstr>
      <vt:lpstr>PkAvg_D</vt:lpstr>
      <vt:lpstr>PkAvg_E</vt:lpstr>
      <vt:lpstr>PkDys</vt:lpstr>
      <vt:lpstr>'Avg Cust Unit Costs'!Print_Area</vt:lpstr>
      <vt:lpstr>'Demand - Firm Peak'!Print_Area</vt:lpstr>
      <vt:lpstr>'Demand - Pk-Avg'!Print_Area</vt:lpstr>
      <vt:lpstr>Detail!Print_Area</vt:lpstr>
      <vt:lpstr>'E-Summary of Results'!Print_Area</vt:lpstr>
      <vt:lpstr>Factors!Print_Area</vt:lpstr>
      <vt:lpstr>GTI!Print_Area</vt:lpstr>
      <vt:lpstr>PROFORMA!Print_Area</vt:lpstr>
      <vt:lpstr>Summary!Print_Area</vt:lpstr>
      <vt:lpstr>'Typical Service Cost'!Print_Area</vt:lpstr>
      <vt:lpstr>Print_Complete</vt:lpstr>
      <vt:lpstr>'Demand - Firm Peak'!Print_Titles</vt:lpstr>
      <vt:lpstr>'Demand - Firm Peak by Sch'!Print_Titles</vt:lpstr>
      <vt:lpstr>'Demand Sch 146 adj'!Print_Titles</vt:lpstr>
      <vt:lpstr>Detail!Print_Titles</vt:lpstr>
      <vt:lpstr>Factors!Print_Titles</vt:lpstr>
      <vt:lpstr>PROFORMA!Print_Titles</vt:lpstr>
      <vt:lpstr>Summary!Print_Titles</vt:lpstr>
      <vt:lpstr>RateBase_Page1</vt:lpstr>
      <vt:lpstr>RateBase_Page2</vt:lpstr>
      <vt:lpstr>RateBase_Page3</vt:lpstr>
      <vt:lpstr>TransferL</vt:lpstr>
      <vt:lpstr>TransferL1</vt:lpstr>
      <vt:lpstr>WAFirm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Joe</dc:creator>
  <cp:lastModifiedBy>Anderson, Joel</cp:lastModifiedBy>
  <cp:lastPrinted>2020-10-27T17:06:50Z</cp:lastPrinted>
  <dcterms:created xsi:type="dcterms:W3CDTF">2006-12-20T22:09:29Z</dcterms:created>
  <dcterms:modified xsi:type="dcterms:W3CDTF">2024-01-25T17:51:37Z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0x0101006E56B4D1795A2E4DB2F0B01679ED314A00CD68BC8535C0754CA971EFD63AEB6665</vt:lpwstr>
  </property>
  <property fmtid="{D5CDD505-2E9C-101B-9397-08002B2CF9AE}" pid="3" name="_docset_NoMedatataSyncRequired">
    <vt:lpwstr>False</vt:lpwstr>
  </property>
</Properties>
</file>